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инансовая модель\"/>
    </mc:Choice>
  </mc:AlternateContent>
  <bookViews>
    <workbookView xWindow="0" yWindow="0" windowWidth="24000" windowHeight="9735"/>
  </bookViews>
  <sheets>
    <sheet name="ПРОГНОЗ ДОХОДОВ И РАСХОДОВ НДС" sheetId="1" r:id="rId1"/>
    <sheet name="ДДС" sheetId="7" state="hidden" r:id="rId2"/>
    <sheet name="БДР" sheetId="8" state="hidden" r:id="rId3"/>
    <sheet name="ИСХОДНЫЕ ДАННЫЕ ДЛЯ КОНЦЕССИИ" sheetId="4" r:id="rId4"/>
    <sheet name="КОНЦЕССИЯ" sheetId="5" r:id="rId5"/>
    <sheet name="ИТОГ" sheetId="9" r:id="rId6"/>
    <sheet name="СВОД" sheetId="6" r:id="rId7"/>
    <sheet name="доп. ДОХОДЫ по годам" sheetId="10" state="hidden" r:id="rId8"/>
    <sheet name="доп. РАСХОДЫ по годам" sheetId="11" state="hidden" r:id="rId9"/>
    <sheet name="доп. РАСХОДЫ ЕВРО" sheetId="13" state="hidden" r:id="rId10"/>
    <sheet name="Лист3" sheetId="14" state="hidden" r:id="rId11"/>
    <sheet name="Лист4" sheetId="15" state="hidden" r:id="rId12"/>
    <sheet name="Лист1" sheetId="12" state="hidden" r:id="rId13"/>
  </sheets>
  <definedNames>
    <definedName name="_Hlk428518501" localSheetId="10">Лист3!$G$6</definedName>
    <definedName name="_Hlk428519580" localSheetId="11">Лист4!$A$12</definedName>
    <definedName name="_Hlk428520224" localSheetId="11">Лист4!$A$19</definedName>
    <definedName name="OLE_LINK43" localSheetId="10">Лист3!$G$2</definedName>
    <definedName name="OLE_LINK47" localSheetId="10">Лист3!$A$32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C22" i="9"/>
  <c r="C24" i="9" s="1"/>
  <c r="Y13" i="5"/>
  <c r="Y14" i="5"/>
  <c r="Y15" i="5"/>
  <c r="Y16" i="5"/>
  <c r="Y17" i="5"/>
  <c r="Y18" i="5"/>
  <c r="D41" i="15" l="1"/>
  <c r="C41" i="15"/>
  <c r="O22" i="15"/>
  <c r="O26" i="15"/>
  <c r="D23" i="15"/>
  <c r="C23" i="15"/>
  <c r="D4" i="15"/>
  <c r="C4" i="15"/>
  <c r="D46" i="14"/>
  <c r="E46" i="14"/>
  <c r="C35" i="14"/>
  <c r="C34" i="14"/>
  <c r="C3" i="5"/>
  <c r="P27" i="5"/>
  <c r="P28" i="5"/>
  <c r="I15" i="7"/>
  <c r="H15" i="7"/>
  <c r="F15" i="7"/>
  <c r="D44" i="1"/>
  <c r="C3" i="13"/>
  <c r="D3" i="13"/>
  <c r="E3" i="13"/>
  <c r="F3" i="13"/>
  <c r="G3" i="13"/>
  <c r="H3" i="13"/>
  <c r="I3" i="13"/>
  <c r="J3" i="13"/>
  <c r="K3" i="13"/>
  <c r="L3" i="13"/>
  <c r="C4" i="13"/>
  <c r="D4" i="13"/>
  <c r="E4" i="13"/>
  <c r="F4" i="13"/>
  <c r="G4" i="13"/>
  <c r="H4" i="13"/>
  <c r="I4" i="13"/>
  <c r="J4" i="13"/>
  <c r="K4" i="13"/>
  <c r="L4" i="13"/>
  <c r="C5" i="13"/>
  <c r="D5" i="13"/>
  <c r="E5" i="13"/>
  <c r="F5" i="13"/>
  <c r="G5" i="13"/>
  <c r="H5" i="13"/>
  <c r="I5" i="13"/>
  <c r="J5" i="13"/>
  <c r="K5" i="13"/>
  <c r="L5" i="13"/>
  <c r="C6" i="13"/>
  <c r="D6" i="13"/>
  <c r="E6" i="13"/>
  <c r="F6" i="13"/>
  <c r="G6" i="13"/>
  <c r="H6" i="13"/>
  <c r="I6" i="13"/>
  <c r="J6" i="13"/>
  <c r="K6" i="13"/>
  <c r="L6" i="13"/>
  <c r="C7" i="13"/>
  <c r="D7" i="13"/>
  <c r="E7" i="13"/>
  <c r="F7" i="13"/>
  <c r="G7" i="13"/>
  <c r="H7" i="13"/>
  <c r="I7" i="13"/>
  <c r="J7" i="13"/>
  <c r="K7" i="13"/>
  <c r="L7" i="13"/>
  <c r="C8" i="13"/>
  <c r="D8" i="13"/>
  <c r="E8" i="13"/>
  <c r="F8" i="13"/>
  <c r="G8" i="13"/>
  <c r="H8" i="13"/>
  <c r="I8" i="13"/>
  <c r="J8" i="13"/>
  <c r="K8" i="13"/>
  <c r="L8" i="13"/>
  <c r="C9" i="13"/>
  <c r="D9" i="13"/>
  <c r="E9" i="13"/>
  <c r="F9" i="13"/>
  <c r="G9" i="13"/>
  <c r="H9" i="13"/>
  <c r="I9" i="13"/>
  <c r="J9" i="13"/>
  <c r="K9" i="13"/>
  <c r="L9" i="13"/>
  <c r="C10" i="13"/>
  <c r="D10" i="13"/>
  <c r="E10" i="13"/>
  <c r="F10" i="13"/>
  <c r="G10" i="13"/>
  <c r="H10" i="13"/>
  <c r="I10" i="13"/>
  <c r="J10" i="13"/>
  <c r="K10" i="13"/>
  <c r="L10" i="13"/>
  <c r="C11" i="13"/>
  <c r="D11" i="13"/>
  <c r="E11" i="13"/>
  <c r="F11" i="13"/>
  <c r="G11" i="13"/>
  <c r="H11" i="13"/>
  <c r="I11" i="13"/>
  <c r="J11" i="13"/>
  <c r="K11" i="13"/>
  <c r="L11" i="13"/>
  <c r="C12" i="13"/>
  <c r="D12" i="13"/>
  <c r="E12" i="13"/>
  <c r="F12" i="13"/>
  <c r="G12" i="13"/>
  <c r="H12" i="13"/>
  <c r="I12" i="13"/>
  <c r="J12" i="13"/>
  <c r="K12" i="13"/>
  <c r="L12" i="13"/>
  <c r="C13" i="13"/>
  <c r="D13" i="13"/>
  <c r="E13" i="13"/>
  <c r="F13" i="13"/>
  <c r="G13" i="13"/>
  <c r="H13" i="13"/>
  <c r="I13" i="13"/>
  <c r="J13" i="13"/>
  <c r="K13" i="13"/>
  <c r="L13" i="13"/>
  <c r="C14" i="13"/>
  <c r="D14" i="13"/>
  <c r="E14" i="13"/>
  <c r="F14" i="13"/>
  <c r="G14" i="13"/>
  <c r="H14" i="13"/>
  <c r="I14" i="13"/>
  <c r="J14" i="13"/>
  <c r="K14" i="13"/>
  <c r="L14" i="13"/>
  <c r="C17" i="13"/>
  <c r="D17" i="13"/>
  <c r="E17" i="13"/>
  <c r="F17" i="13"/>
  <c r="G17" i="13"/>
  <c r="H17" i="13"/>
  <c r="I17" i="13"/>
  <c r="J17" i="13"/>
  <c r="K17" i="13"/>
  <c r="L17" i="13"/>
  <c r="C18" i="13"/>
  <c r="D18" i="13"/>
  <c r="E18" i="13"/>
  <c r="F18" i="13"/>
  <c r="G18" i="13"/>
  <c r="H18" i="13"/>
  <c r="I18" i="13"/>
  <c r="J18" i="13"/>
  <c r="K18" i="13"/>
  <c r="L18" i="13"/>
  <c r="C19" i="13"/>
  <c r="D19" i="13"/>
  <c r="E19" i="13"/>
  <c r="F19" i="13"/>
  <c r="G19" i="13"/>
  <c r="H19" i="13"/>
  <c r="I19" i="13"/>
  <c r="J19" i="13"/>
  <c r="K19" i="13"/>
  <c r="L19" i="13"/>
  <c r="C20" i="13"/>
  <c r="D20" i="13"/>
  <c r="E20" i="13"/>
  <c r="F20" i="13"/>
  <c r="G20" i="13"/>
  <c r="H20" i="13"/>
  <c r="I20" i="13"/>
  <c r="J20" i="13"/>
  <c r="K20" i="13"/>
  <c r="L20" i="13"/>
  <c r="C21" i="13"/>
  <c r="D21" i="13"/>
  <c r="E21" i="13"/>
  <c r="F21" i="13"/>
  <c r="G21" i="13"/>
  <c r="H21" i="13"/>
  <c r="I21" i="13"/>
  <c r="J21" i="13"/>
  <c r="K21" i="13"/>
  <c r="L21" i="13"/>
  <c r="C22" i="13"/>
  <c r="D22" i="13"/>
  <c r="E22" i="13"/>
  <c r="F22" i="13"/>
  <c r="G22" i="13"/>
  <c r="H22" i="13"/>
  <c r="I22" i="13"/>
  <c r="J22" i="13"/>
  <c r="K22" i="13"/>
  <c r="L22" i="13"/>
  <c r="C23" i="13"/>
  <c r="D23" i="13"/>
  <c r="E23" i="13"/>
  <c r="F23" i="13"/>
  <c r="G23" i="13"/>
  <c r="H23" i="13"/>
  <c r="I23" i="13"/>
  <c r="J23" i="13"/>
  <c r="K23" i="13"/>
  <c r="L23" i="13"/>
  <c r="C24" i="13"/>
  <c r="D24" i="13"/>
  <c r="E24" i="13"/>
  <c r="F24" i="13"/>
  <c r="G24" i="13"/>
  <c r="H24" i="13"/>
  <c r="I24" i="13"/>
  <c r="J24" i="13"/>
  <c r="K24" i="13"/>
  <c r="L24" i="13"/>
  <c r="C26" i="13"/>
  <c r="D26" i="13"/>
  <c r="E26" i="13"/>
  <c r="F26" i="13"/>
  <c r="G26" i="13"/>
  <c r="H26" i="13"/>
  <c r="I26" i="13"/>
  <c r="J26" i="13"/>
  <c r="K26" i="13"/>
  <c r="L26" i="13"/>
  <c r="C27" i="13"/>
  <c r="D27" i="13"/>
  <c r="E27" i="13"/>
  <c r="F27" i="13"/>
  <c r="G27" i="13"/>
  <c r="H27" i="13"/>
  <c r="I27" i="13"/>
  <c r="J27" i="13"/>
  <c r="K27" i="13"/>
  <c r="L27" i="13"/>
  <c r="D2" i="13"/>
  <c r="E2" i="13"/>
  <c r="F2" i="13"/>
  <c r="G2" i="13"/>
  <c r="H2" i="13"/>
  <c r="I2" i="13"/>
  <c r="J2" i="13"/>
  <c r="K2" i="13"/>
  <c r="L2" i="13"/>
  <c r="C2" i="13"/>
  <c r="I1" i="13"/>
  <c r="J1" i="13"/>
  <c r="K1" i="13"/>
  <c r="L1" i="13"/>
  <c r="M1" i="13"/>
  <c r="N1" i="13"/>
  <c r="O1" i="13"/>
  <c r="P1" i="13"/>
  <c r="B1" i="13"/>
  <c r="C1" i="13"/>
  <c r="D1" i="13"/>
  <c r="E1" i="13"/>
  <c r="F1" i="13"/>
  <c r="G1" i="13"/>
  <c r="H1" i="13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A30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1" i="13"/>
  <c r="H31" i="1" l="1"/>
  <c r="D31" i="1"/>
  <c r="D42" i="1"/>
  <c r="D30" i="1"/>
  <c r="D7" i="9" l="1"/>
  <c r="C7" i="9"/>
  <c r="C2" i="12" l="1"/>
  <c r="C3" i="12"/>
  <c r="C4" i="12"/>
  <c r="C5" i="12"/>
  <c r="C6" i="12"/>
  <c r="C7" i="12"/>
  <c r="C8" i="12"/>
  <c r="C9" i="12"/>
  <c r="C10" i="12"/>
  <c r="C11" i="12"/>
  <c r="C12" i="12"/>
  <c r="C13" i="12"/>
  <c r="C1" i="12"/>
  <c r="M5" i="11" l="1"/>
  <c r="M6" i="11"/>
  <c r="M7" i="11"/>
  <c r="M8" i="11"/>
  <c r="M9" i="11"/>
  <c r="M10" i="11"/>
  <c r="M11" i="11"/>
  <c r="M12" i="11"/>
  <c r="M13" i="11"/>
  <c r="M17" i="11"/>
  <c r="M18" i="11"/>
  <c r="M19" i="11"/>
  <c r="M20" i="11"/>
  <c r="M21" i="11"/>
  <c r="M22" i="11"/>
  <c r="M23" i="11"/>
  <c r="M24" i="11"/>
  <c r="M26" i="11"/>
  <c r="M27" i="11"/>
  <c r="M2" i="11"/>
  <c r="L5" i="11"/>
  <c r="L6" i="11"/>
  <c r="L7" i="11"/>
  <c r="L8" i="11"/>
  <c r="L9" i="11"/>
  <c r="L10" i="11"/>
  <c r="L11" i="11"/>
  <c r="L12" i="11"/>
  <c r="L13" i="11"/>
  <c r="L17" i="11"/>
  <c r="L18" i="11"/>
  <c r="L19" i="11"/>
  <c r="L20" i="11"/>
  <c r="L21" i="11"/>
  <c r="L22" i="11"/>
  <c r="L23" i="11"/>
  <c r="L24" i="11"/>
  <c r="L26" i="11"/>
  <c r="L27" i="11"/>
  <c r="K5" i="11"/>
  <c r="K6" i="11"/>
  <c r="K7" i="11"/>
  <c r="K8" i="11"/>
  <c r="K9" i="11"/>
  <c r="K10" i="11"/>
  <c r="K11" i="11"/>
  <c r="K12" i="11"/>
  <c r="K13" i="11"/>
  <c r="K17" i="11"/>
  <c r="K18" i="11"/>
  <c r="K19" i="11"/>
  <c r="K20" i="11"/>
  <c r="K21" i="11"/>
  <c r="K22" i="11"/>
  <c r="K23" i="11"/>
  <c r="K24" i="11"/>
  <c r="K26" i="11"/>
  <c r="K27" i="11"/>
  <c r="J5" i="11"/>
  <c r="J6" i="11"/>
  <c r="J7" i="11"/>
  <c r="J8" i="11"/>
  <c r="J9" i="11"/>
  <c r="J10" i="11"/>
  <c r="J11" i="11"/>
  <c r="J12" i="11"/>
  <c r="J13" i="11"/>
  <c r="J17" i="11"/>
  <c r="J18" i="11"/>
  <c r="J19" i="11"/>
  <c r="J20" i="11"/>
  <c r="J21" i="11"/>
  <c r="J22" i="11"/>
  <c r="J23" i="11"/>
  <c r="J24" i="11"/>
  <c r="J26" i="11"/>
  <c r="J27" i="11"/>
  <c r="I5" i="11"/>
  <c r="I6" i="11"/>
  <c r="I7" i="11"/>
  <c r="I8" i="11"/>
  <c r="I9" i="11"/>
  <c r="I10" i="11"/>
  <c r="I11" i="11"/>
  <c r="I12" i="11"/>
  <c r="I13" i="11"/>
  <c r="I17" i="11"/>
  <c r="I18" i="11"/>
  <c r="I19" i="11"/>
  <c r="I20" i="11"/>
  <c r="I21" i="11"/>
  <c r="I22" i="11"/>
  <c r="I23" i="11"/>
  <c r="I24" i="11"/>
  <c r="I26" i="11"/>
  <c r="I27" i="11"/>
  <c r="H5" i="11"/>
  <c r="H6" i="11"/>
  <c r="H7" i="11"/>
  <c r="H8" i="11"/>
  <c r="H9" i="11"/>
  <c r="H10" i="11"/>
  <c r="H11" i="11"/>
  <c r="H12" i="11"/>
  <c r="H13" i="11"/>
  <c r="H17" i="11"/>
  <c r="H18" i="11"/>
  <c r="H19" i="11"/>
  <c r="H20" i="11"/>
  <c r="H21" i="11"/>
  <c r="H22" i="11"/>
  <c r="H23" i="11"/>
  <c r="H24" i="11"/>
  <c r="H26" i="11"/>
  <c r="H27" i="11"/>
  <c r="G5" i="11"/>
  <c r="G6" i="11"/>
  <c r="G7" i="11"/>
  <c r="G8" i="11"/>
  <c r="G9" i="11"/>
  <c r="G10" i="11"/>
  <c r="G11" i="11"/>
  <c r="G12" i="11"/>
  <c r="G13" i="11"/>
  <c r="G17" i="11"/>
  <c r="G18" i="11"/>
  <c r="G19" i="11"/>
  <c r="G20" i="11"/>
  <c r="G21" i="11"/>
  <c r="G22" i="11"/>
  <c r="G23" i="11"/>
  <c r="G24" i="11"/>
  <c r="G26" i="11"/>
  <c r="G27" i="11"/>
  <c r="F5" i="11"/>
  <c r="F6" i="11"/>
  <c r="F7" i="11"/>
  <c r="F8" i="11"/>
  <c r="F9" i="11"/>
  <c r="F10" i="11"/>
  <c r="F11" i="11"/>
  <c r="F12" i="11"/>
  <c r="F13" i="11"/>
  <c r="F17" i="11"/>
  <c r="F18" i="11"/>
  <c r="F19" i="11"/>
  <c r="F20" i="11"/>
  <c r="F21" i="11"/>
  <c r="F22" i="11"/>
  <c r="F23" i="11"/>
  <c r="F24" i="11"/>
  <c r="F26" i="11"/>
  <c r="F27" i="11"/>
  <c r="E5" i="11"/>
  <c r="E6" i="11"/>
  <c r="E7" i="11"/>
  <c r="E8" i="11"/>
  <c r="E9" i="11"/>
  <c r="E10" i="11"/>
  <c r="E11" i="11"/>
  <c r="E12" i="11"/>
  <c r="E13" i="11"/>
  <c r="E17" i="11"/>
  <c r="E18" i="11"/>
  <c r="E19" i="11"/>
  <c r="E20" i="11"/>
  <c r="E21" i="11"/>
  <c r="E22" i="11"/>
  <c r="E23" i="11"/>
  <c r="E24" i="11"/>
  <c r="E26" i="11"/>
  <c r="E27" i="11"/>
  <c r="D5" i="11"/>
  <c r="D6" i="11"/>
  <c r="D7" i="11"/>
  <c r="D8" i="11"/>
  <c r="D9" i="11"/>
  <c r="D10" i="11"/>
  <c r="D11" i="11"/>
  <c r="D12" i="11"/>
  <c r="D13" i="11"/>
  <c r="D17" i="11"/>
  <c r="D18" i="11"/>
  <c r="D19" i="11"/>
  <c r="D20" i="11"/>
  <c r="D21" i="11"/>
  <c r="D22" i="11"/>
  <c r="D23" i="11"/>
  <c r="D24" i="11"/>
  <c r="D26" i="11"/>
  <c r="D27" i="11"/>
  <c r="C5" i="11"/>
  <c r="C6" i="11"/>
  <c r="C7" i="11"/>
  <c r="C8" i="11"/>
  <c r="C9" i="11"/>
  <c r="C10" i="11"/>
  <c r="C11" i="11"/>
  <c r="C12" i="11"/>
  <c r="C13" i="11"/>
  <c r="C17" i="11"/>
  <c r="C18" i="11"/>
  <c r="C19" i="11"/>
  <c r="C20" i="11"/>
  <c r="C21" i="11"/>
  <c r="C22" i="11"/>
  <c r="C23" i="11"/>
  <c r="C24" i="11"/>
  <c r="C26" i="11"/>
  <c r="C27" i="11"/>
  <c r="L2" i="11"/>
  <c r="K2" i="11"/>
  <c r="J2" i="11"/>
  <c r="I2" i="11"/>
  <c r="H2" i="11"/>
  <c r="G2" i="11"/>
  <c r="F2" i="11"/>
  <c r="E2" i="11"/>
  <c r="D2" i="11"/>
  <c r="C2" i="11"/>
  <c r="D1" i="11"/>
  <c r="E1" i="11"/>
  <c r="F1" i="11"/>
  <c r="G1" i="11"/>
  <c r="H1" i="11"/>
  <c r="I1" i="11"/>
  <c r="J1" i="11"/>
  <c r="K1" i="11"/>
  <c r="L1" i="11"/>
  <c r="M1" i="11"/>
  <c r="C1" i="11"/>
  <c r="A28" i="11"/>
  <c r="B28" i="11"/>
  <c r="A29" i="11"/>
  <c r="B29" i="11"/>
  <c r="A30" i="11"/>
  <c r="B30" i="11"/>
  <c r="A2" i="11"/>
  <c r="B2" i="11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B1" i="11"/>
  <c r="A1" i="11"/>
  <c r="M4" i="10"/>
  <c r="F5" i="10"/>
  <c r="G5" i="10" s="1"/>
  <c r="H5" i="10" s="1"/>
  <c r="I5" i="10" s="1"/>
  <c r="J5" i="10" s="1"/>
  <c r="K5" i="10" s="1"/>
  <c r="L5" i="10" s="1"/>
  <c r="E5" i="10"/>
  <c r="D5" i="10"/>
  <c r="L4" i="10"/>
  <c r="L6" i="10"/>
  <c r="K4" i="10"/>
  <c r="K6" i="10"/>
  <c r="J4" i="10"/>
  <c r="J6" i="10"/>
  <c r="I4" i="10"/>
  <c r="I6" i="10"/>
  <c r="H4" i="10"/>
  <c r="H6" i="10"/>
  <c r="G4" i="10"/>
  <c r="G6" i="10"/>
  <c r="F4" i="10"/>
  <c r="F6" i="10"/>
  <c r="E4" i="10"/>
  <c r="E6" i="10"/>
  <c r="D4" i="10"/>
  <c r="D6" i="10"/>
  <c r="C5" i="10"/>
  <c r="C4" i="10"/>
  <c r="C6" i="10"/>
  <c r="B2" i="10"/>
  <c r="A3" i="10"/>
  <c r="B3" i="10"/>
  <c r="B4" i="10"/>
  <c r="A5" i="10"/>
  <c r="B5" i="10"/>
  <c r="B6" i="10"/>
  <c r="B7" i="10"/>
  <c r="B8" i="10"/>
  <c r="B9" i="10"/>
  <c r="B1" i="10"/>
  <c r="A1" i="10"/>
  <c r="C3" i="4"/>
  <c r="D55" i="1"/>
  <c r="D51" i="1"/>
  <c r="D50" i="1"/>
  <c r="C7" i="4"/>
  <c r="C2" i="5" l="1"/>
  <c r="Z58" i="5" l="1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N23" i="9"/>
  <c r="M23" i="9"/>
  <c r="L23" i="9"/>
  <c r="K23" i="9"/>
  <c r="J23" i="9"/>
  <c r="I23" i="9"/>
  <c r="H23" i="9"/>
  <c r="G23" i="9"/>
  <c r="F23" i="9"/>
  <c r="E23" i="9"/>
  <c r="D23" i="9"/>
  <c r="C23" i="9"/>
  <c r="D11" i="9" l="1"/>
  <c r="C11" i="9"/>
  <c r="G15" i="7"/>
  <c r="J15" i="7"/>
  <c r="K15" i="7" s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H68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7" i="1"/>
  <c r="D88" i="1"/>
  <c r="D89" i="1"/>
  <c r="D91" i="1"/>
  <c r="D92" i="1"/>
  <c r="D68" i="1"/>
  <c r="D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B95" i="1"/>
  <c r="B67" i="1"/>
  <c r="A67" i="1"/>
  <c r="D54" i="1"/>
  <c r="D52" i="1"/>
  <c r="E52" i="1" s="1"/>
  <c r="F52" i="1" s="1"/>
  <c r="G52" i="1" s="1"/>
  <c r="H52" i="1" s="1"/>
  <c r="I52" i="1" s="1"/>
  <c r="J52" i="1" s="1"/>
  <c r="K52" i="1" s="1"/>
  <c r="D48" i="1"/>
  <c r="E47" i="1"/>
  <c r="F47" i="1" s="1"/>
  <c r="G47" i="1" s="1"/>
  <c r="H47" i="1" s="1"/>
  <c r="I47" i="1" s="1"/>
  <c r="J47" i="1" s="1"/>
  <c r="K47" i="1" s="1"/>
  <c r="D47" i="1"/>
  <c r="H46" i="1"/>
  <c r="I46" i="1" s="1"/>
  <c r="J46" i="1" s="1"/>
  <c r="K46" i="1" s="1"/>
  <c r="E46" i="1"/>
  <c r="F46" i="1" s="1"/>
  <c r="G46" i="1" s="1"/>
  <c r="D46" i="1"/>
  <c r="E45" i="1"/>
  <c r="F45" i="1" s="1"/>
  <c r="D45" i="1"/>
  <c r="E44" i="1"/>
  <c r="F44" i="1" s="1"/>
  <c r="G44" i="1" s="1"/>
  <c r="H44" i="1" s="1"/>
  <c r="H81" i="1" s="1"/>
  <c r="E42" i="1"/>
  <c r="F42" i="1" s="1"/>
  <c r="G42" i="1" s="1"/>
  <c r="H42" i="1" s="1"/>
  <c r="H79" i="1" s="1"/>
  <c r="D41" i="1"/>
  <c r="E41" i="1" s="1"/>
  <c r="D40" i="1"/>
  <c r="E40" i="1" s="1"/>
  <c r="F40" i="1" s="1"/>
  <c r="G40" i="1" s="1"/>
  <c r="H40" i="1" s="1"/>
  <c r="I40" i="1" s="1"/>
  <c r="J40" i="1" s="1"/>
  <c r="K40" i="1" s="1"/>
  <c r="K39" i="1"/>
  <c r="G39" i="1"/>
  <c r="D38" i="1"/>
  <c r="D37" i="1"/>
  <c r="D36" i="1"/>
  <c r="D35" i="1"/>
  <c r="E35" i="1" s="1"/>
  <c r="F35" i="1" s="1"/>
  <c r="I31" i="1"/>
  <c r="J31" i="1" s="1"/>
  <c r="K31" i="1" s="1"/>
  <c r="K68" i="1" s="1"/>
  <c r="E31" i="1"/>
  <c r="F31" i="1" s="1"/>
  <c r="G31" i="1" s="1"/>
  <c r="G68" i="1" s="1"/>
  <c r="E30" i="1"/>
  <c r="F30" i="1" s="1"/>
  <c r="G30" i="1" s="1"/>
  <c r="H30" i="1" s="1"/>
  <c r="I30" i="1" s="1"/>
  <c r="J30" i="1" s="1"/>
  <c r="K30" i="1" s="1"/>
  <c r="D32" i="1"/>
  <c r="D69" i="1" s="1"/>
  <c r="E68" i="1" l="1"/>
  <c r="C3" i="11" s="1"/>
  <c r="I44" i="1"/>
  <c r="G81" i="1"/>
  <c r="F81" i="1"/>
  <c r="C16" i="11" s="1"/>
  <c r="E81" i="1"/>
  <c r="J68" i="1"/>
  <c r="I68" i="1"/>
  <c r="D3" i="11" s="1"/>
  <c r="F68" i="1"/>
  <c r="G79" i="1"/>
  <c r="F79" i="1"/>
  <c r="E79" i="1"/>
  <c r="C14" i="11" s="1"/>
  <c r="B11" i="5"/>
  <c r="G35" i="1"/>
  <c r="E51" i="1"/>
  <c r="E36" i="1"/>
  <c r="F36" i="1" s="1"/>
  <c r="G36" i="1" s="1"/>
  <c r="H36" i="1" s="1"/>
  <c r="I36" i="1" s="1"/>
  <c r="J36" i="1" s="1"/>
  <c r="K36" i="1" s="1"/>
  <c r="E48" i="1"/>
  <c r="D49" i="1"/>
  <c r="D86" i="1" s="1"/>
  <c r="E50" i="1"/>
  <c r="E87" i="1" s="1"/>
  <c r="E32" i="1"/>
  <c r="E69" i="1" s="1"/>
  <c r="F41" i="1"/>
  <c r="G41" i="1" s="1"/>
  <c r="H41" i="1" s="1"/>
  <c r="I41" i="1" s="1"/>
  <c r="J41" i="1" s="1"/>
  <c r="K41" i="1" s="1"/>
  <c r="I42" i="1"/>
  <c r="H38" i="1"/>
  <c r="E55" i="1"/>
  <c r="D43" i="1"/>
  <c r="D80" i="1" s="1"/>
  <c r="E54" i="1"/>
  <c r="F54" i="1" s="1"/>
  <c r="G54" i="1" s="1"/>
  <c r="H54" i="1" s="1"/>
  <c r="I54" i="1" s="1"/>
  <c r="J54" i="1" s="1"/>
  <c r="K54" i="1" s="1"/>
  <c r="G45" i="1"/>
  <c r="E11" i="5" l="1"/>
  <c r="F11" i="5"/>
  <c r="C16" i="13"/>
  <c r="F51" i="1"/>
  <c r="E88" i="1"/>
  <c r="F55" i="1"/>
  <c r="E92" i="1"/>
  <c r="J44" i="1"/>
  <c r="I81" i="1"/>
  <c r="J42" i="1"/>
  <c r="I79" i="1"/>
  <c r="H45" i="1"/>
  <c r="F48" i="1"/>
  <c r="E43" i="1"/>
  <c r="E80" i="1" s="1"/>
  <c r="G32" i="1"/>
  <c r="G69" i="1" s="1"/>
  <c r="H35" i="1"/>
  <c r="F32" i="1"/>
  <c r="F69" i="1" s="1"/>
  <c r="F50" i="1"/>
  <c r="F87" i="1" s="1"/>
  <c r="E49" i="1"/>
  <c r="E86" i="1" s="1"/>
  <c r="D16" i="11" l="1"/>
  <c r="C4" i="11"/>
  <c r="G51" i="1"/>
  <c r="F88" i="1"/>
  <c r="G55" i="1"/>
  <c r="F92" i="1"/>
  <c r="K44" i="1"/>
  <c r="K81" i="1" s="1"/>
  <c r="J81" i="1"/>
  <c r="K42" i="1"/>
  <c r="K79" i="1" s="1"/>
  <c r="J79" i="1"/>
  <c r="I45" i="1"/>
  <c r="I35" i="1"/>
  <c r="H32" i="1"/>
  <c r="H69" i="1" s="1"/>
  <c r="G50" i="1"/>
  <c r="G87" i="1" s="1"/>
  <c r="F49" i="1"/>
  <c r="F86" i="1" s="1"/>
  <c r="G48" i="1"/>
  <c r="F43" i="1"/>
  <c r="F80" i="1" s="1"/>
  <c r="D16" i="13" l="1"/>
  <c r="D14" i="11"/>
  <c r="G88" i="1"/>
  <c r="H51" i="1"/>
  <c r="H55" i="1"/>
  <c r="G92" i="1"/>
  <c r="H50" i="1"/>
  <c r="H87" i="1" s="1"/>
  <c r="G49" i="1"/>
  <c r="G86" i="1" s="1"/>
  <c r="J45" i="1"/>
  <c r="H48" i="1"/>
  <c r="G43" i="1"/>
  <c r="G80" i="1" s="1"/>
  <c r="C15" i="11" s="1"/>
  <c r="J35" i="1"/>
  <c r="I32" i="1"/>
  <c r="I69" i="1" s="1"/>
  <c r="C15" i="13" l="1"/>
  <c r="I51" i="1"/>
  <c r="H88" i="1"/>
  <c r="I55" i="1"/>
  <c r="H92" i="1"/>
  <c r="K35" i="1"/>
  <c r="J32" i="1"/>
  <c r="J69" i="1" s="1"/>
  <c r="K45" i="1"/>
  <c r="I48" i="1"/>
  <c r="H43" i="1"/>
  <c r="H80" i="1" s="1"/>
  <c r="H49" i="1"/>
  <c r="H86" i="1" s="1"/>
  <c r="I50" i="1"/>
  <c r="I87" i="1" s="1"/>
  <c r="J51" i="1" l="1"/>
  <c r="I88" i="1"/>
  <c r="J55" i="1"/>
  <c r="I92" i="1"/>
  <c r="J50" i="1"/>
  <c r="J87" i="1" s="1"/>
  <c r="I49" i="1"/>
  <c r="I86" i="1" s="1"/>
  <c r="J48" i="1"/>
  <c r="I43" i="1"/>
  <c r="I80" i="1" s="1"/>
  <c r="K32" i="1"/>
  <c r="K69" i="1" s="1"/>
  <c r="D4" i="11" s="1"/>
  <c r="K51" i="1" l="1"/>
  <c r="K88" i="1" s="1"/>
  <c r="J88" i="1"/>
  <c r="K55" i="1"/>
  <c r="K92" i="1" s="1"/>
  <c r="J92" i="1"/>
  <c r="K48" i="1"/>
  <c r="J43" i="1"/>
  <c r="J80" i="1" s="1"/>
  <c r="K50" i="1"/>
  <c r="K87" i="1" s="1"/>
  <c r="J49" i="1"/>
  <c r="J86" i="1" s="1"/>
  <c r="D15" i="11" l="1"/>
  <c r="K49" i="1"/>
  <c r="K86" i="1" s="1"/>
  <c r="K43" i="1"/>
  <c r="K80" i="1" s="1"/>
  <c r="D15" i="13" l="1"/>
  <c r="AB12" i="5"/>
  <c r="AB13" i="5"/>
  <c r="AB14" i="5"/>
  <c r="AB15" i="5"/>
  <c r="AB16" i="5"/>
  <c r="AB17" i="5"/>
  <c r="AB18" i="5"/>
  <c r="AB11" i="5"/>
  <c r="S59" i="5" l="1"/>
  <c r="P29" i="5" l="1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26" i="5"/>
  <c r="P21" i="5"/>
  <c r="P22" i="5"/>
  <c r="P23" i="5"/>
  <c r="P24" i="5"/>
  <c r="P25" i="5"/>
  <c r="P13" i="5"/>
  <c r="P14" i="5"/>
  <c r="P15" i="5"/>
  <c r="P16" i="5"/>
  <c r="P17" i="5"/>
  <c r="P18" i="5"/>
  <c r="P19" i="5"/>
  <c r="P20" i="5"/>
  <c r="J19" i="5"/>
  <c r="L19" i="5" s="1"/>
  <c r="J20" i="5"/>
  <c r="L20" i="5" s="1"/>
  <c r="J21" i="5"/>
  <c r="L21" i="5" s="1"/>
  <c r="J22" i="5"/>
  <c r="L22" i="5" s="1"/>
  <c r="J23" i="5"/>
  <c r="L23" i="5" s="1"/>
  <c r="J24" i="5"/>
  <c r="L24" i="5" s="1"/>
  <c r="J25" i="5"/>
  <c r="L25" i="5" s="1"/>
  <c r="J26" i="5"/>
  <c r="L26" i="5" s="1"/>
  <c r="J27" i="5"/>
  <c r="L27" i="5" s="1"/>
  <c r="J28" i="5"/>
  <c r="L28" i="5" s="1"/>
  <c r="J29" i="5"/>
  <c r="L29" i="5" s="1"/>
  <c r="J30" i="5"/>
  <c r="L30" i="5" s="1"/>
  <c r="J31" i="5"/>
  <c r="L31" i="5" s="1"/>
  <c r="J32" i="5"/>
  <c r="L32" i="5" s="1"/>
  <c r="J33" i="5"/>
  <c r="L33" i="5" s="1"/>
  <c r="J34" i="5"/>
  <c r="L34" i="5" s="1"/>
  <c r="J35" i="5"/>
  <c r="L35" i="5" s="1"/>
  <c r="J36" i="5"/>
  <c r="L36" i="5" s="1"/>
  <c r="J37" i="5"/>
  <c r="L37" i="5" s="1"/>
  <c r="J38" i="5"/>
  <c r="L38" i="5" s="1"/>
  <c r="J39" i="5"/>
  <c r="L39" i="5" s="1"/>
  <c r="J40" i="5"/>
  <c r="L40" i="5" s="1"/>
  <c r="J41" i="5"/>
  <c r="L41" i="5" s="1"/>
  <c r="J42" i="5"/>
  <c r="L42" i="5" s="1"/>
  <c r="J43" i="5"/>
  <c r="L43" i="5" s="1"/>
  <c r="J44" i="5"/>
  <c r="L44" i="5" s="1"/>
  <c r="J45" i="5"/>
  <c r="L45" i="5" s="1"/>
  <c r="J46" i="5"/>
  <c r="L46" i="5" s="1"/>
  <c r="J47" i="5"/>
  <c r="L47" i="5" s="1"/>
  <c r="J48" i="5"/>
  <c r="L48" i="5" s="1"/>
  <c r="J49" i="5"/>
  <c r="L49" i="5" s="1"/>
  <c r="J50" i="5"/>
  <c r="L50" i="5" s="1"/>
  <c r="J51" i="5"/>
  <c r="L51" i="5" s="1"/>
  <c r="J52" i="5"/>
  <c r="L52" i="5" s="1"/>
  <c r="J53" i="5"/>
  <c r="L53" i="5" s="1"/>
  <c r="J54" i="5"/>
  <c r="L54" i="5" s="1"/>
  <c r="J55" i="5"/>
  <c r="L55" i="5" s="1"/>
  <c r="J56" i="5"/>
  <c r="L56" i="5" s="1"/>
  <c r="J57" i="5"/>
  <c r="L57" i="5" s="1"/>
  <c r="J58" i="5"/>
  <c r="L58" i="5" s="1"/>
  <c r="F5" i="9" l="1"/>
  <c r="F33" i="15" s="1"/>
  <c r="G5" i="9"/>
  <c r="G33" i="15" s="1"/>
  <c r="N5" i="9"/>
  <c r="M5" i="9"/>
  <c r="L5" i="9"/>
  <c r="K5" i="9"/>
  <c r="J5" i="9"/>
  <c r="I5" i="9"/>
  <c r="H5" i="9"/>
  <c r="H33" i="15" s="1"/>
  <c r="I33" i="15" s="1"/>
  <c r="J33" i="15" s="1"/>
  <c r="K33" i="15" s="1"/>
  <c r="L33" i="15" s="1"/>
  <c r="M33" i="15" s="1"/>
  <c r="N33" i="15" s="1"/>
  <c r="C5" i="9"/>
  <c r="C33" i="15" s="1"/>
  <c r="E5" i="9"/>
  <c r="E33" i="15" s="1"/>
  <c r="D5" i="9"/>
  <c r="D33" i="15" s="1"/>
  <c r="D35" i="15" s="1"/>
  <c r="P59" i="5"/>
  <c r="B18" i="5"/>
  <c r="B17" i="5"/>
  <c r="B16" i="5"/>
  <c r="B15" i="5"/>
  <c r="B14" i="5"/>
  <c r="B13" i="5"/>
  <c r="B12" i="5"/>
  <c r="F13" i="5" l="1"/>
  <c r="J13" i="5"/>
  <c r="L13" i="5" s="1"/>
  <c r="C35" i="15"/>
  <c r="O33" i="15"/>
  <c r="E16" i="5"/>
  <c r="F16" i="5"/>
  <c r="E17" i="5"/>
  <c r="F17" i="5"/>
  <c r="E18" i="5"/>
  <c r="F18" i="5"/>
  <c r="E15" i="5"/>
  <c r="F15" i="5"/>
  <c r="E13" i="5"/>
  <c r="E14" i="5"/>
  <c r="F14" i="5"/>
  <c r="E12" i="5"/>
  <c r="F12" i="5"/>
  <c r="G13" i="5" s="1"/>
  <c r="O5" i="9"/>
  <c r="E15" i="9"/>
  <c r="E34" i="15" s="1"/>
  <c r="B10" i="6"/>
  <c r="C3" i="9"/>
  <c r="D3" i="9"/>
  <c r="P61" i="5"/>
  <c r="P15" i="9"/>
  <c r="C11" i="5"/>
  <c r="D12" i="5" s="1"/>
  <c r="B59" i="5"/>
  <c r="J14" i="5"/>
  <c r="L14" i="5" s="1"/>
  <c r="J15" i="5"/>
  <c r="L15" i="5" s="1"/>
  <c r="J12" i="5"/>
  <c r="L12" i="5" s="1"/>
  <c r="J16" i="5"/>
  <c r="L16" i="5" s="1"/>
  <c r="J18" i="5"/>
  <c r="L18" i="5" s="1"/>
  <c r="J11" i="5"/>
  <c r="J17" i="5"/>
  <c r="L17" i="5" s="1"/>
  <c r="E35" i="15" l="1"/>
  <c r="F34" i="15"/>
  <c r="D3" i="15"/>
  <c r="D5" i="15" s="1"/>
  <c r="C18" i="14"/>
  <c r="C17" i="14"/>
  <c r="C3" i="15"/>
  <c r="L11" i="5"/>
  <c r="K19" i="5" s="1"/>
  <c r="E12" i="9"/>
  <c r="D31" i="9"/>
  <c r="D32" i="9" s="1"/>
  <c r="C31" i="9"/>
  <c r="O3" i="9"/>
  <c r="D6" i="14" s="1"/>
  <c r="F15" i="9"/>
  <c r="G15" i="9" s="1"/>
  <c r="H15" i="9" s="1"/>
  <c r="I15" i="9" s="1"/>
  <c r="J15" i="9" s="1"/>
  <c r="K15" i="9" s="1"/>
  <c r="L15" i="9" s="1"/>
  <c r="M15" i="9" s="1"/>
  <c r="N15" i="9" s="1"/>
  <c r="B61" i="5"/>
  <c r="P12" i="9"/>
  <c r="G18" i="5"/>
  <c r="G15" i="5"/>
  <c r="H19" i="5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G19" i="5"/>
  <c r="I11" i="5"/>
  <c r="I12" i="5"/>
  <c r="I13" i="5" s="1"/>
  <c r="I14" i="5" s="1"/>
  <c r="I15" i="5" s="1"/>
  <c r="I16" i="5" s="1"/>
  <c r="I17" i="5" s="1"/>
  <c r="I18" i="5" s="1"/>
  <c r="I19" i="5" s="1"/>
  <c r="G17" i="5"/>
  <c r="J59" i="5"/>
  <c r="G11" i="5"/>
  <c r="Y11" i="5" s="1"/>
  <c r="AA11" i="5" s="1"/>
  <c r="G12" i="5"/>
  <c r="G16" i="5"/>
  <c r="G14" i="5"/>
  <c r="AA13" i="5"/>
  <c r="M11" i="5"/>
  <c r="M12" i="5" s="1"/>
  <c r="M13" i="5" s="1"/>
  <c r="M14" i="5" s="1"/>
  <c r="M15" i="5" s="1"/>
  <c r="M16" i="5" s="1"/>
  <c r="M17" i="5" s="1"/>
  <c r="M18" i="5" s="1"/>
  <c r="D36" i="9" l="1"/>
  <c r="D18" i="15"/>
  <c r="D17" i="15" s="1"/>
  <c r="D28" i="15" s="1"/>
  <c r="C29" i="14"/>
  <c r="O3" i="15"/>
  <c r="C5" i="15"/>
  <c r="AA15" i="5"/>
  <c r="F12" i="9"/>
  <c r="G12" i="9" s="1"/>
  <c r="H12" i="9" s="1"/>
  <c r="I12" i="9" s="1"/>
  <c r="J12" i="9" s="1"/>
  <c r="K12" i="9" s="1"/>
  <c r="L12" i="9" s="1"/>
  <c r="M12" i="9" s="1"/>
  <c r="N12" i="9" s="1"/>
  <c r="G4" i="15"/>
  <c r="G5" i="15" s="1"/>
  <c r="K4" i="15"/>
  <c r="K5" i="15" s="1"/>
  <c r="F4" i="15"/>
  <c r="F5" i="15" s="1"/>
  <c r="H4" i="15"/>
  <c r="H5" i="15" s="1"/>
  <c r="L4" i="15"/>
  <c r="L5" i="15" s="1"/>
  <c r="E4" i="15"/>
  <c r="J4" i="15"/>
  <c r="J5" i="15" s="1"/>
  <c r="I4" i="15"/>
  <c r="I5" i="15" s="1"/>
  <c r="M4" i="15"/>
  <c r="M5" i="15" s="1"/>
  <c r="N4" i="15"/>
  <c r="N5" i="15" s="1"/>
  <c r="G34" i="15"/>
  <c r="F35" i="15"/>
  <c r="AA14" i="5"/>
  <c r="C32" i="9"/>
  <c r="L59" i="5"/>
  <c r="B3" i="6" s="1"/>
  <c r="B4" i="6" s="1"/>
  <c r="B5" i="6" s="1"/>
  <c r="C10" i="6" s="1"/>
  <c r="AA17" i="5"/>
  <c r="Y12" i="5"/>
  <c r="AA12" i="5" s="1"/>
  <c r="AA16" i="5"/>
  <c r="AA18" i="5"/>
  <c r="D4" i="9"/>
  <c r="C4" i="9"/>
  <c r="O15" i="9"/>
  <c r="K59" i="5"/>
  <c r="E17" i="9" s="1"/>
  <c r="E20" i="9"/>
  <c r="G45" i="5"/>
  <c r="G42" i="5"/>
  <c r="C12" i="5"/>
  <c r="I20" i="5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G30" i="5"/>
  <c r="G25" i="5"/>
  <c r="G23" i="5"/>
  <c r="G24" i="5"/>
  <c r="G21" i="5"/>
  <c r="G46" i="5"/>
  <c r="G41" i="5"/>
  <c r="G31" i="5"/>
  <c r="G40" i="5"/>
  <c r="G29" i="5"/>
  <c r="G26" i="5"/>
  <c r="G39" i="5"/>
  <c r="G22" i="5"/>
  <c r="G33" i="5"/>
  <c r="G34" i="5"/>
  <c r="G27" i="5"/>
  <c r="G43" i="5"/>
  <c r="G28" i="5"/>
  <c r="G44" i="5"/>
  <c r="G32" i="5"/>
  <c r="G48" i="5"/>
  <c r="G37" i="5"/>
  <c r="G38" i="5"/>
  <c r="G47" i="5"/>
  <c r="G49" i="5"/>
  <c r="G50" i="5"/>
  <c r="G35" i="5"/>
  <c r="G20" i="5"/>
  <c r="G36" i="5"/>
  <c r="N31" i="5"/>
  <c r="N42" i="5"/>
  <c r="N40" i="5"/>
  <c r="N33" i="5"/>
  <c r="N26" i="5"/>
  <c r="N49" i="5" l="1"/>
  <c r="N24" i="5"/>
  <c r="N54" i="5"/>
  <c r="N56" i="5"/>
  <c r="N47" i="5"/>
  <c r="D2" i="9"/>
  <c r="D18" i="14" s="1"/>
  <c r="B18" i="14" s="1"/>
  <c r="D10" i="15"/>
  <c r="D13" i="15" s="1"/>
  <c r="O20" i="9"/>
  <c r="E27" i="15"/>
  <c r="O27" i="15" s="1"/>
  <c r="E5" i="15"/>
  <c r="O5" i="15" s="1"/>
  <c r="O4" i="15"/>
  <c r="C36" i="9"/>
  <c r="C18" i="15"/>
  <c r="H34" i="15"/>
  <c r="G35" i="15"/>
  <c r="C2" i="9"/>
  <c r="C10" i="15"/>
  <c r="N46" i="5"/>
  <c r="N22" i="5"/>
  <c r="N45" i="5"/>
  <c r="N29" i="5"/>
  <c r="N52" i="5"/>
  <c r="N36" i="5"/>
  <c r="N20" i="5"/>
  <c r="N34" i="5"/>
  <c r="N43" i="5"/>
  <c r="N27" i="5"/>
  <c r="N38" i="5"/>
  <c r="N57" i="5"/>
  <c r="N41" i="5"/>
  <c r="N25" i="5"/>
  <c r="N48" i="5"/>
  <c r="N32" i="5"/>
  <c r="N58" i="5"/>
  <c r="N55" i="5"/>
  <c r="N39" i="5"/>
  <c r="N23" i="5"/>
  <c r="N19" i="5"/>
  <c r="M19" i="5" s="1"/>
  <c r="N30" i="5"/>
  <c r="N53" i="5"/>
  <c r="N37" i="5"/>
  <c r="N21" i="5"/>
  <c r="N44" i="5"/>
  <c r="N28" i="5"/>
  <c r="N50" i="5"/>
  <c r="N51" i="5"/>
  <c r="N35" i="5"/>
  <c r="E4" i="9"/>
  <c r="E10" i="15" s="1"/>
  <c r="L4" i="9"/>
  <c r="L10" i="15" s="1"/>
  <c r="G4" i="9"/>
  <c r="G10" i="15" s="1"/>
  <c r="I4" i="9"/>
  <c r="I10" i="15" s="1"/>
  <c r="F4" i="9"/>
  <c r="F10" i="15" s="1"/>
  <c r="K4" i="9"/>
  <c r="K10" i="15" s="1"/>
  <c r="J4" i="9"/>
  <c r="J10" i="15" s="1"/>
  <c r="H4" i="9"/>
  <c r="H10" i="15" s="1"/>
  <c r="P17" i="9"/>
  <c r="K61" i="5"/>
  <c r="O12" i="9"/>
  <c r="G59" i="5"/>
  <c r="D13" i="5"/>
  <c r="C13" i="5" s="1"/>
  <c r="C34" i="9" l="1"/>
  <c r="D17" i="14"/>
  <c r="H35" i="15"/>
  <c r="I34" i="15"/>
  <c r="C13" i="15"/>
  <c r="O10" i="15"/>
  <c r="C17" i="15"/>
  <c r="O18" i="15"/>
  <c r="N59" i="5"/>
  <c r="E18" i="9"/>
  <c r="E11" i="15" s="1"/>
  <c r="B11" i="6"/>
  <c r="C11" i="6" s="1"/>
  <c r="D24" i="9"/>
  <c r="D25" i="9" s="1"/>
  <c r="D34" i="9"/>
  <c r="C30" i="9"/>
  <c r="C25" i="9"/>
  <c r="C26" i="9" s="1"/>
  <c r="O4" i="9"/>
  <c r="F17" i="9"/>
  <c r="G17" i="9" s="1"/>
  <c r="H17" i="9" s="1"/>
  <c r="I17" i="9" s="1"/>
  <c r="J17" i="9" s="1"/>
  <c r="K17" i="9" s="1"/>
  <c r="L17" i="9" s="1"/>
  <c r="M17" i="9" s="1"/>
  <c r="N17" i="9" s="1"/>
  <c r="P18" i="9"/>
  <c r="G61" i="5"/>
  <c r="D14" i="5"/>
  <c r="C14" i="5" s="1"/>
  <c r="O19" i="5"/>
  <c r="M20" i="5"/>
  <c r="C28" i="15" l="1"/>
  <c r="I35" i="15"/>
  <c r="J34" i="15"/>
  <c r="F11" i="15"/>
  <c r="G11" i="15" s="1"/>
  <c r="H11" i="15" s="1"/>
  <c r="I11" i="15" s="1"/>
  <c r="J11" i="15" s="1"/>
  <c r="K11" i="15" s="1"/>
  <c r="L11" i="15" s="1"/>
  <c r="M11" i="15" s="1"/>
  <c r="N11" i="15" s="1"/>
  <c r="B17" i="14"/>
  <c r="D30" i="9"/>
  <c r="C27" i="9"/>
  <c r="C28" i="9" s="1"/>
  <c r="D26" i="9"/>
  <c r="D27" i="9" s="1"/>
  <c r="F18" i="9"/>
  <c r="G18" i="9" s="1"/>
  <c r="H18" i="9" s="1"/>
  <c r="I18" i="9" s="1"/>
  <c r="J18" i="9" s="1"/>
  <c r="K18" i="9" s="1"/>
  <c r="L18" i="9" s="1"/>
  <c r="M18" i="9" s="1"/>
  <c r="N18" i="9" s="1"/>
  <c r="O17" i="9"/>
  <c r="D15" i="5"/>
  <c r="C15" i="5" s="1"/>
  <c r="O20" i="5"/>
  <c r="M21" i="5"/>
  <c r="K34" i="15" l="1"/>
  <c r="J35" i="15"/>
  <c r="O11" i="15"/>
  <c r="D28" i="9"/>
  <c r="D29" i="9" s="1"/>
  <c r="C29" i="9"/>
  <c r="O18" i="9"/>
  <c r="D16" i="5"/>
  <c r="C16" i="5" s="1"/>
  <c r="M22" i="5"/>
  <c r="O21" i="5"/>
  <c r="L34" i="15" l="1"/>
  <c r="K35" i="15"/>
  <c r="D17" i="5"/>
  <c r="C17" i="5" s="1"/>
  <c r="M23" i="5"/>
  <c r="O22" i="5"/>
  <c r="E6" i="9" s="1"/>
  <c r="E21" i="15" s="1"/>
  <c r="L35" i="15" l="1"/>
  <c r="M34" i="15"/>
  <c r="D18" i="5"/>
  <c r="C18" i="5" s="1"/>
  <c r="M24" i="5"/>
  <c r="O23" i="5"/>
  <c r="N34" i="15" l="1"/>
  <c r="M35" i="15"/>
  <c r="D19" i="5"/>
  <c r="C19" i="5" s="1"/>
  <c r="M25" i="5"/>
  <c r="O24" i="5"/>
  <c r="N35" i="15" l="1"/>
  <c r="O35" i="15" s="1"/>
  <c r="O34" i="15"/>
  <c r="D20" i="5"/>
  <c r="C20" i="5" s="1"/>
  <c r="M26" i="5"/>
  <c r="O25" i="5"/>
  <c r="D21" i="5" l="1"/>
  <c r="C21" i="5" s="1"/>
  <c r="D22" i="5" s="1"/>
  <c r="C22" i="5" s="1"/>
  <c r="M27" i="5"/>
  <c r="O26" i="5"/>
  <c r="F6" i="9" s="1"/>
  <c r="F21" i="15" s="1"/>
  <c r="D23" i="5" l="1"/>
  <c r="C23" i="5" s="1"/>
  <c r="M28" i="5"/>
  <c r="O27" i="5"/>
  <c r="D24" i="5" l="1"/>
  <c r="C24" i="5" s="1"/>
  <c r="M29" i="5"/>
  <c r="O28" i="5"/>
  <c r="D25" i="5" l="1"/>
  <c r="C25" i="5" s="1"/>
  <c r="M30" i="5"/>
  <c r="O29" i="5"/>
  <c r="D26" i="5" l="1"/>
  <c r="C26" i="5" s="1"/>
  <c r="M31" i="5"/>
  <c r="O30" i="5"/>
  <c r="G6" i="9" s="1"/>
  <c r="G21" i="15" s="1"/>
  <c r="D27" i="5" l="1"/>
  <c r="C27" i="5" s="1"/>
  <c r="D28" i="5" s="1"/>
  <c r="C28" i="5" s="1"/>
  <c r="D29" i="5" s="1"/>
  <c r="C29" i="5" s="1"/>
  <c r="M32" i="5"/>
  <c r="O31" i="5"/>
  <c r="D30" i="5" l="1"/>
  <c r="C30" i="5" s="1"/>
  <c r="M33" i="5"/>
  <c r="O32" i="5"/>
  <c r="D31" i="5" l="1"/>
  <c r="C31" i="5" s="1"/>
  <c r="M34" i="5"/>
  <c r="O33" i="5"/>
  <c r="D32" i="5" l="1"/>
  <c r="C32" i="5" s="1"/>
  <c r="M35" i="5"/>
  <c r="O34" i="5"/>
  <c r="H6" i="9" s="1"/>
  <c r="H21" i="15" s="1"/>
  <c r="D33" i="5" l="1"/>
  <c r="C33" i="5" s="1"/>
  <c r="M36" i="5"/>
  <c r="O36" i="5" s="1"/>
  <c r="O35" i="5"/>
  <c r="D34" i="5" l="1"/>
  <c r="C34" i="5" s="1"/>
  <c r="M37" i="5"/>
  <c r="D35" i="5" l="1"/>
  <c r="C35" i="5" s="1"/>
  <c r="M38" i="5"/>
  <c r="O37" i="5"/>
  <c r="D36" i="5" l="1"/>
  <c r="C36" i="5" s="1"/>
  <c r="M39" i="5"/>
  <c r="O38" i="5"/>
  <c r="I6" i="9" s="1"/>
  <c r="I21" i="15" s="1"/>
  <c r="D37" i="5" l="1"/>
  <c r="C37" i="5" s="1"/>
  <c r="M40" i="5"/>
  <c r="O39" i="5"/>
  <c r="D38" i="5" l="1"/>
  <c r="C38" i="5" s="1"/>
  <c r="D39" i="5" s="1"/>
  <c r="C39" i="5" s="1"/>
  <c r="M41" i="5"/>
  <c r="O40" i="5"/>
  <c r="D40" i="5" l="1"/>
  <c r="C40" i="5" s="1"/>
  <c r="D41" i="5" s="1"/>
  <c r="C41" i="5" s="1"/>
  <c r="M42" i="5"/>
  <c r="O41" i="5"/>
  <c r="D42" i="5" l="1"/>
  <c r="C42" i="5" s="1"/>
  <c r="M43" i="5"/>
  <c r="O42" i="5"/>
  <c r="J6" i="9" s="1"/>
  <c r="J21" i="15" s="1"/>
  <c r="D43" i="5" l="1"/>
  <c r="C43" i="5" s="1"/>
  <c r="D44" i="5" s="1"/>
  <c r="C44" i="5" s="1"/>
  <c r="D45" i="5" s="1"/>
  <c r="C45" i="5" s="1"/>
  <c r="M44" i="5"/>
  <c r="O43" i="5"/>
  <c r="D46" i="5" l="1"/>
  <c r="C46" i="5" s="1"/>
  <c r="M45" i="5"/>
  <c r="O44" i="5"/>
  <c r="D47" i="5" l="1"/>
  <c r="C47" i="5" s="1"/>
  <c r="D48" i="5" s="1"/>
  <c r="C48" i="5" s="1"/>
  <c r="D49" i="5" s="1"/>
  <c r="C49" i="5" s="1"/>
  <c r="M46" i="5"/>
  <c r="O45" i="5"/>
  <c r="D50" i="5" l="1"/>
  <c r="C50" i="5" s="1"/>
  <c r="M47" i="5"/>
  <c r="O46" i="5"/>
  <c r="K6" i="9" s="1"/>
  <c r="K21" i="15" s="1"/>
  <c r="D51" i="5" l="1"/>
  <c r="C51" i="5" s="1"/>
  <c r="M48" i="5"/>
  <c r="O47" i="5"/>
  <c r="D52" i="5" l="1"/>
  <c r="C52" i="5" s="1"/>
  <c r="D53" i="5" s="1"/>
  <c r="C53" i="5" s="1"/>
  <c r="M49" i="5"/>
  <c r="O48" i="5"/>
  <c r="D54" i="5" l="1"/>
  <c r="C54" i="5" s="1"/>
  <c r="M50" i="5"/>
  <c r="O49" i="5"/>
  <c r="D55" i="5" l="1"/>
  <c r="C55" i="5" s="1"/>
  <c r="D56" i="5" s="1"/>
  <c r="C56" i="5" s="1"/>
  <c r="M51" i="5"/>
  <c r="O50" i="5"/>
  <c r="L6" i="9" s="1"/>
  <c r="L21" i="15" s="1"/>
  <c r="D57" i="5" l="1"/>
  <c r="C57" i="5" s="1"/>
  <c r="M52" i="5"/>
  <c r="O51" i="5"/>
  <c r="D58" i="5" l="1"/>
  <c r="C58" i="5" s="1"/>
  <c r="C59" i="5" s="1"/>
  <c r="M53" i="5"/>
  <c r="O52" i="5"/>
  <c r="D59" i="5" l="1"/>
  <c r="M54" i="5"/>
  <c r="O53" i="5"/>
  <c r="E13" i="9" l="1"/>
  <c r="E12" i="15" s="1"/>
  <c r="B8" i="6"/>
  <c r="D61" i="5"/>
  <c r="P13" i="9"/>
  <c r="M55" i="5"/>
  <c r="O54" i="5"/>
  <c r="M6" i="9" s="1"/>
  <c r="M21" i="15" s="1"/>
  <c r="F12" i="15" l="1"/>
  <c r="E13" i="15"/>
  <c r="C8" i="6"/>
  <c r="F13" i="9"/>
  <c r="G13" i="9" s="1"/>
  <c r="H13" i="9" s="1"/>
  <c r="I13" i="9" s="1"/>
  <c r="J13" i="9" s="1"/>
  <c r="K13" i="9" s="1"/>
  <c r="L13" i="9" s="1"/>
  <c r="M13" i="9" s="1"/>
  <c r="N13" i="9" s="1"/>
  <c r="M56" i="5"/>
  <c r="O55" i="5"/>
  <c r="G12" i="15" l="1"/>
  <c r="F13" i="15"/>
  <c r="O13" i="9"/>
  <c r="M57" i="5"/>
  <c r="O56" i="5"/>
  <c r="H12" i="15" l="1"/>
  <c r="G13" i="15"/>
  <c r="M58" i="5"/>
  <c r="O57" i="5"/>
  <c r="H13" i="15" l="1"/>
  <c r="I12" i="15"/>
  <c r="O58" i="5"/>
  <c r="M59" i="5"/>
  <c r="J12" i="15" l="1"/>
  <c r="I13" i="15"/>
  <c r="O59" i="5"/>
  <c r="N6" i="9"/>
  <c r="AJ9" i="1"/>
  <c r="AK9" i="1"/>
  <c r="AL9" i="1"/>
  <c r="AM9" i="1"/>
  <c r="AN9" i="1"/>
  <c r="L8" i="10" s="1"/>
  <c r="M8" i="10" s="1"/>
  <c r="AO9" i="1"/>
  <c r="AP9" i="1"/>
  <c r="AQ9" i="1"/>
  <c r="K8" i="10" l="1"/>
  <c r="O6" i="9"/>
  <c r="N21" i="15"/>
  <c r="O21" i="15" s="1"/>
  <c r="K12" i="15"/>
  <c r="J13" i="15"/>
  <c r="B9" i="6"/>
  <c r="E14" i="9"/>
  <c r="E24" i="15" s="1"/>
  <c r="O61" i="5"/>
  <c r="P14" i="9"/>
  <c r="I2" i="8"/>
  <c r="J2" i="8"/>
  <c r="N2" i="7" s="1"/>
  <c r="N2" i="8" s="1"/>
  <c r="R2" i="7" s="1"/>
  <c r="R2" i="8" s="1"/>
  <c r="V2" i="7" s="1"/>
  <c r="V2" i="8" s="1"/>
  <c r="Z2" i="7" s="1"/>
  <c r="Z2" i="8" s="1"/>
  <c r="AD2" i="7" s="1"/>
  <c r="AD2" i="8" s="1"/>
  <c r="AH2" i="7" s="1"/>
  <c r="AH2" i="8" s="1"/>
  <c r="AL2" i="7" s="1"/>
  <c r="AL2" i="8" s="1"/>
  <c r="AP2" i="7" s="1"/>
  <c r="AP2" i="8" s="1"/>
  <c r="K2" i="8"/>
  <c r="L2" i="8"/>
  <c r="E2" i="8"/>
  <c r="F2" i="8"/>
  <c r="G2" i="8"/>
  <c r="H2" i="8"/>
  <c r="L2" i="7" s="1"/>
  <c r="D2" i="8"/>
  <c r="P2" i="7"/>
  <c r="P2" i="8" s="1"/>
  <c r="T2" i="7" s="1"/>
  <c r="T2" i="8" s="1"/>
  <c r="X2" i="7" s="1"/>
  <c r="X2" i="8" s="1"/>
  <c r="AB2" i="7" s="1"/>
  <c r="AB2" i="8" s="1"/>
  <c r="AF2" i="7" s="1"/>
  <c r="AF2" i="8" s="1"/>
  <c r="AJ2" i="7" s="1"/>
  <c r="AJ2" i="8" s="1"/>
  <c r="AN2" i="7" s="1"/>
  <c r="AN2" i="8" s="1"/>
  <c r="M2" i="7"/>
  <c r="M2" i="8" s="1"/>
  <c r="Q2" i="7" s="1"/>
  <c r="Q2" i="8" s="1"/>
  <c r="U2" i="7" s="1"/>
  <c r="U2" i="8" s="1"/>
  <c r="Y2" i="7" s="1"/>
  <c r="Y2" i="8" s="1"/>
  <c r="AC2" i="7" s="1"/>
  <c r="AC2" i="8" s="1"/>
  <c r="AG2" i="7" s="1"/>
  <c r="AG2" i="8" s="1"/>
  <c r="AK2" i="7" s="1"/>
  <c r="AK2" i="8" s="1"/>
  <c r="AO2" i="7" s="1"/>
  <c r="AO2" i="8" s="1"/>
  <c r="C2" i="8"/>
  <c r="C2" i="7" s="1"/>
  <c r="C4" i="4"/>
  <c r="O2" i="7"/>
  <c r="O2" i="8" s="1"/>
  <c r="S2" i="7" s="1"/>
  <c r="S2" i="8" s="1"/>
  <c r="W2" i="7" s="1"/>
  <c r="W2" i="8" s="1"/>
  <c r="AA2" i="7" s="1"/>
  <c r="AA2" i="8" s="1"/>
  <c r="AE2" i="7" s="1"/>
  <c r="AE2" i="8" s="1"/>
  <c r="AI2" i="7" s="1"/>
  <c r="AI2" i="8" s="1"/>
  <c r="AM2" i="7" s="1"/>
  <c r="AM2" i="8" s="1"/>
  <c r="AQ2" i="7" s="1"/>
  <c r="AQ2" i="8" s="1"/>
  <c r="F24" i="15" l="1"/>
  <c r="G24" i="15" s="1"/>
  <c r="L12" i="15"/>
  <c r="K13" i="15"/>
  <c r="C9" i="6"/>
  <c r="F14" i="9"/>
  <c r="C114" i="1"/>
  <c r="E108" i="1"/>
  <c r="E107" i="1"/>
  <c r="E106" i="1"/>
  <c r="E105" i="1"/>
  <c r="L7" i="1"/>
  <c r="Y4" i="1"/>
  <c r="Z4" i="1"/>
  <c r="AA4" i="1"/>
  <c r="X4" i="1"/>
  <c r="U4" i="1"/>
  <c r="V4" i="1"/>
  <c r="W4" i="1"/>
  <c r="T4" i="1"/>
  <c r="Q4" i="1"/>
  <c r="R4" i="1"/>
  <c r="S4" i="1"/>
  <c r="P4" i="1"/>
  <c r="M4" i="1"/>
  <c r="N4" i="1"/>
  <c r="O4" i="1"/>
  <c r="L4" i="1"/>
  <c r="I4" i="1"/>
  <c r="J4" i="1"/>
  <c r="K4" i="1"/>
  <c r="H4" i="1"/>
  <c r="E4" i="1"/>
  <c r="F4" i="1"/>
  <c r="G4" i="1"/>
  <c r="D4" i="1"/>
  <c r="C22" i="1"/>
  <c r="C23" i="1" s="1"/>
  <c r="D9" i="1"/>
  <c r="E6" i="1"/>
  <c r="F6" i="1" s="1"/>
  <c r="G6" i="1" s="1"/>
  <c r="H6" i="1" s="1"/>
  <c r="I6" i="1" s="1"/>
  <c r="J6" i="1" s="1"/>
  <c r="K6" i="1" s="1"/>
  <c r="E9" i="1"/>
  <c r="F9" i="1"/>
  <c r="G9" i="1"/>
  <c r="H9" i="1"/>
  <c r="I9" i="1"/>
  <c r="J9" i="1"/>
  <c r="K9" i="1"/>
  <c r="L9" i="1"/>
  <c r="M9" i="1"/>
  <c r="N9" i="1"/>
  <c r="O9" i="1"/>
  <c r="P9" i="1"/>
  <c r="F8" i="10" s="1"/>
  <c r="Q9" i="1"/>
  <c r="R9" i="1"/>
  <c r="S9" i="1"/>
  <c r="T9" i="1"/>
  <c r="G8" i="10" s="1"/>
  <c r="U9" i="1"/>
  <c r="V9" i="1"/>
  <c r="W9" i="1"/>
  <c r="X9" i="1"/>
  <c r="H8" i="10" s="1"/>
  <c r="Y9" i="1"/>
  <c r="Z9" i="1"/>
  <c r="AA9" i="1"/>
  <c r="AB9" i="1"/>
  <c r="I8" i="10" s="1"/>
  <c r="AC9" i="1"/>
  <c r="AD9" i="1"/>
  <c r="AE9" i="1"/>
  <c r="AF9" i="1"/>
  <c r="J8" i="10" s="1"/>
  <c r="AG9" i="1"/>
  <c r="AH9" i="1"/>
  <c r="AI9" i="1"/>
  <c r="E8" i="10" l="1"/>
  <c r="D8" i="10"/>
  <c r="C8" i="10"/>
  <c r="C3" i="10"/>
  <c r="C9" i="10" s="1"/>
  <c r="D3" i="10"/>
  <c r="E3" i="10"/>
  <c r="E9" i="10" s="1"/>
  <c r="F3" i="10"/>
  <c r="F9" i="10" s="1"/>
  <c r="G3" i="10"/>
  <c r="G9" i="10" s="1"/>
  <c r="H3" i="10"/>
  <c r="H9" i="10" s="1"/>
  <c r="M12" i="15"/>
  <c r="L13" i="15"/>
  <c r="H24" i="15"/>
  <c r="G14" i="9"/>
  <c r="L37" i="1"/>
  <c r="L40" i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L52" i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L46" i="1"/>
  <c r="M46" i="1" s="1"/>
  <c r="N46" i="1" s="1"/>
  <c r="O46" i="1" s="1"/>
  <c r="L44" i="1"/>
  <c r="L81" i="1" s="1"/>
  <c r="O39" i="1"/>
  <c r="S39" i="1" s="1"/>
  <c r="W39" i="1" s="1"/>
  <c r="AA39" i="1" s="1"/>
  <c r="AE39" i="1" s="1"/>
  <c r="AI39" i="1" s="1"/>
  <c r="L47" i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L36" i="1"/>
  <c r="M36" i="1" s="1"/>
  <c r="N36" i="1" s="1"/>
  <c r="O36" i="1" s="1"/>
  <c r="L54" i="1"/>
  <c r="L38" i="1"/>
  <c r="P38" i="1" s="1"/>
  <c r="T38" i="1" s="1"/>
  <c r="X38" i="1" s="1"/>
  <c r="AB38" i="1" s="1"/>
  <c r="AF38" i="1" s="1"/>
  <c r="L41" i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L55" i="1"/>
  <c r="L42" i="1"/>
  <c r="L51" i="1"/>
  <c r="L45" i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L35" i="1"/>
  <c r="L50" i="1"/>
  <c r="L87" i="1" s="1"/>
  <c r="L48" i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E114" i="1"/>
  <c r="D56" i="1" s="1"/>
  <c r="D93" i="1" s="1"/>
  <c r="P7" i="1"/>
  <c r="T7" i="1" s="1"/>
  <c r="X7" i="1" s="1"/>
  <c r="AB7" i="1" s="1"/>
  <c r="AF7" i="1" s="1"/>
  <c r="AJ7" i="1" s="1"/>
  <c r="AN7" i="1" s="1"/>
  <c r="L30" i="1"/>
  <c r="L31" i="1"/>
  <c r="AF4" i="1"/>
  <c r="C24" i="1"/>
  <c r="L6" i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E4" i="1"/>
  <c r="AI4" i="1"/>
  <c r="AD4" i="1"/>
  <c r="AH4" i="1"/>
  <c r="AC4" i="1"/>
  <c r="AG4" i="1"/>
  <c r="AB4" i="1"/>
  <c r="P10" i="1"/>
  <c r="X13" i="1"/>
  <c r="D9" i="10" l="1"/>
  <c r="I3" i="10"/>
  <c r="I9" i="10" s="1"/>
  <c r="J3" i="10"/>
  <c r="J9" i="10" s="1"/>
  <c r="I24" i="15"/>
  <c r="N12" i="15"/>
  <c r="M13" i="15"/>
  <c r="H14" i="9"/>
  <c r="M51" i="1"/>
  <c r="L88" i="1"/>
  <c r="M55" i="1"/>
  <c r="L92" i="1"/>
  <c r="M31" i="1"/>
  <c r="L68" i="1"/>
  <c r="M42" i="1"/>
  <c r="L79" i="1"/>
  <c r="D57" i="1"/>
  <c r="D94" i="1" s="1"/>
  <c r="E56" i="1"/>
  <c r="E93" i="1" s="1"/>
  <c r="AJ47" i="1"/>
  <c r="AK47" i="1" s="1"/>
  <c r="AL47" i="1" s="1"/>
  <c r="AM47" i="1" s="1"/>
  <c r="AN47" i="1" s="1"/>
  <c r="AO47" i="1" s="1"/>
  <c r="AP47" i="1" s="1"/>
  <c r="AQ47" i="1" s="1"/>
  <c r="M35" i="1"/>
  <c r="L32" i="1"/>
  <c r="L69" i="1" s="1"/>
  <c r="P36" i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P46" i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J41" i="1"/>
  <c r="AK41" i="1" s="1"/>
  <c r="AL41" i="1" s="1"/>
  <c r="AM41" i="1" s="1"/>
  <c r="AN41" i="1" s="1"/>
  <c r="AO41" i="1" s="1"/>
  <c r="AP41" i="1" s="1"/>
  <c r="AQ41" i="1" s="1"/>
  <c r="AJ48" i="1"/>
  <c r="AJ40" i="1"/>
  <c r="AK40" i="1" s="1"/>
  <c r="AL40" i="1" s="1"/>
  <c r="AM40" i="1" s="1"/>
  <c r="AN40" i="1" s="1"/>
  <c r="AO40" i="1" s="1"/>
  <c r="AP40" i="1" s="1"/>
  <c r="AQ40" i="1" s="1"/>
  <c r="AJ45" i="1"/>
  <c r="AK45" i="1" s="1"/>
  <c r="AL45" i="1" s="1"/>
  <c r="AM45" i="1" s="1"/>
  <c r="AN45" i="1" s="1"/>
  <c r="AO45" i="1" s="1"/>
  <c r="AP45" i="1" s="1"/>
  <c r="AQ45" i="1" s="1"/>
  <c r="AJ52" i="1"/>
  <c r="AK52" i="1" s="1"/>
  <c r="AL52" i="1" s="1"/>
  <c r="AM52" i="1" s="1"/>
  <c r="AN52" i="1" s="1"/>
  <c r="AO52" i="1" s="1"/>
  <c r="AP52" i="1" s="1"/>
  <c r="AQ52" i="1" s="1"/>
  <c r="AJ38" i="1"/>
  <c r="AN38" i="1" s="1"/>
  <c r="AM39" i="1"/>
  <c r="AQ39" i="1" s="1"/>
  <c r="M50" i="1"/>
  <c r="M87" i="1" s="1"/>
  <c r="L49" i="1"/>
  <c r="L86" i="1" s="1"/>
  <c r="M54" i="1"/>
  <c r="M44" i="1"/>
  <c r="M81" i="1" s="1"/>
  <c r="L43" i="1"/>
  <c r="L80" i="1" s="1"/>
  <c r="P37" i="1"/>
  <c r="T37" i="1" s="1"/>
  <c r="X37" i="1" s="1"/>
  <c r="AB37" i="1" s="1"/>
  <c r="AF37" i="1" s="1"/>
  <c r="AJ37" i="1" s="1"/>
  <c r="AN37" i="1" s="1"/>
  <c r="M30" i="1"/>
  <c r="AG6" i="1"/>
  <c r="AH6" i="1" s="1"/>
  <c r="AI6" i="1" s="1"/>
  <c r="AJ6" i="1" s="1"/>
  <c r="AK6" i="1" s="1"/>
  <c r="AL6" i="1" s="1"/>
  <c r="AM6" i="1" s="1"/>
  <c r="AM4" i="1"/>
  <c r="AM10" i="1" s="1"/>
  <c r="C25" i="1"/>
  <c r="E25" i="1" s="1"/>
  <c r="AK4" i="1"/>
  <c r="AK10" i="1" s="1"/>
  <c r="AL4" i="1"/>
  <c r="AL10" i="1" s="1"/>
  <c r="AJ4" i="1"/>
  <c r="AF3" i="1"/>
  <c r="P3" i="1"/>
  <c r="T10" i="1"/>
  <c r="T3" i="1"/>
  <c r="X10" i="1"/>
  <c r="X3" i="1"/>
  <c r="Q10" i="1"/>
  <c r="Q3" i="1"/>
  <c r="D10" i="1"/>
  <c r="D3" i="1"/>
  <c r="L10" i="1"/>
  <c r="L3" i="1"/>
  <c r="M10" i="1"/>
  <c r="M3" i="1"/>
  <c r="H10" i="1"/>
  <c r="H3" i="1"/>
  <c r="R19" i="5" l="1"/>
  <c r="R47" i="5"/>
  <c r="AJ10" i="1"/>
  <c r="K3" i="10"/>
  <c r="K9" i="10" s="1"/>
  <c r="N13" i="15"/>
  <c r="O13" i="15" s="1"/>
  <c r="O12" i="15"/>
  <c r="J24" i="15"/>
  <c r="D53" i="1"/>
  <c r="D90" i="1" s="1"/>
  <c r="D96" i="1"/>
  <c r="I14" i="9"/>
  <c r="AL3" i="1"/>
  <c r="R53" i="5" s="1"/>
  <c r="N51" i="1"/>
  <c r="M88" i="1"/>
  <c r="N55" i="1"/>
  <c r="M92" i="1"/>
  <c r="N31" i="1"/>
  <c r="M68" i="1"/>
  <c r="N42" i="1"/>
  <c r="M79" i="1"/>
  <c r="M43" i="1"/>
  <c r="M80" i="1" s="1"/>
  <c r="N44" i="1"/>
  <c r="N81" i="1" s="1"/>
  <c r="D58" i="1"/>
  <c r="D95" i="1" s="1"/>
  <c r="E57" i="1"/>
  <c r="E94" i="1" s="1"/>
  <c r="F56" i="1"/>
  <c r="F93" i="1" s="1"/>
  <c r="N54" i="1"/>
  <c r="N50" i="1"/>
  <c r="N87" i="1" s="1"/>
  <c r="M49" i="1"/>
  <c r="M86" i="1" s="1"/>
  <c r="M32" i="1"/>
  <c r="M69" i="1" s="1"/>
  <c r="N35" i="1"/>
  <c r="AK48" i="1"/>
  <c r="AL48" i="1" s="1"/>
  <c r="AM48" i="1" s="1"/>
  <c r="AN48" i="1" s="1"/>
  <c r="AO48" i="1" s="1"/>
  <c r="AP48" i="1" s="1"/>
  <c r="AQ48" i="1" s="1"/>
  <c r="AK3" i="1"/>
  <c r="R52" i="5" s="1"/>
  <c r="N30" i="1"/>
  <c r="AM3" i="1"/>
  <c r="R54" i="5" s="1"/>
  <c r="AJ3" i="1"/>
  <c r="AI3" i="1"/>
  <c r="R50" i="5" s="1"/>
  <c r="R23" i="5"/>
  <c r="R27" i="5"/>
  <c r="R32" i="5"/>
  <c r="R35" i="5"/>
  <c r="AO4" i="1"/>
  <c r="AP4" i="1"/>
  <c r="AQ4" i="1"/>
  <c r="AN4" i="1"/>
  <c r="R28" i="5"/>
  <c r="R39" i="5"/>
  <c r="R31" i="5"/>
  <c r="AN6" i="1"/>
  <c r="AO6" i="1" s="1"/>
  <c r="AP6" i="1" s="1"/>
  <c r="AQ6" i="1" s="1"/>
  <c r="I10" i="1"/>
  <c r="I3" i="1"/>
  <c r="AB10" i="1"/>
  <c r="AB3" i="1"/>
  <c r="E10" i="1"/>
  <c r="E3" i="1"/>
  <c r="R20" i="5" s="1"/>
  <c r="Y10" i="1"/>
  <c r="Y3" i="1"/>
  <c r="U10" i="1"/>
  <c r="U3" i="1"/>
  <c r="R10" i="1"/>
  <c r="R3" i="1"/>
  <c r="N10" i="1"/>
  <c r="N3" i="1"/>
  <c r="L3" i="10" l="1"/>
  <c r="R51" i="5"/>
  <c r="K2" i="10"/>
  <c r="K24" i="15"/>
  <c r="E53" i="1"/>
  <c r="E90" i="1" s="1"/>
  <c r="J14" i="9"/>
  <c r="M21" i="9"/>
  <c r="O51" i="1"/>
  <c r="N88" i="1"/>
  <c r="E58" i="1"/>
  <c r="E95" i="1" s="1"/>
  <c r="O55" i="1"/>
  <c r="N92" i="1"/>
  <c r="O31" i="1"/>
  <c r="N68" i="1"/>
  <c r="O42" i="1"/>
  <c r="N79" i="1"/>
  <c r="O50" i="1"/>
  <c r="O87" i="1" s="1"/>
  <c r="N49" i="1"/>
  <c r="N86" i="1" s="1"/>
  <c r="F57" i="1"/>
  <c r="G56" i="1"/>
  <c r="G93" i="1" s="1"/>
  <c r="C28" i="11" s="1"/>
  <c r="O44" i="1"/>
  <c r="O81" i="1" s="1"/>
  <c r="E16" i="11" s="1"/>
  <c r="N43" i="1"/>
  <c r="N80" i="1" s="1"/>
  <c r="O35" i="1"/>
  <c r="N32" i="1"/>
  <c r="N69" i="1" s="1"/>
  <c r="O54" i="1"/>
  <c r="O30" i="1"/>
  <c r="R36" i="5"/>
  <c r="R24" i="5"/>
  <c r="R33" i="5"/>
  <c r="R40" i="5"/>
  <c r="R43" i="5"/>
  <c r="AP10" i="1"/>
  <c r="AP3" i="1"/>
  <c r="R57" i="5" s="1"/>
  <c r="AO10" i="1"/>
  <c r="AO3" i="1"/>
  <c r="R56" i="5" s="1"/>
  <c r="AN10" i="1"/>
  <c r="AN3" i="1"/>
  <c r="R29" i="5"/>
  <c r="AQ10" i="1"/>
  <c r="AQ3" i="1"/>
  <c r="R58" i="5" s="1"/>
  <c r="Q19" i="5"/>
  <c r="T19" i="5" s="1"/>
  <c r="F10" i="1"/>
  <c r="F3" i="1"/>
  <c r="R21" i="5" s="1"/>
  <c r="Z10" i="1"/>
  <c r="Z3" i="1"/>
  <c r="S10" i="1"/>
  <c r="S3" i="1"/>
  <c r="F2" i="10" s="1"/>
  <c r="AF10" i="1"/>
  <c r="V10" i="1"/>
  <c r="V3" i="1"/>
  <c r="J10" i="1"/>
  <c r="J3" i="1"/>
  <c r="AC10" i="1"/>
  <c r="AC3" i="1"/>
  <c r="O10" i="1"/>
  <c r="O3" i="1"/>
  <c r="E2" i="10" s="1"/>
  <c r="R55" i="5" l="1"/>
  <c r="L2" i="10"/>
  <c r="M3" i="10"/>
  <c r="M9" i="10" s="1"/>
  <c r="L9" i="10"/>
  <c r="L24" i="15"/>
  <c r="C28" i="13"/>
  <c r="E96" i="1"/>
  <c r="E16" i="13"/>
  <c r="K14" i="9"/>
  <c r="F53" i="1"/>
  <c r="F90" i="1" s="1"/>
  <c r="F94" i="1"/>
  <c r="C29" i="11" s="1"/>
  <c r="P51" i="1"/>
  <c r="O88" i="1"/>
  <c r="F58" i="1"/>
  <c r="F95" i="1" s="1"/>
  <c r="O92" i="1"/>
  <c r="P55" i="1"/>
  <c r="P31" i="1"/>
  <c r="O68" i="1"/>
  <c r="E3" i="11" s="1"/>
  <c r="O79" i="1"/>
  <c r="E14" i="11" s="1"/>
  <c r="P42" i="1"/>
  <c r="N21" i="9"/>
  <c r="O43" i="1"/>
  <c r="O80" i="1" s="1"/>
  <c r="E15" i="11" s="1"/>
  <c r="P44" i="1"/>
  <c r="P81" i="1" s="1"/>
  <c r="O49" i="1"/>
  <c r="O86" i="1" s="1"/>
  <c r="P50" i="1"/>
  <c r="P87" i="1" s="1"/>
  <c r="P54" i="1"/>
  <c r="O32" i="1"/>
  <c r="O69" i="1" s="1"/>
  <c r="E4" i="11" s="1"/>
  <c r="P35" i="1"/>
  <c r="G57" i="1"/>
  <c r="G94" i="1" s="1"/>
  <c r="H56" i="1"/>
  <c r="H93" i="1" s="1"/>
  <c r="P30" i="1"/>
  <c r="R44" i="5"/>
  <c r="R30" i="5"/>
  <c r="G21" i="9" s="1"/>
  <c r="R25" i="5"/>
  <c r="R41" i="5"/>
  <c r="R37" i="5"/>
  <c r="R34" i="5"/>
  <c r="H21" i="9" s="1"/>
  <c r="Q20" i="5"/>
  <c r="T20" i="5" s="1"/>
  <c r="W10" i="1"/>
  <c r="W3" i="1"/>
  <c r="G2" i="10" s="1"/>
  <c r="AG10" i="1"/>
  <c r="AG3" i="1"/>
  <c r="K10" i="1"/>
  <c r="K3" i="1"/>
  <c r="D2" i="10" s="1"/>
  <c r="AA10" i="1"/>
  <c r="AA3" i="1"/>
  <c r="H2" i="10" s="1"/>
  <c r="AD10" i="1"/>
  <c r="AD3" i="1"/>
  <c r="G10" i="1"/>
  <c r="G3" i="1"/>
  <c r="R22" i="5" s="1"/>
  <c r="E21" i="9" s="1"/>
  <c r="J2" i="10" l="1"/>
  <c r="C2" i="10"/>
  <c r="M24" i="15"/>
  <c r="F96" i="1"/>
  <c r="C29" i="13"/>
  <c r="E15" i="13"/>
  <c r="L14" i="9"/>
  <c r="G53" i="1"/>
  <c r="G58" i="1" s="1"/>
  <c r="G95" i="1" s="1"/>
  <c r="C30" i="11" s="1"/>
  <c r="Q51" i="1"/>
  <c r="P88" i="1"/>
  <c r="Q55" i="1"/>
  <c r="P92" i="1"/>
  <c r="Q31" i="1"/>
  <c r="P68" i="1"/>
  <c r="Q42" i="1"/>
  <c r="P79" i="1"/>
  <c r="H57" i="1"/>
  <c r="H94" i="1" s="1"/>
  <c r="I56" i="1"/>
  <c r="I93" i="1" s="1"/>
  <c r="Q54" i="1"/>
  <c r="P43" i="1"/>
  <c r="P80" i="1" s="1"/>
  <c r="Q44" i="1"/>
  <c r="Q81" i="1" s="1"/>
  <c r="P32" i="1"/>
  <c r="P69" i="1" s="1"/>
  <c r="Q35" i="1"/>
  <c r="Q50" i="1"/>
  <c r="Q87" i="1" s="1"/>
  <c r="P49" i="1"/>
  <c r="P86" i="1" s="1"/>
  <c r="Q30" i="1"/>
  <c r="R48" i="5"/>
  <c r="R42" i="5"/>
  <c r="J21" i="9" s="1"/>
  <c r="R45" i="5"/>
  <c r="R26" i="5"/>
  <c r="F21" i="9" s="1"/>
  <c r="R38" i="5"/>
  <c r="I21" i="9" s="1"/>
  <c r="Q21" i="5"/>
  <c r="T21" i="5" s="1"/>
  <c r="AE10" i="1"/>
  <c r="AE3" i="1"/>
  <c r="I2" i="10" s="1"/>
  <c r="AH10" i="1"/>
  <c r="AH3" i="1"/>
  <c r="M2" i="10" l="1"/>
  <c r="N24" i="15"/>
  <c r="H53" i="1"/>
  <c r="H58" i="1" s="1"/>
  <c r="H95" i="1" s="1"/>
  <c r="Q23" i="5" s="1"/>
  <c r="T23" i="5" s="1"/>
  <c r="M14" i="9"/>
  <c r="G90" i="1"/>
  <c r="R51" i="1"/>
  <c r="Q88" i="1"/>
  <c r="H90" i="1"/>
  <c r="R55" i="1"/>
  <c r="Q92" i="1"/>
  <c r="R31" i="1"/>
  <c r="Q68" i="1"/>
  <c r="R42" i="1"/>
  <c r="Q79" i="1"/>
  <c r="Q43" i="1"/>
  <c r="Q80" i="1" s="1"/>
  <c r="R44" i="1"/>
  <c r="R81" i="1" s="1"/>
  <c r="Q32" i="1"/>
  <c r="Q69" i="1" s="1"/>
  <c r="R35" i="1"/>
  <c r="Q49" i="1"/>
  <c r="Q86" i="1" s="1"/>
  <c r="R50" i="1"/>
  <c r="R87" i="1" s="1"/>
  <c r="I57" i="1"/>
  <c r="J56" i="1"/>
  <c r="J93" i="1" s="1"/>
  <c r="R54" i="1"/>
  <c r="R30" i="1"/>
  <c r="R49" i="5"/>
  <c r="L21" i="9" s="1"/>
  <c r="R46" i="5"/>
  <c r="K21" i="9" s="1"/>
  <c r="Q22" i="5"/>
  <c r="AI10" i="1"/>
  <c r="O24" i="15" l="1"/>
  <c r="H96" i="1"/>
  <c r="G96" i="1"/>
  <c r="C25" i="11"/>
  <c r="E10" i="9"/>
  <c r="E39" i="15" s="1"/>
  <c r="T22" i="5"/>
  <c r="N14" i="9"/>
  <c r="I53" i="1"/>
  <c r="I90" i="1" s="1"/>
  <c r="I94" i="1"/>
  <c r="S51" i="1"/>
  <c r="R88" i="1"/>
  <c r="I58" i="1"/>
  <c r="I95" i="1" s="1"/>
  <c r="Q24" i="5" s="1"/>
  <c r="T24" i="5" s="1"/>
  <c r="S55" i="1"/>
  <c r="R92" i="1"/>
  <c r="O21" i="9"/>
  <c r="D9" i="14" s="1"/>
  <c r="S31" i="1"/>
  <c r="R68" i="1"/>
  <c r="S42" i="1"/>
  <c r="R79" i="1"/>
  <c r="R59" i="5"/>
  <c r="S54" i="1"/>
  <c r="S50" i="1"/>
  <c r="S87" i="1" s="1"/>
  <c r="R49" i="1"/>
  <c r="R86" i="1" s="1"/>
  <c r="R43" i="1"/>
  <c r="R80" i="1" s="1"/>
  <c r="S44" i="1"/>
  <c r="S81" i="1" s="1"/>
  <c r="F16" i="11" s="1"/>
  <c r="J57" i="1"/>
  <c r="K56" i="1"/>
  <c r="K93" i="1" s="1"/>
  <c r="D28" i="11" s="1"/>
  <c r="R32" i="1"/>
  <c r="R69" i="1" s="1"/>
  <c r="S35" i="1"/>
  <c r="S30" i="1"/>
  <c r="D28" i="13" l="1"/>
  <c r="I96" i="1"/>
  <c r="C25" i="13"/>
  <c r="F16" i="13"/>
  <c r="E9" i="9"/>
  <c r="E20" i="15" s="1"/>
  <c r="O14" i="9"/>
  <c r="J53" i="1"/>
  <c r="J90" i="1" s="1"/>
  <c r="J94" i="1"/>
  <c r="D29" i="11" s="1"/>
  <c r="T51" i="1"/>
  <c r="S88" i="1"/>
  <c r="J58" i="1"/>
  <c r="J95" i="1" s="1"/>
  <c r="Q25" i="5" s="1"/>
  <c r="T25" i="5" s="1"/>
  <c r="T55" i="1"/>
  <c r="S92" i="1"/>
  <c r="T31" i="1"/>
  <c r="S68" i="1"/>
  <c r="F3" i="11" s="1"/>
  <c r="T42" i="1"/>
  <c r="S79" i="1"/>
  <c r="F14" i="11" s="1"/>
  <c r="S43" i="1"/>
  <c r="S80" i="1" s="1"/>
  <c r="F15" i="11" s="1"/>
  <c r="T44" i="1"/>
  <c r="T81" i="1" s="1"/>
  <c r="T54" i="1"/>
  <c r="S32" i="1"/>
  <c r="S69" i="1" s="1"/>
  <c r="F4" i="11" s="1"/>
  <c r="T35" i="1"/>
  <c r="S49" i="1"/>
  <c r="S86" i="1" s="1"/>
  <c r="T50" i="1"/>
  <c r="T87" i="1" s="1"/>
  <c r="K57" i="1"/>
  <c r="K94" i="1" s="1"/>
  <c r="K53" i="1"/>
  <c r="L56" i="1"/>
  <c r="L93" i="1" s="1"/>
  <c r="T30" i="1"/>
  <c r="D29" i="13" l="1"/>
  <c r="J96" i="1"/>
  <c r="F15" i="13"/>
  <c r="U51" i="1"/>
  <c r="T88" i="1"/>
  <c r="U55" i="1"/>
  <c r="T92" i="1"/>
  <c r="K58" i="1"/>
  <c r="K95" i="1" s="1"/>
  <c r="Q26" i="5" s="1"/>
  <c r="K90" i="1"/>
  <c r="K96" i="1" s="1"/>
  <c r="T68" i="1"/>
  <c r="U31" i="1"/>
  <c r="U42" i="1"/>
  <c r="T79" i="1"/>
  <c r="L57" i="1"/>
  <c r="L94" i="1" s="1"/>
  <c r="M56" i="1"/>
  <c r="M93" i="1" s="1"/>
  <c r="U54" i="1"/>
  <c r="T32" i="1"/>
  <c r="T69" i="1" s="1"/>
  <c r="U35" i="1"/>
  <c r="U44" i="1"/>
  <c r="U81" i="1" s="1"/>
  <c r="T43" i="1"/>
  <c r="T80" i="1" s="1"/>
  <c r="U50" i="1"/>
  <c r="U87" i="1" s="1"/>
  <c r="T49" i="1"/>
  <c r="T86" i="1" s="1"/>
  <c r="U30" i="1"/>
  <c r="L53" i="1" l="1"/>
  <c r="D25" i="11"/>
  <c r="F10" i="9"/>
  <c r="F39" i="15" s="1"/>
  <c r="T26" i="5"/>
  <c r="F9" i="9" s="1"/>
  <c r="F20" i="15" s="1"/>
  <c r="D30" i="11"/>
  <c r="V51" i="1"/>
  <c r="U88" i="1"/>
  <c r="L58" i="1"/>
  <c r="L95" i="1" s="1"/>
  <c r="L90" i="1"/>
  <c r="V55" i="1"/>
  <c r="U92" i="1"/>
  <c r="V31" i="1"/>
  <c r="U68" i="1"/>
  <c r="V42" i="1"/>
  <c r="U79" i="1"/>
  <c r="M57" i="1"/>
  <c r="M94" i="1" s="1"/>
  <c r="N56" i="1"/>
  <c r="N93" i="1" s="1"/>
  <c r="V35" i="1"/>
  <c r="U32" i="1"/>
  <c r="U69" i="1" s="1"/>
  <c r="U49" i="1"/>
  <c r="U86" i="1" s="1"/>
  <c r="V50" i="1"/>
  <c r="V87" i="1" s="1"/>
  <c r="V44" i="1"/>
  <c r="V81" i="1" s="1"/>
  <c r="U43" i="1"/>
  <c r="U80" i="1" s="1"/>
  <c r="V54" i="1"/>
  <c r="V30" i="1"/>
  <c r="D25" i="13" l="1"/>
  <c r="L96" i="1"/>
  <c r="Q27" i="5"/>
  <c r="T27" i="5" s="1"/>
  <c r="M53" i="1"/>
  <c r="M90" i="1" s="1"/>
  <c r="M96" i="1" s="1"/>
  <c r="W51" i="1"/>
  <c r="V88" i="1"/>
  <c r="W55" i="1"/>
  <c r="V92" i="1"/>
  <c r="W31" i="1"/>
  <c r="V68" i="1"/>
  <c r="W42" i="1"/>
  <c r="V79" i="1"/>
  <c r="W50" i="1"/>
  <c r="W87" i="1" s="1"/>
  <c r="V49" i="1"/>
  <c r="V86" i="1" s="1"/>
  <c r="W54" i="1"/>
  <c r="N57" i="1"/>
  <c r="O56" i="1"/>
  <c r="O93" i="1" s="1"/>
  <c r="E28" i="11" s="1"/>
  <c r="W44" i="1"/>
  <c r="W81" i="1" s="1"/>
  <c r="G16" i="11" s="1"/>
  <c r="V43" i="1"/>
  <c r="V80" i="1" s="1"/>
  <c r="W35" i="1"/>
  <c r="V32" i="1"/>
  <c r="V69" i="1" s="1"/>
  <c r="W30" i="1"/>
  <c r="E28" i="13" l="1"/>
  <c r="G16" i="13"/>
  <c r="M58" i="1"/>
  <c r="M95" i="1" s="1"/>
  <c r="N53" i="1"/>
  <c r="N58" i="1" s="1"/>
  <c r="N95" i="1" s="1"/>
  <c r="Q29" i="5" s="1"/>
  <c r="T29" i="5" s="1"/>
  <c r="N94" i="1"/>
  <c r="X51" i="1"/>
  <c r="W88" i="1"/>
  <c r="X55" i="1"/>
  <c r="W92" i="1"/>
  <c r="W68" i="1"/>
  <c r="G3" i="11" s="1"/>
  <c r="X31" i="1"/>
  <c r="X42" i="1"/>
  <c r="W79" i="1"/>
  <c r="G14" i="11" s="1"/>
  <c r="X54" i="1"/>
  <c r="W49" i="1"/>
  <c r="W86" i="1" s="1"/>
  <c r="X50" i="1"/>
  <c r="X87" i="1" s="1"/>
  <c r="W32" i="1"/>
  <c r="W69" i="1" s="1"/>
  <c r="G4" i="11" s="1"/>
  <c r="X35" i="1"/>
  <c r="O57" i="1"/>
  <c r="P56" i="1"/>
  <c r="P93" i="1" s="1"/>
  <c r="W43" i="1"/>
  <c r="W80" i="1" s="1"/>
  <c r="G15" i="11" s="1"/>
  <c r="X44" i="1"/>
  <c r="X81" i="1" s="1"/>
  <c r="X30" i="1"/>
  <c r="N90" i="1" l="1"/>
  <c r="G15" i="13"/>
  <c r="Q28" i="5"/>
  <c r="T28" i="5" s="1"/>
  <c r="O53" i="1"/>
  <c r="O90" i="1" s="1"/>
  <c r="O94" i="1"/>
  <c r="E29" i="11" s="1"/>
  <c r="Y51" i="1"/>
  <c r="X88" i="1"/>
  <c r="O58" i="1"/>
  <c r="O95" i="1" s="1"/>
  <c r="Q30" i="5" s="1"/>
  <c r="Y55" i="1"/>
  <c r="X92" i="1"/>
  <c r="Y31" i="1"/>
  <c r="X68" i="1"/>
  <c r="Y42" i="1"/>
  <c r="X79" i="1"/>
  <c r="Y35" i="1"/>
  <c r="X32" i="1"/>
  <c r="X69" i="1" s="1"/>
  <c r="Y54" i="1"/>
  <c r="Y44" i="1"/>
  <c r="Y81" i="1" s="1"/>
  <c r="X43" i="1"/>
  <c r="X80" i="1" s="1"/>
  <c r="P57" i="1"/>
  <c r="Q56" i="1"/>
  <c r="Q93" i="1" s="1"/>
  <c r="Y50" i="1"/>
  <c r="Y87" i="1" s="1"/>
  <c r="X49" i="1"/>
  <c r="X86" i="1" s="1"/>
  <c r="Y30" i="1"/>
  <c r="O96" i="1" l="1"/>
  <c r="E29" i="13"/>
  <c r="N96" i="1"/>
  <c r="E25" i="11"/>
  <c r="E30" i="11"/>
  <c r="G10" i="9"/>
  <c r="G39" i="15" s="1"/>
  <c r="T30" i="5"/>
  <c r="G9" i="9" s="1"/>
  <c r="G20" i="15" s="1"/>
  <c r="P53" i="1"/>
  <c r="P90" i="1" s="1"/>
  <c r="P94" i="1"/>
  <c r="Z51" i="1"/>
  <c r="Y88" i="1"/>
  <c r="Z55" i="1"/>
  <c r="Y92" i="1"/>
  <c r="Z31" i="1"/>
  <c r="Y68" i="1"/>
  <c r="Z42" i="1"/>
  <c r="Y79" i="1"/>
  <c r="Y49" i="1"/>
  <c r="Y86" i="1" s="1"/>
  <c r="Z50" i="1"/>
  <c r="Z87" i="1" s="1"/>
  <c r="Z54" i="1"/>
  <c r="Z44" i="1"/>
  <c r="Z81" i="1" s="1"/>
  <c r="Y43" i="1"/>
  <c r="Y80" i="1" s="1"/>
  <c r="Y32" i="1"/>
  <c r="Y69" i="1" s="1"/>
  <c r="Z35" i="1"/>
  <c r="Q57" i="1"/>
  <c r="Q94" i="1" s="1"/>
  <c r="R56" i="1"/>
  <c r="R93" i="1" s="1"/>
  <c r="Q53" i="1"/>
  <c r="Z30" i="1"/>
  <c r="P58" i="1" l="1"/>
  <c r="P95" i="1" s="1"/>
  <c r="P96" i="1"/>
  <c r="E25" i="13"/>
  <c r="Q31" i="5"/>
  <c r="T31" i="5" s="1"/>
  <c r="AA51" i="1"/>
  <c r="Z88" i="1"/>
  <c r="Q58" i="1"/>
  <c r="Q95" i="1" s="1"/>
  <c r="Q32" i="5" s="1"/>
  <c r="T32" i="5" s="1"/>
  <c r="Q90" i="1"/>
  <c r="Q96" i="1" s="1"/>
  <c r="AA55" i="1"/>
  <c r="Z92" i="1"/>
  <c r="AA31" i="1"/>
  <c r="Z68" i="1"/>
  <c r="AA42" i="1"/>
  <c r="Z79" i="1"/>
  <c r="Z43" i="1"/>
  <c r="Z80" i="1" s="1"/>
  <c r="AA44" i="1"/>
  <c r="AA81" i="1" s="1"/>
  <c r="H16" i="11" s="1"/>
  <c r="H16" i="13" s="1"/>
  <c r="AA54" i="1"/>
  <c r="R57" i="1"/>
  <c r="R94" i="1" s="1"/>
  <c r="S56" i="1"/>
  <c r="S93" i="1" s="1"/>
  <c r="F28" i="11" s="1"/>
  <c r="Z49" i="1"/>
  <c r="Z86" i="1" s="1"/>
  <c r="AA50" i="1"/>
  <c r="AA87" i="1" s="1"/>
  <c r="Z32" i="1"/>
  <c r="Z69" i="1" s="1"/>
  <c r="AA35" i="1"/>
  <c r="AA30" i="1"/>
  <c r="F28" i="13" l="1"/>
  <c r="R53" i="1"/>
  <c r="R58" i="1" s="1"/>
  <c r="R95" i="1" s="1"/>
  <c r="Q33" i="5" s="1"/>
  <c r="T33" i="5" s="1"/>
  <c r="AB51" i="1"/>
  <c r="AA88" i="1"/>
  <c r="AB55" i="1"/>
  <c r="AA92" i="1"/>
  <c r="AB31" i="1"/>
  <c r="AA68" i="1"/>
  <c r="H3" i="11" s="1"/>
  <c r="AB42" i="1"/>
  <c r="AA79" i="1"/>
  <c r="H14" i="11" s="1"/>
  <c r="AB54" i="1"/>
  <c r="S57" i="1"/>
  <c r="T56" i="1"/>
  <c r="T93" i="1" s="1"/>
  <c r="AA43" i="1"/>
  <c r="AA80" i="1" s="1"/>
  <c r="H15" i="11" s="1"/>
  <c r="H15" i="13" s="1"/>
  <c r="AB44" i="1"/>
  <c r="AB81" i="1" s="1"/>
  <c r="AA32" i="1"/>
  <c r="AA69" i="1" s="1"/>
  <c r="H4" i="11" s="1"/>
  <c r="AB35" i="1"/>
  <c r="AA49" i="1"/>
  <c r="AA86" i="1" s="1"/>
  <c r="AB50" i="1"/>
  <c r="AB87" i="1" s="1"/>
  <c r="AB30" i="1"/>
  <c r="R90" i="1" l="1"/>
  <c r="R96" i="1" s="1"/>
  <c r="S53" i="1"/>
  <c r="S90" i="1" s="1"/>
  <c r="S94" i="1"/>
  <c r="F29" i="11" s="1"/>
  <c r="AC51" i="1"/>
  <c r="AB88" i="1"/>
  <c r="AC55" i="1"/>
  <c r="AB92" i="1"/>
  <c r="AC31" i="1"/>
  <c r="AB68" i="1"/>
  <c r="AC42" i="1"/>
  <c r="AB79" i="1"/>
  <c r="T57" i="1"/>
  <c r="T94" i="1" s="1"/>
  <c r="U56" i="1"/>
  <c r="U93" i="1" s="1"/>
  <c r="AC50" i="1"/>
  <c r="AC87" i="1" s="1"/>
  <c r="AB49" i="1"/>
  <c r="AB86" i="1" s="1"/>
  <c r="AC44" i="1"/>
  <c r="AC81" i="1" s="1"/>
  <c r="AB43" i="1"/>
  <c r="AB80" i="1" s="1"/>
  <c r="AC35" i="1"/>
  <c r="AB32" i="1"/>
  <c r="AB69" i="1" s="1"/>
  <c r="AC54" i="1"/>
  <c r="AC30" i="1"/>
  <c r="S58" i="1" l="1"/>
  <c r="S95" i="1" s="1"/>
  <c r="F30" i="11" s="1"/>
  <c r="T53" i="1"/>
  <c r="T90" i="1" s="1"/>
  <c r="F29" i="13"/>
  <c r="S96" i="1"/>
  <c r="F25" i="11"/>
  <c r="Q34" i="5"/>
  <c r="AD51" i="1"/>
  <c r="AC88" i="1"/>
  <c r="T58" i="1"/>
  <c r="T95" i="1" s="1"/>
  <c r="AD55" i="1"/>
  <c r="AC92" i="1"/>
  <c r="AD31" i="1"/>
  <c r="AC68" i="1"/>
  <c r="AD42" i="1"/>
  <c r="AC79" i="1"/>
  <c r="AD54" i="1"/>
  <c r="AC43" i="1"/>
  <c r="AC80" i="1" s="1"/>
  <c r="AD44" i="1"/>
  <c r="AD81" i="1" s="1"/>
  <c r="U57" i="1"/>
  <c r="U94" i="1" s="1"/>
  <c r="V56" i="1"/>
  <c r="V93" i="1" s="1"/>
  <c r="AC32" i="1"/>
  <c r="AC69" i="1" s="1"/>
  <c r="AD35" i="1"/>
  <c r="AC49" i="1"/>
  <c r="AC86" i="1" s="1"/>
  <c r="AD50" i="1"/>
  <c r="AD87" i="1" s="1"/>
  <c r="AD30" i="1"/>
  <c r="T96" i="1" l="1"/>
  <c r="F25" i="13"/>
  <c r="Q35" i="5"/>
  <c r="T35" i="5" s="1"/>
  <c r="H10" i="9"/>
  <c r="H39" i="15" s="1"/>
  <c r="T34" i="5"/>
  <c r="H9" i="9" s="1"/>
  <c r="H20" i="15" s="1"/>
  <c r="U53" i="1"/>
  <c r="U58" i="1" s="1"/>
  <c r="U95" i="1" s="1"/>
  <c r="Q36" i="5" s="1"/>
  <c r="T36" i="5" s="1"/>
  <c r="AE51" i="1"/>
  <c r="AD88" i="1"/>
  <c r="AE55" i="1"/>
  <c r="AD92" i="1"/>
  <c r="U90" i="1"/>
  <c r="U96" i="1" s="1"/>
  <c r="AE31" i="1"/>
  <c r="AD68" i="1"/>
  <c r="AE42" i="1"/>
  <c r="AD79" i="1"/>
  <c r="V57" i="1"/>
  <c r="V94" i="1" s="1"/>
  <c r="W56" i="1"/>
  <c r="W93" i="1" s="1"/>
  <c r="G28" i="11" s="1"/>
  <c r="AE35" i="1"/>
  <c r="AD32" i="1"/>
  <c r="AD69" i="1" s="1"/>
  <c r="AE54" i="1"/>
  <c r="AE50" i="1"/>
  <c r="AE87" i="1" s="1"/>
  <c r="AD49" i="1"/>
  <c r="AD86" i="1" s="1"/>
  <c r="AD43" i="1"/>
  <c r="AD80" i="1" s="1"/>
  <c r="AE44" i="1"/>
  <c r="AE81" i="1" s="1"/>
  <c r="I16" i="11" s="1"/>
  <c r="I16" i="13" s="1"/>
  <c r="AE30" i="1"/>
  <c r="V53" i="1" l="1"/>
  <c r="G28" i="13"/>
  <c r="AF51" i="1"/>
  <c r="AE88" i="1"/>
  <c r="V58" i="1"/>
  <c r="V95" i="1" s="1"/>
  <c r="Q37" i="5" s="1"/>
  <c r="T37" i="5" s="1"/>
  <c r="V90" i="1"/>
  <c r="V96" i="1" s="1"/>
  <c r="AF55" i="1"/>
  <c r="AE92" i="1"/>
  <c r="AF31" i="1"/>
  <c r="AE68" i="1"/>
  <c r="I3" i="11" s="1"/>
  <c r="AF42" i="1"/>
  <c r="AE79" i="1"/>
  <c r="I14" i="11" s="1"/>
  <c r="AE43" i="1"/>
  <c r="AE80" i="1" s="1"/>
  <c r="I15" i="11" s="1"/>
  <c r="I15" i="13" s="1"/>
  <c r="AF44" i="1"/>
  <c r="AF81" i="1" s="1"/>
  <c r="AF54" i="1"/>
  <c r="W57" i="1"/>
  <c r="W94" i="1" s="1"/>
  <c r="G29" i="11" s="1"/>
  <c r="X56" i="1"/>
  <c r="X93" i="1" s="1"/>
  <c r="AE49" i="1"/>
  <c r="AE86" i="1" s="1"/>
  <c r="AF50" i="1"/>
  <c r="AF87" i="1" s="1"/>
  <c r="AE32" i="1"/>
  <c r="AE69" i="1" s="1"/>
  <c r="I4" i="11" s="1"/>
  <c r="AF35" i="1"/>
  <c r="AF30" i="1"/>
  <c r="G29" i="13" l="1"/>
  <c r="W53" i="1"/>
  <c r="W58" i="1" s="1"/>
  <c r="W95" i="1" s="1"/>
  <c r="Q38" i="5" s="1"/>
  <c r="AG51" i="1"/>
  <c r="AF88" i="1"/>
  <c r="AG55" i="1"/>
  <c r="AF92" i="1"/>
  <c r="W90" i="1"/>
  <c r="W96" i="1" s="1"/>
  <c r="AG31" i="1"/>
  <c r="AF68" i="1"/>
  <c r="AG42" i="1"/>
  <c r="AF79" i="1"/>
  <c r="AG35" i="1"/>
  <c r="AF32" i="1"/>
  <c r="AF69" i="1" s="1"/>
  <c r="X57" i="1"/>
  <c r="Y56" i="1"/>
  <c r="Y93" i="1" s="1"/>
  <c r="AG50" i="1"/>
  <c r="AG87" i="1" s="1"/>
  <c r="AF49" i="1"/>
  <c r="AF86" i="1" s="1"/>
  <c r="AG54" i="1"/>
  <c r="AG44" i="1"/>
  <c r="AG81" i="1" s="1"/>
  <c r="AF43" i="1"/>
  <c r="AF80" i="1" s="1"/>
  <c r="AG30" i="1"/>
  <c r="G25" i="11" l="1"/>
  <c r="I10" i="9"/>
  <c r="I39" i="15" s="1"/>
  <c r="T38" i="5"/>
  <c r="I9" i="9" s="1"/>
  <c r="I20" i="15" s="1"/>
  <c r="G30" i="11"/>
  <c r="X53" i="1"/>
  <c r="X90" i="1" s="1"/>
  <c r="X94" i="1"/>
  <c r="AH51" i="1"/>
  <c r="AG88" i="1"/>
  <c r="X58" i="1"/>
  <c r="X95" i="1" s="1"/>
  <c r="AH55" i="1"/>
  <c r="AG92" i="1"/>
  <c r="AH31" i="1"/>
  <c r="AG68" i="1"/>
  <c r="AH42" i="1"/>
  <c r="AG79" i="1"/>
  <c r="AH44" i="1"/>
  <c r="AH81" i="1" s="1"/>
  <c r="AG43" i="1"/>
  <c r="AG80" i="1" s="1"/>
  <c r="AG32" i="1"/>
  <c r="AG69" i="1" s="1"/>
  <c r="AH35" i="1"/>
  <c r="AG49" i="1"/>
  <c r="AG86" i="1" s="1"/>
  <c r="AH50" i="1"/>
  <c r="AH87" i="1" s="1"/>
  <c r="AH54" i="1"/>
  <c r="Y57" i="1"/>
  <c r="Y94" i="1" s="1"/>
  <c r="Z56" i="1"/>
  <c r="Z93" i="1" s="1"/>
  <c r="Y53" i="1"/>
  <c r="AH30" i="1"/>
  <c r="G25" i="13" l="1"/>
  <c r="X96" i="1"/>
  <c r="Q39" i="5"/>
  <c r="T39" i="5" s="1"/>
  <c r="AI51" i="1"/>
  <c r="AH88" i="1"/>
  <c r="AI55" i="1"/>
  <c r="AH92" i="1"/>
  <c r="Y58" i="1"/>
  <c r="Y95" i="1" s="1"/>
  <c r="Y90" i="1"/>
  <c r="Y96" i="1" s="1"/>
  <c r="AI31" i="1"/>
  <c r="AH68" i="1"/>
  <c r="AI42" i="1"/>
  <c r="AH79" i="1"/>
  <c r="AI54" i="1"/>
  <c r="Z57" i="1"/>
  <c r="AA56" i="1"/>
  <c r="AA93" i="1" s="1"/>
  <c r="H28" i="11" s="1"/>
  <c r="H28" i="13" s="1"/>
  <c r="AI50" i="1"/>
  <c r="AI87" i="1" s="1"/>
  <c r="AH49" i="1"/>
  <c r="AH86" i="1" s="1"/>
  <c r="AI44" i="1"/>
  <c r="AI81" i="1" s="1"/>
  <c r="J16" i="11" s="1"/>
  <c r="J16" i="13" s="1"/>
  <c r="AH43" i="1"/>
  <c r="AH80" i="1" s="1"/>
  <c r="AH32" i="1"/>
  <c r="AH69" i="1" s="1"/>
  <c r="AI35" i="1"/>
  <c r="AI30" i="1"/>
  <c r="Q40" i="5"/>
  <c r="T40" i="5" s="1"/>
  <c r="Z53" i="1" l="1"/>
  <c r="Z90" i="1" s="1"/>
  <c r="Z94" i="1"/>
  <c r="AI88" i="1"/>
  <c r="AJ51" i="1"/>
  <c r="Z58" i="1"/>
  <c r="Z95" i="1" s="1"/>
  <c r="Q41" i="5" s="1"/>
  <c r="T41" i="5" s="1"/>
  <c r="AJ55" i="1"/>
  <c r="AI92" i="1"/>
  <c r="AJ31" i="1"/>
  <c r="AI68" i="1"/>
  <c r="J3" i="11" s="1"/>
  <c r="AJ42" i="1"/>
  <c r="AI79" i="1"/>
  <c r="J14" i="11" s="1"/>
  <c r="AI32" i="1"/>
  <c r="AI69" i="1" s="1"/>
  <c r="J4" i="11" s="1"/>
  <c r="AJ35" i="1"/>
  <c r="AI49" i="1"/>
  <c r="AI86" i="1" s="1"/>
  <c r="AJ50" i="1"/>
  <c r="AJ87" i="1" s="1"/>
  <c r="AJ54" i="1"/>
  <c r="AI43" i="1"/>
  <c r="AI80" i="1" s="1"/>
  <c r="J15" i="11" s="1"/>
  <c r="J15" i="13" s="1"/>
  <c r="AJ44" i="1"/>
  <c r="AJ81" i="1" s="1"/>
  <c r="AA57" i="1"/>
  <c r="AA94" i="1" s="1"/>
  <c r="AB56" i="1"/>
  <c r="AB93" i="1" s="1"/>
  <c r="AJ30" i="1"/>
  <c r="H29" i="11" l="1"/>
  <c r="H29" i="13" s="1"/>
  <c r="AA53" i="1"/>
  <c r="Z96" i="1"/>
  <c r="AK51" i="1"/>
  <c r="AJ88" i="1"/>
  <c r="AK55" i="1"/>
  <c r="AJ92" i="1"/>
  <c r="AA58" i="1"/>
  <c r="AA95" i="1" s="1"/>
  <c r="Q42" i="5" s="1"/>
  <c r="AA90" i="1"/>
  <c r="AA96" i="1" s="1"/>
  <c r="AK31" i="1"/>
  <c r="AJ68" i="1"/>
  <c r="AK42" i="1"/>
  <c r="AJ79" i="1"/>
  <c r="AB57" i="1"/>
  <c r="AB94" i="1" s="1"/>
  <c r="AC56" i="1"/>
  <c r="AC93" i="1" s="1"/>
  <c r="AB53" i="1"/>
  <c r="AK35" i="1"/>
  <c r="AJ32" i="1"/>
  <c r="AJ69" i="1" s="1"/>
  <c r="AK54" i="1"/>
  <c r="AK44" i="1"/>
  <c r="AK81" i="1" s="1"/>
  <c r="AJ43" i="1"/>
  <c r="AJ80" i="1" s="1"/>
  <c r="AK50" i="1"/>
  <c r="AK87" i="1" s="1"/>
  <c r="AJ49" i="1"/>
  <c r="AJ86" i="1" s="1"/>
  <c r="AK30" i="1"/>
  <c r="H25" i="11" l="1"/>
  <c r="H25" i="13" s="1"/>
  <c r="H30" i="11"/>
  <c r="J10" i="9"/>
  <c r="J39" i="15" s="1"/>
  <c r="T42" i="5"/>
  <c r="J9" i="9" s="1"/>
  <c r="J20" i="15" s="1"/>
  <c r="AL51" i="1"/>
  <c r="AK88" i="1"/>
  <c r="AB58" i="1"/>
  <c r="AB95" i="1" s="1"/>
  <c r="AB90" i="1"/>
  <c r="AL55" i="1"/>
  <c r="AK92" i="1"/>
  <c r="AL31" i="1"/>
  <c r="AK68" i="1"/>
  <c r="AL42" i="1"/>
  <c r="AK79" i="1"/>
  <c r="AL50" i="1"/>
  <c r="AL87" i="1" s="1"/>
  <c r="AK49" i="1"/>
  <c r="AK86" i="1" s="1"/>
  <c r="AL54" i="1"/>
  <c r="AC57" i="1"/>
  <c r="AC94" i="1" s="1"/>
  <c r="AD56" i="1"/>
  <c r="AD93" i="1" s="1"/>
  <c r="AK43" i="1"/>
  <c r="AK80" i="1" s="1"/>
  <c r="AL44" i="1"/>
  <c r="AL81" i="1" s="1"/>
  <c r="AL35" i="1"/>
  <c r="AK32" i="1"/>
  <c r="AK69" i="1" s="1"/>
  <c r="AL30" i="1"/>
  <c r="AB96" i="1" l="1"/>
  <c r="Q43" i="5"/>
  <c r="T43" i="5" s="1"/>
  <c r="AC53" i="1"/>
  <c r="AC58" i="1" s="1"/>
  <c r="AC95" i="1" s="1"/>
  <c r="Q44" i="5" s="1"/>
  <c r="T44" i="5" s="1"/>
  <c r="AM51" i="1"/>
  <c r="AL88" i="1"/>
  <c r="AM55" i="1"/>
  <c r="AL92" i="1"/>
  <c r="AM31" i="1"/>
  <c r="AL68" i="1"/>
  <c r="AM42" i="1"/>
  <c r="AL79" i="1"/>
  <c r="AM54" i="1"/>
  <c r="AM35" i="1"/>
  <c r="AL32" i="1"/>
  <c r="AL69" i="1" s="1"/>
  <c r="AD57" i="1"/>
  <c r="AD94" i="1" s="1"/>
  <c r="AE56" i="1"/>
  <c r="AE93" i="1" s="1"/>
  <c r="I28" i="11" s="1"/>
  <c r="I28" i="13" s="1"/>
  <c r="AL43" i="1"/>
  <c r="AL80" i="1" s="1"/>
  <c r="AM44" i="1"/>
  <c r="AM81" i="1" s="1"/>
  <c r="K16" i="11" s="1"/>
  <c r="K16" i="13" s="1"/>
  <c r="AL49" i="1"/>
  <c r="AL86" i="1" s="1"/>
  <c r="AM50" i="1"/>
  <c r="AM87" i="1" s="1"/>
  <c r="AM30" i="1"/>
  <c r="AC90" i="1" l="1"/>
  <c r="AD53" i="1"/>
  <c r="AD58" i="1" s="1"/>
  <c r="AD95" i="1" s="1"/>
  <c r="Q45" i="5" s="1"/>
  <c r="T45" i="5" s="1"/>
  <c r="AN51" i="1"/>
  <c r="AM88" i="1"/>
  <c r="AN55" i="1"/>
  <c r="AM92" i="1"/>
  <c r="AN31" i="1"/>
  <c r="AM68" i="1"/>
  <c r="K3" i="11" s="1"/>
  <c r="AN42" i="1"/>
  <c r="AM79" i="1"/>
  <c r="K14" i="11" s="1"/>
  <c r="AM49" i="1"/>
  <c r="AM86" i="1" s="1"/>
  <c r="AN50" i="1"/>
  <c r="AN87" i="1" s="1"/>
  <c r="AM32" i="1"/>
  <c r="AM69" i="1" s="1"/>
  <c r="K4" i="11" s="1"/>
  <c r="AN35" i="1"/>
  <c r="AE57" i="1"/>
  <c r="AE94" i="1" s="1"/>
  <c r="I29" i="11" s="1"/>
  <c r="I29" i="13" s="1"/>
  <c r="AF56" i="1"/>
  <c r="AF93" i="1" s="1"/>
  <c r="AM43" i="1"/>
  <c r="AM80" i="1" s="1"/>
  <c r="K15" i="11" s="1"/>
  <c r="K15" i="13" s="1"/>
  <c r="AN44" i="1"/>
  <c r="AN81" i="1" s="1"/>
  <c r="AN54" i="1"/>
  <c r="AN30" i="1"/>
  <c r="AD90" i="1" l="1"/>
  <c r="AD96" i="1" s="1"/>
  <c r="AC96" i="1"/>
  <c r="AE53" i="1"/>
  <c r="AE58" i="1" s="1"/>
  <c r="AE95" i="1" s="1"/>
  <c r="Q46" i="5" s="1"/>
  <c r="AO51" i="1"/>
  <c r="AN88" i="1"/>
  <c r="AE90" i="1"/>
  <c r="AE96" i="1" s="1"/>
  <c r="AO55" i="1"/>
  <c r="AN92" i="1"/>
  <c r="AO31" i="1"/>
  <c r="AN68" i="1"/>
  <c r="AO42" i="1"/>
  <c r="AN79" i="1"/>
  <c r="AO54" i="1"/>
  <c r="AF57" i="1"/>
  <c r="AG56" i="1"/>
  <c r="AG93" i="1" s="1"/>
  <c r="AO50" i="1"/>
  <c r="AO87" i="1" s="1"/>
  <c r="AN49" i="1"/>
  <c r="AN86" i="1" s="1"/>
  <c r="AO44" i="1"/>
  <c r="AO81" i="1" s="1"/>
  <c r="AN43" i="1"/>
  <c r="AN80" i="1" s="1"/>
  <c r="AN32" i="1"/>
  <c r="AN69" i="1" s="1"/>
  <c r="AO35" i="1"/>
  <c r="AO30" i="1"/>
  <c r="I25" i="11" l="1"/>
  <c r="I25" i="13" s="1"/>
  <c r="I30" i="11"/>
  <c r="K10" i="9"/>
  <c r="K39" i="15" s="1"/>
  <c r="T46" i="5"/>
  <c r="K9" i="9" s="1"/>
  <c r="K20" i="15" s="1"/>
  <c r="AF53" i="1"/>
  <c r="AF90" i="1" s="1"/>
  <c r="AF94" i="1"/>
  <c r="AP51" i="1"/>
  <c r="AO88" i="1"/>
  <c r="AP55" i="1"/>
  <c r="AO92" i="1"/>
  <c r="AP31" i="1"/>
  <c r="AO68" i="1"/>
  <c r="AP42" i="1"/>
  <c r="AO79" i="1"/>
  <c r="AP50" i="1"/>
  <c r="AP87" i="1" s="1"/>
  <c r="AO49" i="1"/>
  <c r="AO86" i="1" s="1"/>
  <c r="AP54" i="1"/>
  <c r="AP35" i="1"/>
  <c r="AO32" i="1"/>
  <c r="AO69" i="1" s="1"/>
  <c r="AP44" i="1"/>
  <c r="AP81" i="1" s="1"/>
  <c r="AO43" i="1"/>
  <c r="AO80" i="1" s="1"/>
  <c r="AG57" i="1"/>
  <c r="AG94" i="1" s="1"/>
  <c r="AH56" i="1"/>
  <c r="AH93" i="1" s="1"/>
  <c r="AP30" i="1"/>
  <c r="AG53" i="1" l="1"/>
  <c r="AG58" i="1" s="1"/>
  <c r="AG95" i="1" s="1"/>
  <c r="Q48" i="5" s="1"/>
  <c r="T48" i="5" s="1"/>
  <c r="AF58" i="1"/>
  <c r="AF95" i="1" s="1"/>
  <c r="Q47" i="5" s="1"/>
  <c r="T47" i="5" s="1"/>
  <c r="AF96" i="1"/>
  <c r="AQ51" i="1"/>
  <c r="AQ88" i="1" s="1"/>
  <c r="AP88" i="1"/>
  <c r="AG90" i="1"/>
  <c r="AG96" i="1" s="1"/>
  <c r="AQ55" i="1"/>
  <c r="AQ92" i="1" s="1"/>
  <c r="AP92" i="1"/>
  <c r="AQ31" i="1"/>
  <c r="AQ68" i="1" s="1"/>
  <c r="AP68" i="1"/>
  <c r="L3" i="11" s="1"/>
  <c r="M3" i="11" s="1"/>
  <c r="AQ42" i="1"/>
  <c r="AQ79" i="1" s="1"/>
  <c r="AP79" i="1"/>
  <c r="AP43" i="1"/>
  <c r="AP80" i="1" s="1"/>
  <c r="AQ44" i="1"/>
  <c r="AH57" i="1"/>
  <c r="AI56" i="1"/>
  <c r="AI93" i="1" s="1"/>
  <c r="J28" i="11" s="1"/>
  <c r="J28" i="13" s="1"/>
  <c r="AQ35" i="1"/>
  <c r="AP32" i="1"/>
  <c r="AP69" i="1" s="1"/>
  <c r="AP49" i="1"/>
  <c r="AP86" i="1" s="1"/>
  <c r="AQ50" i="1"/>
  <c r="AQ54" i="1"/>
  <c r="AQ30" i="1"/>
  <c r="L14" i="11" l="1"/>
  <c r="M14" i="11" s="1"/>
  <c r="AH53" i="1"/>
  <c r="AH90" i="1" s="1"/>
  <c r="AH94" i="1"/>
  <c r="AQ49" i="1"/>
  <c r="AQ86" i="1" s="1"/>
  <c r="AQ87" i="1"/>
  <c r="AH58" i="1"/>
  <c r="AH95" i="1" s="1"/>
  <c r="AQ43" i="1"/>
  <c r="AQ80" i="1" s="1"/>
  <c r="L15" i="11" s="1"/>
  <c r="AQ81" i="1"/>
  <c r="L16" i="11" s="1"/>
  <c r="AQ32" i="1"/>
  <c r="AQ69" i="1" s="1"/>
  <c r="L4" i="11" s="1"/>
  <c r="M4" i="11" s="1"/>
  <c r="AI57" i="1"/>
  <c r="AJ56" i="1"/>
  <c r="AJ93" i="1" s="1"/>
  <c r="AH96" i="1" l="1"/>
  <c r="J25" i="11"/>
  <c r="J25" i="13" s="1"/>
  <c r="L15" i="13"/>
  <c r="M15" i="11"/>
  <c r="L16" i="13"/>
  <c r="M16" i="11"/>
  <c r="AI53" i="1"/>
  <c r="AI90" i="1" s="1"/>
  <c r="AI94" i="1"/>
  <c r="J29" i="11" s="1"/>
  <c r="J29" i="13" s="1"/>
  <c r="AI58" i="1"/>
  <c r="AI95" i="1" s="1"/>
  <c r="J30" i="11" s="1"/>
  <c r="AJ57" i="1"/>
  <c r="AJ94" i="1" s="1"/>
  <c r="AK56" i="1"/>
  <c r="AK93" i="1" s="1"/>
  <c r="AJ53" i="1" l="1"/>
  <c r="AJ58" i="1" s="1"/>
  <c r="AJ95" i="1" s="1"/>
  <c r="AI96" i="1"/>
  <c r="AJ90" i="1"/>
  <c r="AK57" i="1"/>
  <c r="AK94" i="1" s="1"/>
  <c r="AL56" i="1"/>
  <c r="AL93" i="1" s="1"/>
  <c r="AK53" i="1"/>
  <c r="Q50" i="5"/>
  <c r="T50" i="5" s="1"/>
  <c r="Q49" i="5"/>
  <c r="T49" i="5" s="1"/>
  <c r="AJ96" i="1" l="1"/>
  <c r="L9" i="9"/>
  <c r="L20" i="15" s="1"/>
  <c r="Q51" i="5"/>
  <c r="T51" i="5" s="1"/>
  <c r="AK58" i="1"/>
  <c r="AK95" i="1" s="1"/>
  <c r="Q52" i="5" s="1"/>
  <c r="T52" i="5" s="1"/>
  <c r="AK90" i="1"/>
  <c r="AK96" i="1" s="1"/>
  <c r="L10" i="9"/>
  <c r="L39" i="15" s="1"/>
  <c r="AL57" i="1"/>
  <c r="AL94" i="1" s="1"/>
  <c r="AM56" i="1"/>
  <c r="AM93" i="1" s="1"/>
  <c r="K28" i="11" s="1"/>
  <c r="K28" i="13" s="1"/>
  <c r="AL53" i="1" l="1"/>
  <c r="AL58" i="1"/>
  <c r="AL95" i="1" s="1"/>
  <c r="Q53" i="5" s="1"/>
  <c r="T53" i="5" s="1"/>
  <c r="AL90" i="1"/>
  <c r="AL96" i="1" s="1"/>
  <c r="AM57" i="1"/>
  <c r="AN56" i="1"/>
  <c r="AN93" i="1" s="1"/>
  <c r="AM53" i="1" l="1"/>
  <c r="AM90" i="1" s="1"/>
  <c r="AM94" i="1"/>
  <c r="K29" i="11" s="1"/>
  <c r="K29" i="13" s="1"/>
  <c r="AM58" i="1"/>
  <c r="AM95" i="1" s="1"/>
  <c r="Q54" i="5" s="1"/>
  <c r="AN57" i="1"/>
  <c r="AO56" i="1"/>
  <c r="AO93" i="1" s="1"/>
  <c r="AM96" i="1" l="1"/>
  <c r="K25" i="11"/>
  <c r="K25" i="13" s="1"/>
  <c r="K30" i="11"/>
  <c r="M10" i="9"/>
  <c r="M39" i="15" s="1"/>
  <c r="T54" i="5"/>
  <c r="M9" i="9" s="1"/>
  <c r="M20" i="15" s="1"/>
  <c r="AN53" i="1"/>
  <c r="AN90" i="1" s="1"/>
  <c r="AN94" i="1"/>
  <c r="AO57" i="1"/>
  <c r="AO94" i="1" s="1"/>
  <c r="AP56" i="1"/>
  <c r="AP93" i="1" s="1"/>
  <c r="AO53" i="1" l="1"/>
  <c r="AN96" i="1"/>
  <c r="AN58" i="1"/>
  <c r="AN95" i="1" s="1"/>
  <c r="AO58" i="1"/>
  <c r="AO95" i="1" s="1"/>
  <c r="Q56" i="5" s="1"/>
  <c r="T56" i="5" s="1"/>
  <c r="AO90" i="1"/>
  <c r="AO96" i="1" s="1"/>
  <c r="AP57" i="1"/>
  <c r="AP94" i="1" s="1"/>
  <c r="AQ56" i="1"/>
  <c r="AQ93" i="1" s="1"/>
  <c r="L28" i="11" s="1"/>
  <c r="L28" i="13" l="1"/>
  <c r="M28" i="11"/>
  <c r="AP53" i="1"/>
  <c r="AP90" i="1" s="1"/>
  <c r="Q55" i="5"/>
  <c r="T55" i="5" s="1"/>
  <c r="AQ57" i="1"/>
  <c r="AQ94" i="1" s="1"/>
  <c r="L29" i="11" s="1"/>
  <c r="L29" i="13" l="1"/>
  <c r="M29" i="11"/>
  <c r="AP96" i="1"/>
  <c r="AP58" i="1"/>
  <c r="AP95" i="1" s="1"/>
  <c r="Q57" i="5" s="1"/>
  <c r="T57" i="5" s="1"/>
  <c r="AQ53" i="1"/>
  <c r="AQ90" i="1" s="1"/>
  <c r="AQ96" i="1" s="1"/>
  <c r="AQ58" i="1"/>
  <c r="AQ95" i="1" s="1"/>
  <c r="Q58" i="5" s="1"/>
  <c r="L25" i="11" l="1"/>
  <c r="L30" i="11"/>
  <c r="M30" i="11" s="1"/>
  <c r="Q59" i="5"/>
  <c r="T58" i="5"/>
  <c r="N10" i="9"/>
  <c r="P19" i="9" l="1"/>
  <c r="O10" i="9"/>
  <c r="N39" i="15"/>
  <c r="O39" i="15" s="1"/>
  <c r="L25" i="13"/>
  <c r="M25" i="11"/>
  <c r="B12" i="6"/>
  <c r="C12" i="6" s="1"/>
  <c r="Q61" i="5"/>
  <c r="E19" i="9"/>
  <c r="T59" i="5"/>
  <c r="W19" i="5" s="1"/>
  <c r="N9" i="9"/>
  <c r="O9" i="9" l="1"/>
  <c r="N20" i="15"/>
  <c r="O20" i="15" s="1"/>
  <c r="F19" i="9"/>
  <c r="G19" i="9" s="1"/>
  <c r="H19" i="9" s="1"/>
  <c r="I19" i="9" s="1"/>
  <c r="J19" i="9" s="1"/>
  <c r="K19" i="9" s="1"/>
  <c r="L19" i="9" s="1"/>
  <c r="M19" i="9" s="1"/>
  <c r="N19" i="9" s="1"/>
  <c r="E40" i="15"/>
  <c r="B7" i="6"/>
  <c r="C7" i="6" s="1"/>
  <c r="E8" i="6"/>
  <c r="E9" i="6" s="1"/>
  <c r="E10" i="6" s="1"/>
  <c r="B14" i="6"/>
  <c r="C14" i="6" s="1"/>
  <c r="X19" i="5"/>
  <c r="Y19" i="5" s="1"/>
  <c r="W20" i="5"/>
  <c r="W6" i="5"/>
  <c r="U19" i="5"/>
  <c r="V19" i="5" s="1"/>
  <c r="O19" i="9" l="1"/>
  <c r="AA19" i="5"/>
  <c r="F40" i="15"/>
  <c r="E41" i="15"/>
  <c r="B16" i="6"/>
  <c r="B17" i="6" s="1"/>
  <c r="C17" i="6" s="1"/>
  <c r="AB19" i="5"/>
  <c r="X20" i="5"/>
  <c r="W21" i="5"/>
  <c r="U20" i="5"/>
  <c r="V20" i="5" s="1"/>
  <c r="AB20" i="5" s="1"/>
  <c r="Y20" i="5" l="1"/>
  <c r="AA20" i="5" s="1"/>
  <c r="G40" i="15"/>
  <c r="F41" i="15"/>
  <c r="B19" i="6"/>
  <c r="X21" i="5"/>
  <c r="U21" i="5"/>
  <c r="V21" i="5" s="1"/>
  <c r="AB21" i="5" s="1"/>
  <c r="W22" i="5"/>
  <c r="Y21" i="5" l="1"/>
  <c r="AA21" i="5" s="1"/>
  <c r="H40" i="15"/>
  <c r="G41" i="15"/>
  <c r="X22" i="5"/>
  <c r="U22" i="5"/>
  <c r="W23" i="5"/>
  <c r="Y22" i="5" l="1"/>
  <c r="I40" i="15"/>
  <c r="H41" i="15"/>
  <c r="U23" i="5"/>
  <c r="V23" i="5" s="1"/>
  <c r="AB23" i="5" s="1"/>
  <c r="W24" i="5"/>
  <c r="X23" i="5"/>
  <c r="Y23" i="5" s="1"/>
  <c r="V22" i="5"/>
  <c r="AB22" i="5" s="1"/>
  <c r="E8" i="9"/>
  <c r="AA23" i="5" l="1"/>
  <c r="I41" i="15"/>
  <c r="J40" i="15"/>
  <c r="E7" i="9"/>
  <c r="E2" i="9" s="1"/>
  <c r="E19" i="15"/>
  <c r="AA22" i="5"/>
  <c r="W25" i="5"/>
  <c r="U24" i="5"/>
  <c r="V24" i="5" s="1"/>
  <c r="AB24" i="5" s="1"/>
  <c r="X24" i="5"/>
  <c r="Y24" i="5" l="1"/>
  <c r="F19" i="15"/>
  <c r="E17" i="15"/>
  <c r="K40" i="15"/>
  <c r="J41" i="15"/>
  <c r="E34" i="9"/>
  <c r="D19" i="14"/>
  <c r="AA24" i="5"/>
  <c r="X25" i="5"/>
  <c r="Y25" i="5" s="1"/>
  <c r="W26" i="5"/>
  <c r="U25" i="5"/>
  <c r="V25" i="5" s="1"/>
  <c r="AB25" i="5" s="1"/>
  <c r="L40" i="15" l="1"/>
  <c r="K41" i="15"/>
  <c r="B19" i="14"/>
  <c r="AA25" i="5"/>
  <c r="G19" i="15"/>
  <c r="F17" i="15"/>
  <c r="W27" i="5"/>
  <c r="X26" i="5"/>
  <c r="U26" i="5"/>
  <c r="H19" i="15" l="1"/>
  <c r="G17" i="15"/>
  <c r="M40" i="15"/>
  <c r="L41" i="15"/>
  <c r="V26" i="5"/>
  <c r="AB26" i="5" s="1"/>
  <c r="F8" i="9"/>
  <c r="F7" i="9" s="1"/>
  <c r="F2" i="9" s="1"/>
  <c r="W28" i="5"/>
  <c r="X27" i="5"/>
  <c r="U27" i="5"/>
  <c r="V27" i="5" s="1"/>
  <c r="Y27" i="5" l="1"/>
  <c r="Y26" i="5"/>
  <c r="AA26" i="5" s="1"/>
  <c r="I19" i="15"/>
  <c r="H17" i="15"/>
  <c r="F34" i="9"/>
  <c r="D20" i="14"/>
  <c r="M41" i="15"/>
  <c r="N40" i="15"/>
  <c r="AA27" i="5"/>
  <c r="U28" i="5"/>
  <c r="V28" i="5" s="1"/>
  <c r="AB28" i="5" s="1"/>
  <c r="X28" i="5"/>
  <c r="Y28" i="5" s="1"/>
  <c r="W29" i="5"/>
  <c r="AB27" i="5"/>
  <c r="B20" i="14" l="1"/>
  <c r="N41" i="15"/>
  <c r="O41" i="15" s="1"/>
  <c r="O40" i="15"/>
  <c r="J19" i="15"/>
  <c r="I17" i="15"/>
  <c r="AA28" i="5"/>
  <c r="W30" i="5"/>
  <c r="U29" i="5"/>
  <c r="V29" i="5" s="1"/>
  <c r="AB29" i="5" s="1"/>
  <c r="X29" i="5"/>
  <c r="Y29" i="5" s="1"/>
  <c r="J17" i="15" l="1"/>
  <c r="K19" i="15"/>
  <c r="AA29" i="5"/>
  <c r="W31" i="5"/>
  <c r="X30" i="5"/>
  <c r="U30" i="5"/>
  <c r="K17" i="15" l="1"/>
  <c r="L19" i="15"/>
  <c r="V30" i="5"/>
  <c r="AB30" i="5" s="1"/>
  <c r="G8" i="9"/>
  <c r="G7" i="9" s="1"/>
  <c r="G2" i="9" s="1"/>
  <c r="X31" i="5"/>
  <c r="Y31" i="5" s="1"/>
  <c r="W32" i="5"/>
  <c r="U31" i="5"/>
  <c r="V31" i="5" s="1"/>
  <c r="AB31" i="5" s="1"/>
  <c r="Y30" i="5" l="1"/>
  <c r="AA30" i="5" s="1"/>
  <c r="G34" i="9"/>
  <c r="D21" i="14"/>
  <c r="AA31" i="5"/>
  <c r="L17" i="15"/>
  <c r="M19" i="15"/>
  <c r="X32" i="5"/>
  <c r="Y32" i="5" s="1"/>
  <c r="U32" i="5"/>
  <c r="V32" i="5" s="1"/>
  <c r="AB32" i="5" s="1"/>
  <c r="W33" i="5"/>
  <c r="M17" i="15" l="1"/>
  <c r="N19" i="15"/>
  <c r="AA32" i="5"/>
  <c r="B21" i="14"/>
  <c r="X33" i="5"/>
  <c r="U33" i="5"/>
  <c r="V33" i="5" s="1"/>
  <c r="AB33" i="5" s="1"/>
  <c r="W34" i="5"/>
  <c r="Y33" i="5" l="1"/>
  <c r="AA33" i="5" s="1"/>
  <c r="N17" i="15"/>
  <c r="O19" i="15"/>
  <c r="X34" i="5"/>
  <c r="W35" i="5"/>
  <c r="U34" i="5"/>
  <c r="Y34" i="5" l="1"/>
  <c r="O17" i="15"/>
  <c r="U35" i="5"/>
  <c r="V35" i="5" s="1"/>
  <c r="AB35" i="5" s="1"/>
  <c r="W36" i="5"/>
  <c r="X35" i="5"/>
  <c r="V34" i="5"/>
  <c r="AB34" i="5" s="1"/>
  <c r="H8" i="9"/>
  <c r="H7" i="9" s="1"/>
  <c r="H2" i="9" s="1"/>
  <c r="Y35" i="5" l="1"/>
  <c r="H34" i="9"/>
  <c r="D22" i="14"/>
  <c r="AA34" i="5"/>
  <c r="AA35" i="5"/>
  <c r="X36" i="5"/>
  <c r="U36" i="5"/>
  <c r="V36" i="5" s="1"/>
  <c r="AB36" i="5" s="1"/>
  <c r="W37" i="5"/>
  <c r="Y36" i="5" l="1"/>
  <c r="AA36" i="5" s="1"/>
  <c r="B22" i="14"/>
  <c r="W38" i="5"/>
  <c r="U37" i="5"/>
  <c r="V37" i="5" s="1"/>
  <c r="AB37" i="5" s="1"/>
  <c r="X37" i="5"/>
  <c r="Y37" i="5" l="1"/>
  <c r="AA37" i="5"/>
  <c r="X38" i="5"/>
  <c r="W39" i="5"/>
  <c r="U38" i="5"/>
  <c r="V38" i="5" l="1"/>
  <c r="AB38" i="5" s="1"/>
  <c r="I8" i="9"/>
  <c r="I7" i="9" s="1"/>
  <c r="I2" i="9" s="1"/>
  <c r="X39" i="5"/>
  <c r="Y39" i="5" s="1"/>
  <c r="W40" i="5"/>
  <c r="U39" i="5"/>
  <c r="V39" i="5" s="1"/>
  <c r="AB39" i="5" s="1"/>
  <c r="Y38" i="5" l="1"/>
  <c r="I34" i="9"/>
  <c r="D23" i="14"/>
  <c r="B23" i="14" s="1"/>
  <c r="AA38" i="5"/>
  <c r="AA39" i="5"/>
  <c r="U40" i="5"/>
  <c r="V40" i="5" s="1"/>
  <c r="AB40" i="5" s="1"/>
  <c r="X40" i="5"/>
  <c r="W41" i="5"/>
  <c r="Y40" i="5" l="1"/>
  <c r="W42" i="5"/>
  <c r="X41" i="5"/>
  <c r="U41" i="5"/>
  <c r="V41" i="5" s="1"/>
  <c r="AB41" i="5" s="1"/>
  <c r="AA40" i="5"/>
  <c r="Y41" i="5" l="1"/>
  <c r="AA41" i="5"/>
  <c r="X42" i="5"/>
  <c r="U42" i="5"/>
  <c r="W43" i="5"/>
  <c r="V42" i="5" l="1"/>
  <c r="AB42" i="5" s="1"/>
  <c r="J8" i="9"/>
  <c r="J7" i="9" s="1"/>
  <c r="J2" i="9" s="1"/>
  <c r="W44" i="5"/>
  <c r="X43" i="5"/>
  <c r="U43" i="5"/>
  <c r="V43" i="5" s="1"/>
  <c r="AB43" i="5" s="1"/>
  <c r="Y43" i="5" l="1"/>
  <c r="Y42" i="5"/>
  <c r="AA42" i="5" s="1"/>
  <c r="J34" i="9"/>
  <c r="D24" i="14"/>
  <c r="B24" i="14" s="1"/>
  <c r="AA43" i="5"/>
  <c r="X44" i="5"/>
  <c r="U44" i="5"/>
  <c r="V44" i="5" s="1"/>
  <c r="AB44" i="5" s="1"/>
  <c r="W45" i="5"/>
  <c r="Y44" i="5" l="1"/>
  <c r="AA44" i="5"/>
  <c r="X45" i="5"/>
  <c r="U45" i="5"/>
  <c r="V45" i="5" s="1"/>
  <c r="AB45" i="5" s="1"/>
  <c r="W46" i="5"/>
  <c r="Y45" i="5" l="1"/>
  <c r="AA45" i="5"/>
  <c r="W47" i="5"/>
  <c r="X46" i="5"/>
  <c r="U46" i="5"/>
  <c r="V46" i="5" l="1"/>
  <c r="AB46" i="5" s="1"/>
  <c r="K8" i="9"/>
  <c r="K7" i="9" s="1"/>
  <c r="K2" i="9" s="1"/>
  <c r="X47" i="5"/>
  <c r="Y47" i="5" s="1"/>
  <c r="U47" i="5"/>
  <c r="V47" i="5" s="1"/>
  <c r="AB47" i="5" s="1"/>
  <c r="W48" i="5"/>
  <c r="Y46" i="5" l="1"/>
  <c r="AA46" i="5" s="1"/>
  <c r="K34" i="9"/>
  <c r="D25" i="14"/>
  <c r="B25" i="14" s="1"/>
  <c r="AA47" i="5"/>
  <c r="X48" i="5"/>
  <c r="Y48" i="5" s="1"/>
  <c r="W49" i="5"/>
  <c r="U48" i="5"/>
  <c r="V48" i="5" s="1"/>
  <c r="AB48" i="5" s="1"/>
  <c r="AA48" i="5" l="1"/>
  <c r="W50" i="5"/>
  <c r="U49" i="5"/>
  <c r="V49" i="5" s="1"/>
  <c r="AB49" i="5" s="1"/>
  <c r="X49" i="5"/>
  <c r="Y49" i="5" s="1"/>
  <c r="AA49" i="5" l="1"/>
  <c r="X50" i="5"/>
  <c r="W51" i="5"/>
  <c r="U50" i="5"/>
  <c r="L8" i="9" l="1"/>
  <c r="L7" i="9" s="1"/>
  <c r="L2" i="9" s="1"/>
  <c r="V50" i="5"/>
  <c r="AB50" i="5" s="1"/>
  <c r="U51" i="5"/>
  <c r="V51" i="5" s="1"/>
  <c r="AB51" i="5" s="1"/>
  <c r="X51" i="5"/>
  <c r="W52" i="5"/>
  <c r="Y51" i="5" l="1"/>
  <c r="AA51" i="5" s="1"/>
  <c r="Y50" i="5"/>
  <c r="L34" i="9"/>
  <c r="D26" i="14"/>
  <c r="B26" i="14" s="1"/>
  <c r="AA50" i="5"/>
  <c r="X52" i="5"/>
  <c r="W53" i="5"/>
  <c r="U52" i="5"/>
  <c r="V52" i="5" s="1"/>
  <c r="AB52" i="5" s="1"/>
  <c r="Y52" i="5" l="1"/>
  <c r="AA52" i="5"/>
  <c r="U53" i="5"/>
  <c r="V53" i="5" s="1"/>
  <c r="AB53" i="5" s="1"/>
  <c r="X53" i="5"/>
  <c r="Y53" i="5" s="1"/>
  <c r="W54" i="5"/>
  <c r="AA53" i="5" l="1"/>
  <c r="X54" i="5"/>
  <c r="U54" i="5"/>
  <c r="W55" i="5"/>
  <c r="X55" i="5" l="1"/>
  <c r="Y55" i="5" s="1"/>
  <c r="W56" i="5"/>
  <c r="U55" i="5"/>
  <c r="V55" i="5" s="1"/>
  <c r="AB55" i="5" s="1"/>
  <c r="V54" i="5"/>
  <c r="AB54" i="5" s="1"/>
  <c r="M8" i="9"/>
  <c r="M7" i="9" s="1"/>
  <c r="M2" i="9" s="1"/>
  <c r="Y54" i="5" l="1"/>
  <c r="M34" i="9"/>
  <c r="D27" i="14"/>
  <c r="B27" i="14" s="1"/>
  <c r="AA55" i="5"/>
  <c r="AA54" i="5"/>
  <c r="U56" i="5"/>
  <c r="V56" i="5" s="1"/>
  <c r="AB56" i="5" s="1"/>
  <c r="X56" i="5"/>
  <c r="W57" i="5"/>
  <c r="Y56" i="5" l="1"/>
  <c r="AA56" i="5"/>
  <c r="U57" i="5"/>
  <c r="V57" i="5" s="1"/>
  <c r="AB57" i="5" s="1"/>
  <c r="X57" i="5"/>
  <c r="Y57" i="5" s="1"/>
  <c r="W58" i="5"/>
  <c r="W59" i="5" l="1"/>
  <c r="Y60" i="5" s="1"/>
  <c r="U58" i="5"/>
  <c r="X58" i="5"/>
  <c r="AA57" i="5"/>
  <c r="X59" i="5" l="1"/>
  <c r="N8" i="9"/>
  <c r="U59" i="5"/>
  <c r="V58" i="5"/>
  <c r="Y58" i="5" s="1"/>
  <c r="N7" i="9" l="1"/>
  <c r="O8" i="9"/>
  <c r="V59" i="5"/>
  <c r="E16" i="9" s="1"/>
  <c r="E25" i="15" s="1"/>
  <c r="AB58" i="5"/>
  <c r="AB59" i="5" s="1"/>
  <c r="U61" i="5"/>
  <c r="P16" i="9"/>
  <c r="P36" i="9" s="1"/>
  <c r="F25" i="15" l="1"/>
  <c r="E23" i="15"/>
  <c r="E28" i="15" s="1"/>
  <c r="O7" i="9"/>
  <c r="N2" i="9"/>
  <c r="D28" i="14" s="1"/>
  <c r="AA58" i="5"/>
  <c r="AA59" i="5" s="1"/>
  <c r="Y59" i="5"/>
  <c r="E36" i="9"/>
  <c r="E11" i="9"/>
  <c r="E22" i="9" s="1"/>
  <c r="F16" i="9"/>
  <c r="B63" i="5"/>
  <c r="W61" i="5"/>
  <c r="W63" i="5" s="1"/>
  <c r="E24" i="9" l="1"/>
  <c r="E30" i="9" s="1"/>
  <c r="F36" i="14"/>
  <c r="B28" i="14"/>
  <c r="D29" i="14"/>
  <c r="B29" i="14" s="1"/>
  <c r="F23" i="15"/>
  <c r="F28" i="15" s="1"/>
  <c r="G25" i="15"/>
  <c r="F36" i="9"/>
  <c r="F11" i="9"/>
  <c r="G16" i="9"/>
  <c r="O2" i="9"/>
  <c r="N34" i="9"/>
  <c r="F22" i="9" l="1"/>
  <c r="F24" i="9" s="1"/>
  <c r="E25" i="9"/>
  <c r="Q2" i="9"/>
  <c r="D7" i="14"/>
  <c r="H25" i="15"/>
  <c r="G23" i="15"/>
  <c r="G28" i="15" s="1"/>
  <c r="F37" i="14"/>
  <c r="C36" i="14"/>
  <c r="G36" i="9"/>
  <c r="H16" i="9"/>
  <c r="G11" i="9"/>
  <c r="E26" i="9"/>
  <c r="F25" i="9" l="1"/>
  <c r="F30" i="9"/>
  <c r="G22" i="9"/>
  <c r="G24" i="9" s="1"/>
  <c r="I25" i="15"/>
  <c r="H23" i="15"/>
  <c r="H28" i="15" s="1"/>
  <c r="C37" i="14"/>
  <c r="F38" i="14"/>
  <c r="H36" i="9"/>
  <c r="I16" i="9"/>
  <c r="H11" i="9"/>
  <c r="E27" i="9"/>
  <c r="G30" i="9" l="1"/>
  <c r="G25" i="9"/>
  <c r="H22" i="9"/>
  <c r="H24" i="9" s="1"/>
  <c r="F26" i="9"/>
  <c r="F27" i="9" s="1"/>
  <c r="F28" i="9" s="1"/>
  <c r="F29" i="9" s="1"/>
  <c r="F39" i="14"/>
  <c r="C38" i="14"/>
  <c r="J25" i="15"/>
  <c r="I23" i="15"/>
  <c r="I28" i="15" s="1"/>
  <c r="I36" i="9"/>
  <c r="I11" i="9"/>
  <c r="J16" i="9"/>
  <c r="E28" i="9"/>
  <c r="E29" i="9" s="1"/>
  <c r="G26" i="9"/>
  <c r="H25" i="9" l="1"/>
  <c r="H26" i="9" s="1"/>
  <c r="H30" i="9"/>
  <c r="I22" i="9"/>
  <c r="I24" i="9" s="1"/>
  <c r="K25" i="15"/>
  <c r="J23" i="15"/>
  <c r="J28" i="15" s="1"/>
  <c r="C39" i="14"/>
  <c r="F40" i="14"/>
  <c r="J36" i="9"/>
  <c r="K16" i="9"/>
  <c r="J11" i="9"/>
  <c r="G27" i="9"/>
  <c r="I30" i="9" l="1"/>
  <c r="I25" i="9"/>
  <c r="I26" i="9" s="1"/>
  <c r="J22" i="9"/>
  <c r="J24" i="9" s="1"/>
  <c r="H27" i="9"/>
  <c r="H28" i="9"/>
  <c r="H29" i="9" s="1"/>
  <c r="C40" i="14"/>
  <c r="F41" i="14"/>
  <c r="L25" i="15"/>
  <c r="K23" i="15"/>
  <c r="K28" i="15" s="1"/>
  <c r="K36" i="9"/>
  <c r="L16" i="9"/>
  <c r="K11" i="9"/>
  <c r="G28" i="9"/>
  <c r="J25" i="9" l="1"/>
  <c r="J30" i="9"/>
  <c r="K30" i="9" s="1"/>
  <c r="K22" i="9"/>
  <c r="K24" i="9" s="1"/>
  <c r="K25" i="9" s="1"/>
  <c r="K26" i="9" s="1"/>
  <c r="I27" i="9"/>
  <c r="I28" i="9" s="1"/>
  <c r="M25" i="15"/>
  <c r="L23" i="15"/>
  <c r="L28" i="15" s="1"/>
  <c r="F42" i="14"/>
  <c r="C41" i="14"/>
  <c r="L36" i="9"/>
  <c r="L11" i="9"/>
  <c r="M16" i="9"/>
  <c r="I29" i="9"/>
  <c r="G29" i="9"/>
  <c r="L22" i="9" l="1"/>
  <c r="L24" i="9" s="1"/>
  <c r="J26" i="9"/>
  <c r="J27" i="9"/>
  <c r="J28" i="9" s="1"/>
  <c r="J29" i="9" s="1"/>
  <c r="C42" i="14"/>
  <c r="F43" i="14"/>
  <c r="N25" i="15"/>
  <c r="M23" i="15"/>
  <c r="M36" i="9"/>
  <c r="N16" i="9"/>
  <c r="M11" i="9"/>
  <c r="K27" i="9"/>
  <c r="K28" i="9" s="1"/>
  <c r="L25" i="9" l="1"/>
  <c r="L30" i="9"/>
  <c r="M22" i="9"/>
  <c r="M24" i="9" s="1"/>
  <c r="M25" i="9" s="1"/>
  <c r="N23" i="15"/>
  <c r="N28" i="15" s="1"/>
  <c r="O25" i="15"/>
  <c r="F44" i="14"/>
  <c r="C43" i="14"/>
  <c r="O23" i="15"/>
  <c r="M28" i="15"/>
  <c r="N36" i="9"/>
  <c r="O16" i="9"/>
  <c r="O36" i="9" s="1"/>
  <c r="N11" i="9"/>
  <c r="K29" i="9"/>
  <c r="M30" i="9" l="1"/>
  <c r="N24" i="9"/>
  <c r="N25" i="9" s="1"/>
  <c r="N26" i="9" s="1"/>
  <c r="N22" i="9"/>
  <c r="L26" i="9"/>
  <c r="L27" i="9" s="1"/>
  <c r="L28" i="9" s="1"/>
  <c r="L29" i="9" s="1"/>
  <c r="O28" i="15"/>
  <c r="F45" i="14"/>
  <c r="C45" i="14" s="1"/>
  <c r="C44" i="14"/>
  <c r="F46" i="14"/>
  <c r="N27" i="9"/>
  <c r="N28" i="9" s="1"/>
  <c r="O11" i="9"/>
  <c r="D8" i="14" s="1"/>
  <c r="N30" i="9"/>
  <c r="O30" i="9" s="1"/>
  <c r="O24" i="9"/>
  <c r="O22" i="9"/>
  <c r="O25" i="9"/>
  <c r="M26" i="9"/>
  <c r="M27" i="9" s="1"/>
  <c r="C46" i="14" l="1"/>
  <c r="O27" i="9"/>
  <c r="M28" i="9"/>
  <c r="M29" i="9" s="1"/>
  <c r="O26" i="9"/>
  <c r="N29" i="9"/>
  <c r="O28" i="9" l="1"/>
  <c r="O29" i="9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0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Для реализации проекта необходимо 2 ЗУ общей площадью 1 800 кв. м, кадастровая стоимость соседних ЗУ 760руб./кв.м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Расходы по проекту превышают доходы, налогооблагаемая прибыль по проекту отсутствует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Расходы по проекту превышают доходы, НДС по проекту будет к возврату</t>
        </r>
      </text>
    </comment>
  </commentList>
</comments>
</file>

<file path=xl/sharedStrings.xml><?xml version="1.0" encoding="utf-8"?>
<sst xmlns="http://schemas.openxmlformats.org/spreadsheetml/2006/main" count="693" uniqueCount="348">
  <si>
    <t>Финансирование</t>
  </si>
  <si>
    <t>Ставка дисконтирования</t>
  </si>
  <si>
    <t>Срок финансирования</t>
  </si>
  <si>
    <t>Проектирование и строительство</t>
  </si>
  <si>
    <t>Стоимость строительства, руб. с НДС</t>
  </si>
  <si>
    <t>Дата начала строительства</t>
  </si>
  <si>
    <t>Срок проектирования и строительства, мес.</t>
  </si>
  <si>
    <t>Капитализация процентов за время строительства</t>
  </si>
  <si>
    <t>да</t>
  </si>
  <si>
    <t>Эксплуатация</t>
  </si>
  <si>
    <t>Срок эксплуатации, мес.</t>
  </si>
  <si>
    <t>Срок амортизации, лет</t>
  </si>
  <si>
    <t>Затраты на эксплуатацию, руб. в месяц с НДС</t>
  </si>
  <si>
    <t>Налоги и иные обязательные платежи</t>
  </si>
  <si>
    <t>Ставка налога на имущество</t>
  </si>
  <si>
    <t>Ставка НДС</t>
  </si>
  <si>
    <t>Арендная плата за землю, руб/год</t>
  </si>
  <si>
    <t>Годовая ставка дисконтирования</t>
  </si>
  <si>
    <t>Дата</t>
  </si>
  <si>
    <t>Эксплутация</t>
  </si>
  <si>
    <t>Денежный поток</t>
  </si>
  <si>
    <t>Инвестиции</t>
  </si>
  <si>
    <t>Инвестиции с доходностью к возврату</t>
  </si>
  <si>
    <t>Начисление дохода на инвестиции</t>
  </si>
  <si>
    <t>Вложения в проектирование и строительство с НДС</t>
  </si>
  <si>
    <t>Возврат НДС из бюджета</t>
  </si>
  <si>
    <t>Капвложения без НДС</t>
  </si>
  <si>
    <t>Остаточная стомость имущества</t>
  </si>
  <si>
    <t>Амортизация</t>
  </si>
  <si>
    <t>Налог на имущество</t>
  </si>
  <si>
    <t>Арендная плата за землю</t>
  </si>
  <si>
    <t>НДС в составе платы концедента</t>
  </si>
  <si>
    <t>НДС в бюджет</t>
  </si>
  <si>
    <t>Чистый денежный поток</t>
  </si>
  <si>
    <t>Коэфф. дисконтирования</t>
  </si>
  <si>
    <t>Дисконтированный чистый денежный поток</t>
  </si>
  <si>
    <t>Сальдо по НДС</t>
  </si>
  <si>
    <t>№, п/п</t>
  </si>
  <si>
    <t>Показатель</t>
  </si>
  <si>
    <t>ИТОГО</t>
  </si>
  <si>
    <t>вложения в строительство (с НДС)</t>
  </si>
  <si>
    <t>арендная плата за земельный участок</t>
  </si>
  <si>
    <t>налог на имущество</t>
  </si>
  <si>
    <t>ндс с платы Концедента</t>
  </si>
  <si>
    <t>Плата Концедента</t>
  </si>
  <si>
    <t>возврат вложений на строительство</t>
  </si>
  <si>
    <t>возврат капитализированной доходности</t>
  </si>
  <si>
    <t>возврат налога на имущество</t>
  </si>
  <si>
    <t>возврат арендной платы за земельный участок</t>
  </si>
  <si>
    <t>НДС к приросту стоимости строительства</t>
  </si>
  <si>
    <t>возврат НДС из бюджета</t>
  </si>
  <si>
    <t xml:space="preserve">3. </t>
  </si>
  <si>
    <t>Коэффициент дисконтирования</t>
  </si>
  <si>
    <t xml:space="preserve">Дисконтированный ЧДД </t>
  </si>
  <si>
    <t xml:space="preserve">Показатель </t>
  </si>
  <si>
    <t>Единица измерения</t>
  </si>
  <si>
    <t>Выручка от оказываемых услуг</t>
  </si>
  <si>
    <t>руб.</t>
  </si>
  <si>
    <t>пассажиропоток</t>
  </si>
  <si>
    <t>чел.</t>
  </si>
  <si>
    <t>максимальная загрузка</t>
  </si>
  <si>
    <t>%</t>
  </si>
  <si>
    <t>стоимость проезда</t>
  </si>
  <si>
    <t>1.1.</t>
  </si>
  <si>
    <t>1.2.</t>
  </si>
  <si>
    <t>2.1.</t>
  </si>
  <si>
    <t>2.2.</t>
  </si>
  <si>
    <t>справочно:</t>
  </si>
  <si>
    <t>процент заполняемости</t>
  </si>
  <si>
    <t>ПРОГНОЗ ДОХОДОВ, РУБ. С НДС</t>
  </si>
  <si>
    <t>1 кв. 2020</t>
  </si>
  <si>
    <t>2 кв. 2020</t>
  </si>
  <si>
    <t>3 кв. 2020</t>
  </si>
  <si>
    <t>4 кв. 2020</t>
  </si>
  <si>
    <t>1 кв. 2021</t>
  </si>
  <si>
    <t>2 кв. 2021</t>
  </si>
  <si>
    <t>3 кв. 2021</t>
  </si>
  <si>
    <t>4 кв. 2021</t>
  </si>
  <si>
    <t>1 кв. 2022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</si>
  <si>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</si>
  <si>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</si>
  <si>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</si>
  <si>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</si>
  <si>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</si>
  <si>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</si>
  <si>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</si>
  <si>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</si>
  <si>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</si>
  <si>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</si>
  <si>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</si>
  <si>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</si>
  <si>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</si>
  <si>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</si>
  <si>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</si>
  <si>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</si>
  <si>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</si>
  <si>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</si>
  <si>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</si>
  <si>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</si>
  <si>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</si>
  <si>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</si>
  <si>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</si>
  <si>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чел./час</t>
  </si>
  <si>
    <t>час</t>
  </si>
  <si>
    <t>количество рабочих часов в сутках</t>
  </si>
  <si>
    <t>годовая сезонность</t>
  </si>
  <si>
    <t>инфляция</t>
  </si>
  <si>
    <t>Переменные расходы</t>
  </si>
  <si>
    <t>Постоянные расходы</t>
  </si>
  <si>
    <t>2.3.</t>
  </si>
  <si>
    <t>Персонал</t>
  </si>
  <si>
    <t>Механик</t>
  </si>
  <si>
    <t>повышение зарплаты 4% в год (с 2021)</t>
  </si>
  <si>
    <t>БДР</t>
  </si>
  <si>
    <t>1.</t>
  </si>
  <si>
    <t>2.</t>
  </si>
  <si>
    <t>Суммарные постоянные издержки</t>
  </si>
  <si>
    <t>4.</t>
  </si>
  <si>
    <t xml:space="preserve">Суммарные непроизводственные издержки </t>
  </si>
  <si>
    <t>4.1.</t>
  </si>
  <si>
    <t>4.2.</t>
  </si>
  <si>
    <t>Проценты по кредиту</t>
  </si>
  <si>
    <t>5.</t>
  </si>
  <si>
    <t>Прибыль до выплаты налогов</t>
  </si>
  <si>
    <t>6.</t>
  </si>
  <si>
    <t>Убытки предыдущих периодов</t>
  </si>
  <si>
    <t>7.</t>
  </si>
  <si>
    <t>Налогооблагаемая прибыль</t>
  </si>
  <si>
    <t>8.</t>
  </si>
  <si>
    <t>Налог на прибыль  (20%)</t>
  </si>
  <si>
    <t>9.</t>
  </si>
  <si>
    <t xml:space="preserve">Чистая прибыль </t>
  </si>
  <si>
    <t>ДДС</t>
  </si>
  <si>
    <t>№ п/п</t>
  </si>
  <si>
    <t>ОПЕРАЦИОННАЯ ДЕЯТЕЛЬНОСТЬ</t>
  </si>
  <si>
    <t>Налоги</t>
  </si>
  <si>
    <t>Налоги на ФОТ</t>
  </si>
  <si>
    <t>Налог на прибыль</t>
  </si>
  <si>
    <t>НДС</t>
  </si>
  <si>
    <t>Кэш-фло от операционной деятельности</t>
  </si>
  <si>
    <t>ИНВЕСТИЦИОННАЯ ДЕЯТЕЛЬНОСТЬ</t>
  </si>
  <si>
    <t>3.</t>
  </si>
  <si>
    <t xml:space="preserve">Инвестиции на кап. Вложения </t>
  </si>
  <si>
    <t xml:space="preserve">  Кэш-фло от инвестиционной деятельности </t>
  </si>
  <si>
    <t>ФИНАНСОВАЯ ДЕЯТЕЛЬНОСТЬ</t>
  </si>
  <si>
    <t>Собственные средства на операц.деят-ть и выплату %</t>
  </si>
  <si>
    <t>Выплата основного долга</t>
  </si>
  <si>
    <t>Кэш-фло от финансовой деятельности</t>
  </si>
  <si>
    <t>Баланс наличности на начало периода</t>
  </si>
  <si>
    <t>Баланс наличности на конец периода</t>
  </si>
  <si>
    <t>Валовый объем продаж</t>
  </si>
  <si>
    <t>Валовая прибыль</t>
  </si>
  <si>
    <t>ВСЕГО ПОСТУПЛЕНИЙ</t>
  </si>
  <si>
    <t>ВСЕГО РАСХОДОВ</t>
  </si>
  <si>
    <t>2.3.2.</t>
  </si>
  <si>
    <t>2.3.1.</t>
  </si>
  <si>
    <t>2.3.3.</t>
  </si>
  <si>
    <t>2.3.4.</t>
  </si>
  <si>
    <t>1 кв. 2018</t>
  </si>
  <si>
    <t>2 кв. 2018</t>
  </si>
  <si>
    <t>3 кв. 2018</t>
  </si>
  <si>
    <t>4 кв. 2018</t>
  </si>
  <si>
    <t>1 кв. 2019</t>
  </si>
  <si>
    <t>2 кв. 2019</t>
  </si>
  <si>
    <t>3 кв. 2019</t>
  </si>
  <si>
    <t>4 кв. 2019</t>
  </si>
  <si>
    <t xml:space="preserve">Собственные средства на кап. Вложения  (20%) </t>
  </si>
  <si>
    <t>Кредит на кап. Вложения (80%)</t>
  </si>
  <si>
    <t xml:space="preserve">ставка по кредиту </t>
  </si>
  <si>
    <t>1 кв. 2028</t>
  </si>
  <si>
    <t>2 кв. 2028</t>
  </si>
  <si>
    <t>3 кв. 2028</t>
  </si>
  <si>
    <t>4 кв. 2028</t>
  </si>
  <si>
    <t>1 кв. 2029</t>
  </si>
  <si>
    <t>2 кв. 2029</t>
  </si>
  <si>
    <t>3 кв. 2029</t>
  </si>
  <si>
    <t>4 кв. 2029</t>
  </si>
  <si>
    <t>Обьъм инвестиций</t>
  </si>
  <si>
    <t>Ставка налога на имущества</t>
  </si>
  <si>
    <t>Ориентировочная площадь ЗУ, кв.м</t>
  </si>
  <si>
    <t>Средняя кадастровая стоимость 1 кв.м ЗУ</t>
  </si>
  <si>
    <t>Годовая ставка аренды ЗУ (14-З) первые 4 года</t>
  </si>
  <si>
    <t>Годовая ставка аренды ЗУ (14-З) с 5 года</t>
  </si>
  <si>
    <t>Годовая ставка по кредиту</t>
  </si>
  <si>
    <t>Срок кредита, лет</t>
  </si>
  <si>
    <t xml:space="preserve">Проценты по кредиту </t>
  </si>
  <si>
    <t>Выплаты основного долга</t>
  </si>
  <si>
    <t>Остаток по кредиту</t>
  </si>
  <si>
    <t>Операционные расходы с НДС</t>
  </si>
  <si>
    <t>Доходы от оказания услуг с НДС</t>
  </si>
  <si>
    <t>Плата Концедента (процент от расходов)</t>
  </si>
  <si>
    <t>НДС с операц. деятельности</t>
  </si>
  <si>
    <t>ПРОГНОЗ РАСХОДОВ ПО ПРОЕКТУ В ЕВРО, РУБ. С НДС</t>
  </si>
  <si>
    <t>ПРОГНОЗ РАСХОДОВ ПО ПРОЕКТУ В РУБЛЯХ, РУБ. С НДС</t>
  </si>
  <si>
    <t>Курс евро (29.11.2017), руб.</t>
  </si>
  <si>
    <t>Mатериал для проведения регламентных работ</t>
  </si>
  <si>
    <t>Офисные затраты</t>
  </si>
  <si>
    <t>Техническая поддержка, обучение, программы</t>
  </si>
  <si>
    <t>Стоимость первой пересчалки каната силами и оборудованием эксплуатирующей организации</t>
  </si>
  <si>
    <t>Годовое Техобслуживание специалистами из России</t>
  </si>
  <si>
    <t>Возможные затраты на текущий ремонт внутреннего интерьера пассажирских кабин на канатной дороге (при необходимости - капитальный)</t>
  </si>
  <si>
    <t>Программное обеспечение, Обучение по обслуживанию, по эксплуатации, по управлению, по технике безопасности.</t>
  </si>
  <si>
    <t>Обучение в Ростехнадзоре специалистов канатной дороги по специальностям: начальник дороги, машинист-оператор, электромеханик, обучение по верхолазным работам, обучение по охране труда при эксплуатации канатной дороги и иные виды обучения с получением дипломов и удостоверений с возможностью регистрации канатной дороги в Ростехнадзоре, ежегодная переаттестация с подтверждением обучения в соответсвии с российским законодательством</t>
  </si>
  <si>
    <t>Ежегодное техническое освидетельствование канатной дороги лицензированной организацией от Ростехнадзора</t>
  </si>
  <si>
    <t>Магнитная дефектоскопия несущего каната лицензированной организацией от Ростехнадзора</t>
  </si>
  <si>
    <t xml:space="preserve">Договор с электроизмерительной лабораторией для составления технического отчета </t>
  </si>
  <si>
    <t>Договор на страхование гражданской ответственности третьих лиц при эксплуатации  Особо опасного объекта</t>
  </si>
  <si>
    <t>Договор на аварийно-спасательные работы при чрезвычайных ситуациях на особо опасном объекте (при необходимости)</t>
  </si>
  <si>
    <t>Юридические и бухгалтерские услуги</t>
  </si>
  <si>
    <t>Бухгалтерский учёт, аудиторское сопровождение, банковские издержки, официальные сборы</t>
  </si>
  <si>
    <t xml:space="preserve">Обслуживание  системы контроля и доступа на канатную дорогус возможностью продажи билетов (пластиковых магнитных карточек), обеспечивающий проход расчетного количества посетителей, карточко-приемником, возможность продажи билетов через терминал, возможность считывания билетов, купленных через Интернет, кассовыми аппаратами </t>
  </si>
  <si>
    <t>Ежегодное обслуживание работы системы с возможностью дистанционного обслуживания, либо фактическим присутствием специалиста.</t>
  </si>
  <si>
    <t>Оплата труда кассиров</t>
  </si>
  <si>
    <t>Ежедневная инкассация</t>
  </si>
  <si>
    <t>Внешний сервис</t>
  </si>
  <si>
    <t>Уборочные работы (разовые, постоянные, утро-вечер, закупка уборочного инвентаря и закупка моющих средств)</t>
  </si>
  <si>
    <t>Охрана (круглосуточная охрана с количеством постов, обеспечивающих сохранность имущества и безопасность посетителей на объекте "Канатная дорога"</t>
  </si>
  <si>
    <t xml:space="preserve">Затраты на электроэнергию </t>
  </si>
  <si>
    <t>Кадры и прочее</t>
  </si>
  <si>
    <t>Годовые затраты по кадрам, поиск кадров, контракты по наёму персонала и т.п., представительские расходы, прочее</t>
  </si>
  <si>
    <t>Спецодежда, экипировка (на персонал канатной дороги, кассиров, уборщиц, сотрудников охраны)</t>
  </si>
  <si>
    <t>ФОТ</t>
  </si>
  <si>
    <t>евро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</si>
  <si>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</si>
  <si>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</si>
  <si>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</si>
  <si>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</si>
  <si>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</si>
  <si>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</si>
  <si>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</si>
  <si>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</si>
  <si>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</si>
  <si>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4.3.</t>
  </si>
  <si>
    <t>4.4.</t>
  </si>
  <si>
    <t>4.5.</t>
  </si>
  <si>
    <t>5.1.</t>
  </si>
  <si>
    <t>5.2.</t>
  </si>
  <si>
    <t>5.3.</t>
  </si>
  <si>
    <t>6.1.</t>
  </si>
  <si>
    <t>6.2.</t>
  </si>
  <si>
    <t>6.3.</t>
  </si>
  <si>
    <t>6.5.</t>
  </si>
  <si>
    <t>Страховые взносы с ФОТ</t>
  </si>
  <si>
    <t>Оператор</t>
  </si>
  <si>
    <t>Электрик</t>
  </si>
  <si>
    <t>Начальник канатной дороги</t>
  </si>
  <si>
    <t>Инженерно-технический персонал:</t>
  </si>
  <si>
    <t>возврат расходов на эксплуатацию</t>
  </si>
  <si>
    <t>проценты по кредиту</t>
  </si>
  <si>
    <t>возврат процентов по кредиту</t>
  </si>
  <si>
    <t>Плата Концедента, 100% от затрат</t>
  </si>
  <si>
    <t>расходы на эксплуатацию</t>
  </si>
  <si>
    <t>Плата Концедента, 98% от затрат</t>
  </si>
  <si>
    <t>Вложения Концессионера</t>
  </si>
  <si>
    <t>Собственные средства Концессионера (30%)</t>
  </si>
  <si>
    <t>Заемые средства (банковский кредит) (70%)</t>
  </si>
  <si>
    <t>Значение показателя, руб.</t>
  </si>
  <si>
    <t>Удорожание к сметной стоимости с НДС</t>
  </si>
  <si>
    <t>Стоимость строительства, руб. без НДС</t>
  </si>
  <si>
    <t>НДС к стоимости строительства, руб.</t>
  </si>
  <si>
    <t>Итого сметная стоимость строительства, руб. с НДС</t>
  </si>
  <si>
    <t>Возмещение затрат</t>
  </si>
  <si>
    <t>Доходность на инвестиции, руб.</t>
  </si>
  <si>
    <t>Налог на имущество, руб.</t>
  </si>
  <si>
    <t>Арендная плата за землю, руб.</t>
  </si>
  <si>
    <t>НДС к приросту стоимости</t>
  </si>
  <si>
    <t>СПРАВОЧНО:</t>
  </si>
  <si>
    <t>Годовая плата концедента</t>
  </si>
  <si>
    <t>Проценты по кредиту, руб.</t>
  </si>
  <si>
    <t>Расходы на эксплуатацию, руб.</t>
  </si>
  <si>
    <t>Плата концедента 100%, руб. с НДС</t>
  </si>
  <si>
    <t>Плата концедента 98%, руб. с НДС</t>
  </si>
  <si>
    <t>Дисконтированный ЧДД накопленным итогом</t>
  </si>
  <si>
    <t xml:space="preserve">НДС  </t>
  </si>
  <si>
    <t>ндс с операционной деятельности</t>
  </si>
  <si>
    <t>1.3.</t>
  </si>
  <si>
    <t>1.4.</t>
  </si>
  <si>
    <t>1.5.</t>
  </si>
  <si>
    <t>1.5.1.</t>
  </si>
  <si>
    <t>1.5.2.</t>
  </si>
  <si>
    <t>1.6.</t>
  </si>
  <si>
    <t>2.4.</t>
  </si>
  <si>
    <t>2.5.</t>
  </si>
  <si>
    <t>2.6.</t>
  </si>
  <si>
    <t>2.7.</t>
  </si>
  <si>
    <t>2.8.</t>
  </si>
  <si>
    <t>Значение на весь период Соглашения</t>
  </si>
  <si>
    <t>Срок действия Соглашения</t>
  </si>
  <si>
    <t>лет</t>
  </si>
  <si>
    <t>Дата заключения Соглашения</t>
  </si>
  <si>
    <t>ч.ч.м.м.г.г.</t>
  </si>
  <si>
    <t>Дата окончания Соглашения</t>
  </si>
  <si>
    <t xml:space="preserve">Вложения Концессионера (с НДС) </t>
  </si>
  <si>
    <t>млн руб.</t>
  </si>
  <si>
    <t>Текущие затраты Концессионера (уплата налога на имущество, аренда земельных участков, НДС, проценты по кредиту, расходы на эксплуатацию)</t>
  </si>
  <si>
    <t xml:space="preserve">Плата Концедента по Соглашению </t>
  </si>
  <si>
    <t xml:space="preserve">млн руб. </t>
  </si>
  <si>
    <t>Доход от эксплуатации Объекта</t>
  </si>
  <si>
    <t>Чистый денежный поток к распределению</t>
  </si>
  <si>
    <t>Срок окупаемости Проекта</t>
  </si>
  <si>
    <t>Год</t>
  </si>
  <si>
    <t>реализации</t>
  </si>
  <si>
    <t>Сумма, млн рублей</t>
  </si>
  <si>
    <t>всего</t>
  </si>
  <si>
    <t>капитальные затраты</t>
  </si>
  <si>
    <t>(без НДС*)</t>
  </si>
  <si>
    <t>текущие затраты</t>
  </si>
  <si>
    <t>(налог на имущество, аренда земельного участка, НДС, проценты по кредиту, расходы на эксплуатацию Объекта)</t>
  </si>
  <si>
    <t>Итого</t>
  </si>
  <si>
    <t>Год реализации</t>
  </si>
  <si>
    <t>Способ финансового участия</t>
  </si>
  <si>
    <t>федеральный бюджет</t>
  </si>
  <si>
    <t>областной бюджет</t>
  </si>
  <si>
    <t>местный бюджет</t>
  </si>
  <si>
    <t>Плата концедента</t>
  </si>
  <si>
    <t>год</t>
  </si>
  <si>
    <t>2020 год</t>
  </si>
  <si>
    <t>2021 год</t>
  </si>
  <si>
    <t>2022 год</t>
  </si>
  <si>
    <t>2023 год</t>
  </si>
  <si>
    <t>2025 год</t>
  </si>
  <si>
    <t>2026 год</t>
  </si>
  <si>
    <t>Вложения Концессионера в строительство Объекта (с НДС)</t>
  </si>
  <si>
    <t>Возврат вложений на строительство Концедентом (98% от стоимости, без учета  капитализированной доходности)</t>
  </si>
  <si>
    <t>Итого финансовый результат (п. 2-п.1)</t>
  </si>
  <si>
    <t>2019 год</t>
  </si>
  <si>
    <t xml:space="preserve"> год</t>
  </si>
  <si>
    <t>Оплата процентов по кредиту Концессионером</t>
  </si>
  <si>
    <t>Возврат процентов по кредиту Концедентом</t>
  </si>
  <si>
    <t>Возврат капитализи-рованной доходности Концедентом</t>
  </si>
  <si>
    <t>Итого (п.2+п.3-п.1)</t>
  </si>
  <si>
    <t>2027 год</t>
  </si>
  <si>
    <t>Уплата налогов Концессио-нером всего, в т.ч.:</t>
  </si>
  <si>
    <t>НДС с инвестиционных затрат</t>
  </si>
  <si>
    <t>НДС с платы Концедента</t>
  </si>
  <si>
    <t>НДС с эксплуатации</t>
  </si>
  <si>
    <t>налог на прибыль</t>
  </si>
  <si>
    <t>Налоги Концедента всего, в т.ч.:</t>
  </si>
  <si>
    <t>НДС к приросту стоимости строительства в составе платы Концедента</t>
  </si>
  <si>
    <t>возврат налога на прибыль</t>
  </si>
  <si>
    <t xml:space="preserve">Уплата аренды Концессио-нером </t>
  </si>
  <si>
    <t xml:space="preserve">Компенсация аренды Концедентом </t>
  </si>
  <si>
    <t>Итого (п. 2-п.1)</t>
  </si>
  <si>
    <t xml:space="preserve">Уплата операционных затрат Концессио-нером </t>
  </si>
  <si>
    <t xml:space="preserve">Компенсация операционных затрат Концедентом </t>
  </si>
  <si>
    <t>Доход Концедента от оказания услуг</t>
  </si>
  <si>
    <t>ЧДД (п. 2+п.3-п.1)</t>
  </si>
  <si>
    <t>Итого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</si>
</sst>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₽&quot;;[Red]\-#,##0.00\ &quot;₽&quot;"/>
    <numFmt numFmtId="43" formatCode="_-* #,##0.00\ _₽_-;\-* #,##0.00\ _₽_-;_-* &quot;-&quot;??\ _₽_-;_-@_-"/>
    <numFmt numFmtId="164" formatCode="0.0000"/>
    <numFmt numFmtId="165" formatCode="_-* #,##0\ _₽_-;\-* #,##0\ _₽_-;_-* &quot;-&quot;??\ _₽_-;_-@_-"/>
    <numFmt numFmtId="166" formatCode="0.000%"/>
    <numFmt numFmtId="167" formatCode="[$$-409]#,##0.00"/>
    <numFmt numFmtId="168" formatCode="#,##0.00000000"/>
    <numFmt numFmtId="169" formatCode="0.000"/>
    <numFmt numFmtId="170" formatCode="_-* #,##0.000\ _₽_-;\-* #,##0.0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71">
    <xf numFmtId="0" fontId="0" fillId="0" borderId="0" xfId="0"/>
    <xf numFmtId="0" fontId="0" fillId="0" borderId="3" xfId="0" applyBorder="1" applyAlignment="1">
      <alignment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9" xfId="0" applyBorder="1"/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16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14" fontId="3" fillId="0" borderId="9" xfId="0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/>
    <xf numFmtId="164" fontId="0" fillId="0" borderId="9" xfId="0" applyNumberFormat="1" applyFont="1" applyFill="1" applyBorder="1"/>
    <xf numFmtId="3" fontId="0" fillId="0" borderId="12" xfId="0" applyNumberFormat="1" applyFill="1" applyBorder="1"/>
    <xf numFmtId="0" fontId="0" fillId="0" borderId="9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6" fillId="5" borderId="9" xfId="0" applyFont="1" applyFill="1" applyBorder="1"/>
    <xf numFmtId="0" fontId="0" fillId="5" borderId="9" xfId="0" applyFill="1" applyBorder="1"/>
    <xf numFmtId="165" fontId="0" fillId="0" borderId="9" xfId="1" applyNumberFormat="1" applyFont="1" applyBorder="1"/>
    <xf numFmtId="165" fontId="6" fillId="5" borderId="9" xfId="1" applyNumberFormat="1" applyFont="1" applyFill="1" applyBorder="1"/>
    <xf numFmtId="0" fontId="0" fillId="0" borderId="0" xfId="0" applyFill="1" applyBorder="1"/>
    <xf numFmtId="0" fontId="6" fillId="0" borderId="0" xfId="0" applyFont="1" applyFill="1" applyBorder="1"/>
    <xf numFmtId="165" fontId="0" fillId="0" borderId="0" xfId="1" applyNumberFormat="1" applyFont="1" applyFill="1" applyBorder="1"/>
    <xf numFmtId="0" fontId="0" fillId="0" borderId="0" xfId="0" applyFill="1"/>
    <xf numFmtId="0" fontId="6" fillId="5" borderId="9" xfId="0" applyFont="1" applyFill="1" applyBorder="1" applyAlignment="1">
      <alignment wrapText="1"/>
    </xf>
    <xf numFmtId="43" fontId="6" fillId="5" borderId="9" xfId="1" applyNumberFormat="1" applyFont="1" applyFill="1" applyBorder="1"/>
    <xf numFmtId="1" fontId="0" fillId="0" borderId="0" xfId="0" applyNumberFormat="1"/>
    <xf numFmtId="43" fontId="0" fillId="0" borderId="9" xfId="1" applyNumberFormat="1" applyFont="1" applyBorder="1"/>
    <xf numFmtId="9" fontId="0" fillId="0" borderId="9" xfId="2" applyFont="1" applyBorder="1"/>
    <xf numFmtId="0" fontId="6" fillId="5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0" fillId="0" borderId="9" xfId="0" applyNumberFormat="1" applyBorder="1"/>
    <xf numFmtId="0" fontId="7" fillId="0" borderId="9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/>
    <xf numFmtId="0" fontId="0" fillId="0" borderId="9" xfId="0" applyFont="1" applyBorder="1" applyAlignment="1">
      <alignment vertical="top" wrapText="1"/>
    </xf>
    <xf numFmtId="0" fontId="0" fillId="0" borderId="23" xfId="0" applyNumberFormat="1" applyFont="1" applyBorder="1"/>
    <xf numFmtId="0" fontId="7" fillId="0" borderId="9" xfId="0" applyFont="1" applyBorder="1" applyAlignment="1">
      <alignment horizontal="left" wrapText="1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/>
    <xf numFmtId="0" fontId="0" fillId="3" borderId="0" xfId="0" applyFill="1"/>
    <xf numFmtId="165" fontId="2" fillId="0" borderId="9" xfId="1" applyNumberFormat="1" applyFont="1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left"/>
    </xf>
    <xf numFmtId="165" fontId="2" fillId="0" borderId="9" xfId="1" applyNumberFormat="1" applyFont="1" applyFill="1" applyBorder="1" applyAlignment="1">
      <alignment horizontal="left" vertical="center" wrapText="1"/>
    </xf>
    <xf numFmtId="165" fontId="0" fillId="0" borderId="9" xfId="1" applyNumberFormat="1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165" fontId="2" fillId="2" borderId="9" xfId="1" applyNumberFormat="1" applyFont="1" applyFill="1" applyBorder="1" applyAlignment="1">
      <alignment horizontal="left"/>
    </xf>
    <xf numFmtId="165" fontId="0" fillId="2" borderId="9" xfId="1" applyNumberFormat="1" applyFont="1" applyFill="1" applyBorder="1" applyAlignment="1">
      <alignment horizontal="left"/>
    </xf>
    <xf numFmtId="165" fontId="0" fillId="0" borderId="9" xfId="1" applyNumberFormat="1" applyFont="1" applyFill="1" applyBorder="1" applyAlignment="1">
      <alignment horizontal="left" wrapText="1"/>
    </xf>
    <xf numFmtId="165" fontId="2" fillId="0" borderId="9" xfId="1" applyNumberFormat="1" applyFont="1" applyFill="1" applyBorder="1" applyAlignment="1">
      <alignment horizontal="left" wrapText="1"/>
    </xf>
    <xf numFmtId="165" fontId="2" fillId="2" borderId="9" xfId="1" applyNumberFormat="1" applyFont="1" applyFill="1" applyBorder="1" applyAlignment="1">
      <alignment horizontal="left" wrapText="1"/>
    </xf>
    <xf numFmtId="165" fontId="1" fillId="0" borderId="9" xfId="1" applyNumberFormat="1" applyFont="1" applyFill="1" applyBorder="1" applyAlignment="1">
      <alignment horizontal="left" wrapText="1"/>
    </xf>
    <xf numFmtId="165" fontId="2" fillId="0" borderId="10" xfId="1" applyNumberFormat="1" applyFont="1" applyFill="1" applyBorder="1" applyAlignment="1">
      <alignment horizontal="center" vertical="center"/>
    </xf>
    <xf numFmtId="0" fontId="0" fillId="0" borderId="10" xfId="0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5" fontId="1" fillId="0" borderId="10" xfId="1" applyNumberFormat="1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left" vertical="center"/>
    </xf>
    <xf numFmtId="165" fontId="1" fillId="0" borderId="9" xfId="1" applyNumberFormat="1" applyFont="1" applyFill="1" applyBorder="1" applyAlignment="1">
      <alignment horizontal="left" vertical="center" wrapText="1"/>
    </xf>
    <xf numFmtId="165" fontId="2" fillId="0" borderId="9" xfId="1" applyNumberFormat="1" applyFont="1" applyFill="1" applyBorder="1" applyAlignment="1"/>
    <xf numFmtId="165" fontId="2" fillId="0" borderId="0" xfId="1" applyNumberFormat="1" applyFont="1" applyFill="1" applyBorder="1" applyAlignment="1">
      <alignment horizontal="left" wrapText="1"/>
    </xf>
    <xf numFmtId="9" fontId="0" fillId="0" borderId="0" xfId="0" applyNumberFormat="1"/>
    <xf numFmtId="14" fontId="3" fillId="2" borderId="9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/>
    <xf numFmtId="10" fontId="0" fillId="0" borderId="0" xfId="0" applyNumberFormat="1" applyFill="1" applyAlignment="1"/>
    <xf numFmtId="3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/>
    </xf>
    <xf numFmtId="8" fontId="0" fillId="0" borderId="0" xfId="0" applyNumberFormat="1" applyFill="1"/>
    <xf numFmtId="8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3" fontId="0" fillId="7" borderId="9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3" fontId="0" fillId="0" borderId="9" xfId="0" applyNumberFormat="1" applyFill="1" applyBorder="1" applyAlignment="1">
      <alignment horizontal="left" wrapText="1"/>
    </xf>
    <xf numFmtId="9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0" fontId="0" fillId="0" borderId="9" xfId="2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9" xfId="0" applyFill="1" applyBorder="1" applyAlignment="1">
      <alignment horizontal="center" vertical="center"/>
    </xf>
    <xf numFmtId="165" fontId="0" fillId="0" borderId="9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15" fillId="3" borderId="0" xfId="0" applyFont="1" applyFill="1"/>
    <xf numFmtId="0" fontId="15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0" xfId="0" applyFont="1"/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/>
    </xf>
    <xf numFmtId="0" fontId="15" fillId="0" borderId="0" xfId="0" applyFont="1" applyFill="1" applyBorder="1"/>
    <xf numFmtId="167" fontId="13" fillId="8" borderId="9" xfId="0" applyNumberFormat="1" applyFont="1" applyFill="1" applyBorder="1" applyAlignment="1">
      <alignment horizontal="left" vertical="center" wrapText="1"/>
    </xf>
    <xf numFmtId="167" fontId="13" fillId="8" borderId="9" xfId="0" applyNumberFormat="1" applyFont="1" applyFill="1" applyBorder="1" applyAlignment="1">
      <alignment horizontal="left" vertical="top" wrapText="1"/>
    </xf>
    <xf numFmtId="167" fontId="13" fillId="0" borderId="9" xfId="0" applyNumberFormat="1" applyFont="1" applyFill="1" applyBorder="1" applyAlignment="1">
      <alignment horizontal="left" vertical="top" wrapText="1"/>
    </xf>
    <xf numFmtId="167" fontId="13" fillId="9" borderId="9" xfId="0" applyNumberFormat="1" applyFont="1" applyFill="1" applyBorder="1" applyAlignment="1">
      <alignment horizontal="left" vertical="top" wrapText="1"/>
    </xf>
    <xf numFmtId="167" fontId="16" fillId="8" borderId="9" xfId="0" applyNumberFormat="1" applyFont="1" applyFill="1" applyBorder="1" applyAlignment="1">
      <alignment horizontal="left" vertical="center" wrapText="1"/>
    </xf>
    <xf numFmtId="16" fontId="14" fillId="0" borderId="9" xfId="0" applyNumberFormat="1" applyFont="1" applyFill="1" applyBorder="1" applyAlignment="1">
      <alignment horizontal="center" vertical="center"/>
    </xf>
    <xf numFmtId="165" fontId="14" fillId="0" borderId="9" xfId="1" applyNumberFormat="1" applyFont="1" applyFill="1" applyBorder="1" applyAlignment="1">
      <alignment horizontal="left"/>
    </xf>
    <xf numFmtId="165" fontId="13" fillId="8" borderId="9" xfId="1" applyNumberFormat="1" applyFont="1" applyFill="1" applyBorder="1" applyAlignment="1">
      <alignment vertical="center" wrapText="1"/>
    </xf>
    <xf numFmtId="165" fontId="13" fillId="8" borderId="9" xfId="1" applyNumberFormat="1" applyFont="1" applyFill="1" applyBorder="1" applyAlignment="1">
      <alignment vertical="top" wrapText="1"/>
    </xf>
    <xf numFmtId="165" fontId="13" fillId="0" borderId="9" xfId="1" applyNumberFormat="1" applyFont="1" applyFill="1" applyBorder="1" applyAlignment="1">
      <alignment vertical="top" wrapText="1"/>
    </xf>
    <xf numFmtId="165" fontId="13" fillId="9" borderId="9" xfId="1" applyNumberFormat="1" applyFont="1" applyFill="1" applyBorder="1" applyAlignment="1">
      <alignment vertical="top" wrapText="1"/>
    </xf>
    <xf numFmtId="165" fontId="13" fillId="9" borderId="9" xfId="1" applyNumberFormat="1" applyFont="1" applyFill="1" applyBorder="1" applyAlignment="1">
      <alignment horizontal="left" vertical="top" wrapText="1"/>
    </xf>
    <xf numFmtId="165" fontId="13" fillId="8" borderId="9" xfId="1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top" wrapText="1"/>
    </xf>
    <xf numFmtId="0" fontId="0" fillId="0" borderId="9" xfId="0" applyNumberFormat="1" applyFont="1" applyFill="1" applyBorder="1" applyAlignment="1">
      <alignment horizontal="center" vertical="center"/>
    </xf>
    <xf numFmtId="165" fontId="8" fillId="0" borderId="19" xfId="1" applyNumberFormat="1" applyFont="1" applyBorder="1" applyAlignment="1">
      <alignment horizontal="center"/>
    </xf>
    <xf numFmtId="16" fontId="4" fillId="4" borderId="14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3" fontId="0" fillId="0" borderId="0" xfId="0" applyNumberFormat="1"/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168" fontId="0" fillId="0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" fontId="0" fillId="0" borderId="9" xfId="0" applyNumberFormat="1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/>
    </xf>
    <xf numFmtId="3" fontId="17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wrapText="1"/>
    </xf>
    <xf numFmtId="9" fontId="3" fillId="0" borderId="9" xfId="2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9" fontId="18" fillId="0" borderId="9" xfId="2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" fontId="20" fillId="4" borderId="14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 wrapText="1"/>
    </xf>
    <xf numFmtId="3" fontId="20" fillId="4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5" fillId="4" borderId="14" xfId="1" applyNumberFormat="1" applyFont="1" applyFill="1" applyBorder="1" applyAlignment="1">
      <alignment horizontal="center" vertical="center" wrapText="1"/>
    </xf>
    <xf numFmtId="165" fontId="17" fillId="0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/>
    <xf numFmtId="0" fontId="22" fillId="4" borderId="1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16" fontId="17" fillId="4" borderId="14" xfId="0" applyNumberFormat="1" applyFont="1" applyFill="1" applyBorder="1" applyAlignment="1">
      <alignment horizontal="center" vertical="center" wrapText="1"/>
    </xf>
    <xf numFmtId="14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justify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 indent="1"/>
    </xf>
    <xf numFmtId="0" fontId="22" fillId="4" borderId="17" xfId="0" applyFont="1" applyFill="1" applyBorder="1" applyAlignment="1">
      <alignment horizontal="left" vertical="center" wrapText="1" indent="1"/>
    </xf>
    <xf numFmtId="0" fontId="22" fillId="4" borderId="14" xfId="0" applyFont="1" applyFill="1" applyBorder="1" applyAlignment="1">
      <alignment horizontal="left" vertical="center" wrapText="1" indent="1"/>
    </xf>
    <xf numFmtId="0" fontId="19" fillId="4" borderId="14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left" vertical="center" wrapText="1" inden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70" fontId="17" fillId="4" borderId="13" xfId="1" applyNumberFormat="1" applyFont="1" applyFill="1" applyBorder="1" applyAlignment="1">
      <alignment horizontal="center" vertical="center" wrapText="1"/>
    </xf>
    <xf numFmtId="170" fontId="17" fillId="4" borderId="19" xfId="1" applyNumberFormat="1" applyFont="1" applyFill="1" applyBorder="1" applyAlignment="1">
      <alignment horizontal="center" vertical="center" wrapText="1"/>
    </xf>
    <xf numFmtId="169" fontId="19" fillId="0" borderId="27" xfId="0" applyNumberFormat="1" applyFont="1" applyBorder="1" applyAlignment="1">
      <alignment horizontal="center" vertical="center" wrapText="1"/>
    </xf>
    <xf numFmtId="170" fontId="19" fillId="0" borderId="27" xfId="1" applyNumberFormat="1" applyFont="1" applyBorder="1" applyAlignment="1">
      <alignment horizontal="center" vertical="center" wrapText="1"/>
    </xf>
    <xf numFmtId="16" fontId="17" fillId="4" borderId="13" xfId="0" applyNumberFormat="1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165" fontId="19" fillId="4" borderId="14" xfId="1" applyNumberFormat="1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 wrapText="1"/>
    </xf>
    <xf numFmtId="165" fontId="23" fillId="4" borderId="17" xfId="1" applyNumberFormat="1" applyFont="1" applyFill="1" applyBorder="1" applyAlignment="1">
      <alignment horizontal="center" vertical="center" wrapText="1"/>
    </xf>
    <xf numFmtId="165" fontId="4" fillId="4" borderId="17" xfId="1" applyNumberFormat="1" applyFont="1" applyFill="1" applyBorder="1" applyAlignment="1">
      <alignment horizontal="center" vertical="center" wrapText="1"/>
    </xf>
    <xf numFmtId="165" fontId="4" fillId="4" borderId="14" xfId="1" applyNumberFormat="1" applyFont="1" applyFill="1" applyBorder="1" applyAlignment="1">
      <alignment horizontal="center" vertical="center" wrapText="1"/>
    </xf>
    <xf numFmtId="165" fontId="5" fillId="4" borderId="13" xfId="1" applyNumberFormat="1" applyFont="1" applyFill="1" applyBorder="1" applyAlignment="1">
      <alignment vertical="center" wrapText="1"/>
    </xf>
    <xf numFmtId="165" fontId="5" fillId="4" borderId="17" xfId="1" applyNumberFormat="1" applyFont="1" applyFill="1" applyBorder="1" applyAlignment="1">
      <alignment horizontal="center" vertical="center" wrapText="1"/>
    </xf>
    <xf numFmtId="165" fontId="4" fillId="4" borderId="18" xfId="1" applyNumberFormat="1" applyFont="1" applyFill="1" applyBorder="1" applyAlignment="1">
      <alignment horizontal="center" vertical="center" wrapText="1"/>
    </xf>
    <xf numFmtId="165" fontId="5" fillId="4" borderId="13" xfId="1" applyNumberFormat="1" applyFont="1" applyFill="1" applyBorder="1" applyAlignment="1">
      <alignment horizontal="center" vertical="center" wrapText="1"/>
    </xf>
    <xf numFmtId="165" fontId="5" fillId="4" borderId="30" xfId="1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3" fillId="6" borderId="12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</cellXfs>
  <cellStyles count="4">
    <cellStyle name="Standard 5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ИТОГ!$B$2</c:f>
              <c:strCache>
                <c:ptCount val="1"/>
                <c:pt idx="0">
                  <c:v>Вложения Концессионера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ИТОГ!$C$1:$N$1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ИТОГ!$C$2:$N$2</c:f>
              <c:numCache>
                <c:formatCode>#,##0</c:formatCode>
                <c:ptCount val="12"/>
                <c:pt idx="0">
                  <c:v>44509257.121631674</c:v>
                </c:pt>
                <c:pt idx="1">
                  <c:v>632232203.08656347</c:v>
                </c:pt>
                <c:pt idx="2">
                  <c:v>107932596.46746384</c:v>
                </c:pt>
                <c:pt idx="3">
                  <c:v>104657641.34325579</c:v>
                </c:pt>
                <c:pt idx="4">
                  <c:v>98166829.577198952</c:v>
                </c:pt>
                <c:pt idx="5">
                  <c:v>93241708.942431331</c:v>
                </c:pt>
                <c:pt idx="6">
                  <c:v>89168678.16130057</c:v>
                </c:pt>
                <c:pt idx="7">
                  <c:v>83653702.457118779</c:v>
                </c:pt>
                <c:pt idx="8">
                  <c:v>80136685.065198541</c:v>
                </c:pt>
                <c:pt idx="9">
                  <c:v>75919260.130114853</c:v>
                </c:pt>
                <c:pt idx="10">
                  <c:v>73658554.531361252</c:v>
                </c:pt>
                <c:pt idx="11">
                  <c:v>76197604.596187845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ИТОГ!$B$11</c:f>
              <c:strCache>
                <c:ptCount val="1"/>
                <c:pt idx="0">
                  <c:v>Плата Концедента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ИТОГ!$C$1:$N$1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ИТОГ!$C$11:$N$11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185024662.71781552</c:v>
                </c:pt>
                <c:pt idx="3">
                  <c:v>185024662.71781552</c:v>
                </c:pt>
                <c:pt idx="4">
                  <c:v>185024662.71781552</c:v>
                </c:pt>
                <c:pt idx="5">
                  <c:v>185024662.71781552</c:v>
                </c:pt>
                <c:pt idx="6">
                  <c:v>185024662.71781552</c:v>
                </c:pt>
                <c:pt idx="7">
                  <c:v>185024662.71781552</c:v>
                </c:pt>
                <c:pt idx="8">
                  <c:v>185024662.71781552</c:v>
                </c:pt>
                <c:pt idx="9">
                  <c:v>185024662.71781552</c:v>
                </c:pt>
                <c:pt idx="10">
                  <c:v>185024662.71781552</c:v>
                </c:pt>
                <c:pt idx="11">
                  <c:v>185024662.71781552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ИТОГ!$B$21</c:f>
              <c:strCache>
                <c:ptCount val="1"/>
                <c:pt idx="0">
                  <c:v>Доход Концедента от оказания услуг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ИТОГ!$C$1:$N$1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numCache>
            </c:numRef>
          </c:cat>
          <c:val>
            <c:numRef>
              <c:f>ИТОГ!$C$21:$N$21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5808"/>
        <c:axId val="1453544384"/>
      </c:lineChart>
      <c:catAx>
        <c:axId val="14535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3544384"/>
        <c:crosses val="autoZero"/>
        <c:auto val="1"/>
        <c:lblAlgn val="ctr"/>
        <c:lblOffset val="100"/>
        <c:noMultiLvlLbl val="0"/>
      </c:catAx>
      <c:valAx>
        <c:axId val="14535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35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37</xdr:row>
      <xdr:rowOff>138112</xdr:rowOff>
    </xdr:from>
    <xdr:to>
      <xdr:col>13</xdr:col>
      <xdr:colOff>381000</xdr:colOff>
      <xdr:row>52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tabSelected="1" workbookViewId="0">
      <selection activeCell="A8" sqref="A8:XFD13"/>
    </sheetView>
  </sheetViews>
  <sheetFormatPr defaultRowHeight="15" x14ac:dyDescent="0.25"/>
  <cols>
    <col min="1" max="1" width="9.42578125" bestFit="1" customWidth="1"/>
    <col min="2" max="2" width="46.85546875" bestFit="1" customWidth="1"/>
    <col min="3" max="3" width="19.5703125" bestFit="1" customWidth="1"/>
    <col min="4" max="35" width="14.85546875" customWidth="1"/>
    <col min="36" max="38" width="12.85546875" bestFit="1" customWidth="1"/>
    <col min="39" max="43" width="14" bestFit="1" customWidth="1"/>
  </cols>
  <sheetData>
    <row r="1" spans="1:43" s="57" customFormat="1" x14ac:dyDescent="0.25">
      <c r="A1" s="236" t="s">
        <v>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43" x14ac:dyDescent="0.25">
      <c r="A2" s="10" t="s">
        <v>37</v>
      </c>
      <c r="B2" s="10" t="s">
        <v>54</v>
      </c>
      <c r="C2" s="10" t="s">
        <v>55</v>
      </c>
      <c r="D2" s="10" t="s">
        <v>70</v>
      </c>
      <c r="E2" s="10" t="s">
        <v>71</v>
      </c>
      <c r="F2" s="10" t="s">
        <v>72</v>
      </c>
      <c r="G2" s="10" t="s">
        <v>73</v>
      </c>
      <c r="H2" s="10" t="s">
        <v>74</v>
      </c>
      <c r="I2" s="10" t="s">
        <v>75</v>
      </c>
      <c r="J2" s="10" t="s">
        <v>76</v>
      </c>
      <c r="K2" s="10" t="s">
        <v>77</v>
      </c>
      <c r="L2" s="10" t="s">
        <v>78</v>
      </c>
      <c r="M2" s="10" t="s">
        <v>79</v>
      </c>
      <c r="N2" s="10" t="s">
        <v>80</v>
      </c>
      <c r="O2" s="10" t="s">
        <v>81</v>
      </c>
      <c r="P2" s="10" t="s">
        <v>82</v>
      </c>
      <c r="Q2" s="10" t="s">
        <v>83</v>
      </c>
      <c r="R2" s="10" t="s">
        <v>84</v>
      </c>
      <c r="S2" s="10" t="s">
        <v>85</v>
      </c>
      <c r="T2" s="10" t="s">
        <v>86</v>
      </c>
      <c r="U2" s="10" t="s">
        <v>87</v>
      </c>
      <c r="V2" s="10" t="s">
        <v>88</v>
      </c>
      <c r="W2" s="10" t="s">
        <v>89</v>
      </c>
      <c r="X2" s="10" t="s">
        <v>90</v>
      </c>
      <c r="Y2" s="10" t="s">
        <v>91</v>
      </c>
      <c r="Z2" s="10" t="s">
        <v>92</v>
      </c>
      <c r="AA2" s="10" t="s">
        <v>93</v>
      </c>
      <c r="AB2" s="10" t="s">
        <v>94</v>
      </c>
      <c r="AC2" s="10" t="s">
        <v>95</v>
      </c>
      <c r="AD2" s="10" t="s">
        <v>96</v>
      </c>
      <c r="AE2" s="10" t="s">
        <v>97</v>
      </c>
      <c r="AF2" s="10" t="s">
        <v>98</v>
      </c>
      <c r="AG2" s="10" t="s">
        <v>99</v>
      </c>
      <c r="AH2" s="10" t="s">
        <v>100</v>
      </c>
      <c r="AI2" s="10" t="s">
        <v>101</v>
      </c>
      <c r="AJ2" s="10" t="s">
        <v>169</v>
      </c>
      <c r="AK2" s="10" t="s">
        <v>170</v>
      </c>
      <c r="AL2" s="10" t="s">
        <v>171</v>
      </c>
      <c r="AM2" s="10" t="s">
        <v>172</v>
      </c>
      <c r="AN2" s="10" t="s">
        <v>173</v>
      </c>
      <c r="AO2" s="10" t="s">
        <v>174</v>
      </c>
      <c r="AP2" s="10" t="s">
        <v>175</v>
      </c>
      <c r="AQ2" s="10" t="s">
        <v>176</v>
      </c>
    </row>
    <row r="3" spans="1:43" x14ac:dyDescent="0.25">
      <c r="A3" s="30"/>
      <c r="B3" s="10" t="s">
        <v>56</v>
      </c>
      <c r="C3" s="30" t="s">
        <v>57</v>
      </c>
      <c r="D3" s="34">
        <f t="shared" ref="D3:AH3" si="0">D4*D6</f>
        <v>2349000</v>
      </c>
      <c r="E3" s="34">
        <f t="shared" si="0"/>
        <v>5481000</v>
      </c>
      <c r="F3" s="34">
        <f t="shared" si="0"/>
        <v>5481000</v>
      </c>
      <c r="G3" s="34">
        <f t="shared" si="0"/>
        <v>2349000</v>
      </c>
      <c r="H3" s="34">
        <f t="shared" si="0"/>
        <v>2564640</v>
      </c>
      <c r="I3" s="34">
        <f t="shared" si="0"/>
        <v>5984159.9999999991</v>
      </c>
      <c r="J3" s="34">
        <f t="shared" si="0"/>
        <v>5984159.9999999991</v>
      </c>
      <c r="K3" s="34">
        <f t="shared" si="0"/>
        <v>2564640</v>
      </c>
      <c r="L3" s="34">
        <f t="shared" si="0"/>
        <v>2800262.4</v>
      </c>
      <c r="M3" s="34">
        <f t="shared" si="0"/>
        <v>6533945.5999999987</v>
      </c>
      <c r="N3" s="34">
        <f t="shared" si="0"/>
        <v>6533945.5999999987</v>
      </c>
      <c r="O3" s="34">
        <f t="shared" si="0"/>
        <v>2800262.4</v>
      </c>
      <c r="P3" s="34">
        <f t="shared" si="0"/>
        <v>3058224</v>
      </c>
      <c r="Q3" s="34">
        <f t="shared" si="0"/>
        <v>7135855.9999999991</v>
      </c>
      <c r="R3" s="34">
        <f t="shared" si="0"/>
        <v>7135855.9999999991</v>
      </c>
      <c r="S3" s="34">
        <f t="shared" si="0"/>
        <v>3058224</v>
      </c>
      <c r="T3" s="34">
        <f t="shared" si="0"/>
        <v>3394637.0764800003</v>
      </c>
      <c r="U3" s="34">
        <f t="shared" si="0"/>
        <v>7920819.8451200007</v>
      </c>
      <c r="V3" s="34">
        <f t="shared" si="0"/>
        <v>7920819.8451200007</v>
      </c>
      <c r="W3" s="34">
        <f t="shared" si="0"/>
        <v>3394637.0764800003</v>
      </c>
      <c r="X3" s="34">
        <f t="shared" si="0"/>
        <v>3751245.0613248004</v>
      </c>
      <c r="Y3" s="34">
        <f t="shared" si="0"/>
        <v>8752905.1430912018</v>
      </c>
      <c r="Z3" s="34">
        <f t="shared" si="0"/>
        <v>8752905.1430912018</v>
      </c>
      <c r="AA3" s="34">
        <f t="shared" si="0"/>
        <v>3751245.0613248004</v>
      </c>
      <c r="AB3" s="34">
        <f t="shared" si="0"/>
        <v>4486489.0933444602</v>
      </c>
      <c r="AC3" s="34">
        <f t="shared" si="0"/>
        <v>10468474.551137075</v>
      </c>
      <c r="AD3" s="34">
        <f t="shared" si="0"/>
        <v>10468474.551137075</v>
      </c>
      <c r="AE3" s="34">
        <f t="shared" si="0"/>
        <v>4486489.0933444602</v>
      </c>
      <c r="AF3" s="34">
        <f>AF4*AF6</f>
        <v>5365840.9556399751</v>
      </c>
      <c r="AG3" s="34">
        <f t="shared" si="0"/>
        <v>12520295.563159941</v>
      </c>
      <c r="AH3" s="34">
        <f t="shared" si="0"/>
        <v>12520295.563159941</v>
      </c>
      <c r="AI3" s="34">
        <f>AI4*AI6</f>
        <v>5365840.9556399751</v>
      </c>
      <c r="AJ3" s="34">
        <f>AJ4*AJ6</f>
        <v>6417545.7829454085</v>
      </c>
      <c r="AK3" s="34">
        <f t="shared" ref="AK3" si="1">AK4*AK6</f>
        <v>14974273.493539287</v>
      </c>
      <c r="AL3" s="34">
        <f t="shared" ref="AL3" si="2">AL4*AL6</f>
        <v>14974273.493539287</v>
      </c>
      <c r="AM3" s="34">
        <f t="shared" ref="AM3" si="3">AM4*AM6</f>
        <v>6417545.7829454085</v>
      </c>
      <c r="AN3" s="34">
        <f t="shared" ref="AN3" si="4">AN4*AN6</f>
        <v>7675384.7564027105</v>
      </c>
      <c r="AO3" s="34">
        <f t="shared" ref="AO3" si="5">AO4*AO6</f>
        <v>17909231.098272987</v>
      </c>
      <c r="AP3" s="34">
        <f t="shared" ref="AP3" si="6">AP4*AP6</f>
        <v>17909231.098272987</v>
      </c>
      <c r="AQ3" s="34">
        <f t="shared" ref="AQ3" si="7">AQ4*AQ6</f>
        <v>7675384.7564027105</v>
      </c>
    </row>
    <row r="4" spans="1:43" x14ac:dyDescent="0.25">
      <c r="A4" s="31" t="s">
        <v>63</v>
      </c>
      <c r="B4" s="10" t="s">
        <v>58</v>
      </c>
      <c r="C4" s="30" t="s">
        <v>59</v>
      </c>
      <c r="D4" s="34">
        <f>$C$16*D5</f>
        <v>46980</v>
      </c>
      <c r="E4" s="34">
        <f>$C$16*E5</f>
        <v>109620</v>
      </c>
      <c r="F4" s="34">
        <f>$C$16*F5</f>
        <v>109620</v>
      </c>
      <c r="G4" s="34">
        <f>$C$16*G5</f>
        <v>46980</v>
      </c>
      <c r="H4" s="34">
        <f>$C$17*H5</f>
        <v>49320</v>
      </c>
      <c r="I4" s="34">
        <f>$C$17*I5</f>
        <v>115079.99999999999</v>
      </c>
      <c r="J4" s="34">
        <f>$C$17*J5</f>
        <v>115079.99999999999</v>
      </c>
      <c r="K4" s="34">
        <f>$C$17*K5</f>
        <v>49320</v>
      </c>
      <c r="L4" s="34">
        <f>$C$18*L5</f>
        <v>51780</v>
      </c>
      <c r="M4" s="34">
        <f>$C$18*M5</f>
        <v>120819.99999999999</v>
      </c>
      <c r="N4" s="34">
        <f>$C$18*N5</f>
        <v>120819.99999999999</v>
      </c>
      <c r="O4" s="34">
        <f>$C$18*O5</f>
        <v>51780</v>
      </c>
      <c r="P4" s="34">
        <f>$C$19*P5</f>
        <v>54375</v>
      </c>
      <c r="Q4" s="34">
        <f>$C$19*Q5</f>
        <v>126874.99999999999</v>
      </c>
      <c r="R4" s="34">
        <f>$C$19*R5</f>
        <v>126874.99999999999</v>
      </c>
      <c r="S4" s="34">
        <f>$C$19*S5</f>
        <v>54375</v>
      </c>
      <c r="T4" s="34">
        <f>$C$20*T5</f>
        <v>58035</v>
      </c>
      <c r="U4" s="34">
        <f>$C$20*U5</f>
        <v>135415</v>
      </c>
      <c r="V4" s="34">
        <f>$C$20*V5</f>
        <v>135415</v>
      </c>
      <c r="W4" s="34">
        <f>$C$20*W5</f>
        <v>58035</v>
      </c>
      <c r="X4" s="34">
        <f>$C$21*X5</f>
        <v>61665</v>
      </c>
      <c r="Y4" s="34">
        <f>$C$21*Y5</f>
        <v>143885</v>
      </c>
      <c r="Z4" s="34">
        <f>$C$21*Z5</f>
        <v>143885</v>
      </c>
      <c r="AA4" s="34">
        <f>$C$21*AA5</f>
        <v>61665</v>
      </c>
      <c r="AB4" s="34">
        <f>$C$22*AB5</f>
        <v>70914.749999999985</v>
      </c>
      <c r="AC4" s="34">
        <f>$C$22*AC5</f>
        <v>165467.74999999997</v>
      </c>
      <c r="AD4" s="34">
        <f>$C$22*AD5</f>
        <v>165467.74999999997</v>
      </c>
      <c r="AE4" s="34">
        <f>$C$22*AE5</f>
        <v>70914.749999999985</v>
      </c>
      <c r="AF4" s="34">
        <f>$C$23*AF5</f>
        <v>81551.96249999998</v>
      </c>
      <c r="AG4" s="34">
        <f>$C$23*AG5</f>
        <v>190287.91249999995</v>
      </c>
      <c r="AH4" s="34">
        <f>$C$23*AH5</f>
        <v>190287.91249999995</v>
      </c>
      <c r="AI4" s="34">
        <f>$C$23*AI5</f>
        <v>81551.96249999998</v>
      </c>
      <c r="AJ4" s="34">
        <f>$C$24*AJ5</f>
        <v>93784.756874999963</v>
      </c>
      <c r="AK4" s="34">
        <f t="shared" ref="AK4:AL4" si="8">$C$24*AK5</f>
        <v>218831.0993749999</v>
      </c>
      <c r="AL4" s="34">
        <f t="shared" si="8"/>
        <v>218831.0993749999</v>
      </c>
      <c r="AM4" s="34">
        <f>$C$24*AM5</f>
        <v>93784.756874999963</v>
      </c>
      <c r="AN4" s="34">
        <f>$C$25*AN5</f>
        <v>107852.47040624997</v>
      </c>
      <c r="AO4" s="34">
        <f t="shared" ref="AO4:AQ4" si="9">$C$25*AO5</f>
        <v>251655.7642812499</v>
      </c>
      <c r="AP4" s="34">
        <f t="shared" si="9"/>
        <v>251655.7642812499</v>
      </c>
      <c r="AQ4" s="34">
        <f t="shared" si="9"/>
        <v>107852.47040624997</v>
      </c>
    </row>
    <row r="5" spans="1:43" x14ac:dyDescent="0.25">
      <c r="A5" s="31"/>
      <c r="B5" s="10" t="s">
        <v>105</v>
      </c>
      <c r="C5" s="30" t="s">
        <v>61</v>
      </c>
      <c r="D5" s="44">
        <v>0.15</v>
      </c>
      <c r="E5" s="44">
        <v>0.35</v>
      </c>
      <c r="F5" s="44">
        <v>0.35</v>
      </c>
      <c r="G5" s="44">
        <v>0.15</v>
      </c>
      <c r="H5" s="44">
        <v>0.15</v>
      </c>
      <c r="I5" s="44">
        <v>0.35</v>
      </c>
      <c r="J5" s="44">
        <v>0.35</v>
      </c>
      <c r="K5" s="44">
        <v>0.15</v>
      </c>
      <c r="L5" s="44">
        <v>0.15</v>
      </c>
      <c r="M5" s="44">
        <v>0.35</v>
      </c>
      <c r="N5" s="44">
        <v>0.35</v>
      </c>
      <c r="O5" s="44">
        <v>0.15</v>
      </c>
      <c r="P5" s="44">
        <v>0.15</v>
      </c>
      <c r="Q5" s="44">
        <v>0.35</v>
      </c>
      <c r="R5" s="44">
        <v>0.35</v>
      </c>
      <c r="S5" s="44">
        <v>0.15</v>
      </c>
      <c r="T5" s="44">
        <v>0.15</v>
      </c>
      <c r="U5" s="44">
        <v>0.35</v>
      </c>
      <c r="V5" s="44">
        <v>0.35</v>
      </c>
      <c r="W5" s="44">
        <v>0.15</v>
      </c>
      <c r="X5" s="44">
        <v>0.15</v>
      </c>
      <c r="Y5" s="44">
        <v>0.35</v>
      </c>
      <c r="Z5" s="44">
        <v>0.35</v>
      </c>
      <c r="AA5" s="44">
        <v>0.15</v>
      </c>
      <c r="AB5" s="44">
        <v>0.15</v>
      </c>
      <c r="AC5" s="44">
        <v>0.35</v>
      </c>
      <c r="AD5" s="44">
        <v>0.35</v>
      </c>
      <c r="AE5" s="44">
        <v>0.15</v>
      </c>
      <c r="AF5" s="44">
        <v>0.15</v>
      </c>
      <c r="AG5" s="44">
        <v>0.35</v>
      </c>
      <c r="AH5" s="44">
        <v>0.35</v>
      </c>
      <c r="AI5" s="44">
        <v>0.15</v>
      </c>
      <c r="AJ5" s="44">
        <v>0.15</v>
      </c>
      <c r="AK5" s="44">
        <v>0.35</v>
      </c>
      <c r="AL5" s="44">
        <v>0.35</v>
      </c>
      <c r="AM5" s="44">
        <v>0.15</v>
      </c>
      <c r="AN5" s="44">
        <v>0.15</v>
      </c>
      <c r="AO5" s="44">
        <v>0.35</v>
      </c>
      <c r="AP5" s="44">
        <v>0.35</v>
      </c>
      <c r="AQ5" s="44">
        <v>0.15</v>
      </c>
    </row>
    <row r="6" spans="1:43" x14ac:dyDescent="0.25">
      <c r="A6" s="30" t="s">
        <v>64</v>
      </c>
      <c r="B6" s="10" t="s">
        <v>62</v>
      </c>
      <c r="C6" s="30" t="s">
        <v>57</v>
      </c>
      <c r="D6" s="34">
        <v>50</v>
      </c>
      <c r="E6" s="34">
        <f>D6</f>
        <v>50</v>
      </c>
      <c r="F6" s="34">
        <f>E6</f>
        <v>50</v>
      </c>
      <c r="G6" s="34">
        <f>F6</f>
        <v>50</v>
      </c>
      <c r="H6" s="34">
        <f>G6*H7</f>
        <v>52</v>
      </c>
      <c r="I6" s="34">
        <f>H6</f>
        <v>52</v>
      </c>
      <c r="J6" s="34">
        <f>I6</f>
        <v>52</v>
      </c>
      <c r="K6" s="34">
        <f>J6</f>
        <v>52</v>
      </c>
      <c r="L6" s="34">
        <f>K6*L7</f>
        <v>54.08</v>
      </c>
      <c r="M6" s="34">
        <f>L6</f>
        <v>54.08</v>
      </c>
      <c r="N6" s="34">
        <f>M6</f>
        <v>54.08</v>
      </c>
      <c r="O6" s="34">
        <f>N6</f>
        <v>54.08</v>
      </c>
      <c r="P6" s="34">
        <f>O6*P7</f>
        <v>56.243200000000002</v>
      </c>
      <c r="Q6" s="34">
        <f>P6</f>
        <v>56.243200000000002</v>
      </c>
      <c r="R6" s="34">
        <f>Q6</f>
        <v>56.243200000000002</v>
      </c>
      <c r="S6" s="34">
        <f>R6</f>
        <v>56.243200000000002</v>
      </c>
      <c r="T6" s="34">
        <f>S6*T7</f>
        <v>58.492928000000006</v>
      </c>
      <c r="U6" s="34">
        <f>T6</f>
        <v>58.492928000000006</v>
      </c>
      <c r="V6" s="34">
        <f>U6</f>
        <v>58.492928000000006</v>
      </c>
      <c r="W6" s="34">
        <f>V6</f>
        <v>58.492928000000006</v>
      </c>
      <c r="X6" s="34">
        <f>W6*X7</f>
        <v>60.832645120000009</v>
      </c>
      <c r="Y6" s="34">
        <f>X6</f>
        <v>60.832645120000009</v>
      </c>
      <c r="Z6" s="34">
        <f>Y6</f>
        <v>60.832645120000009</v>
      </c>
      <c r="AA6" s="34">
        <f>Z6</f>
        <v>60.832645120000009</v>
      </c>
      <c r="AB6" s="34">
        <f>AB7*AA6</f>
        <v>63.265950924800009</v>
      </c>
      <c r="AC6" s="34">
        <f>AB6</f>
        <v>63.265950924800009</v>
      </c>
      <c r="AD6" s="34">
        <f>AC6</f>
        <v>63.265950924800009</v>
      </c>
      <c r="AE6" s="34">
        <f>AD6</f>
        <v>63.265950924800009</v>
      </c>
      <c r="AF6" s="34">
        <f>AF7*AE6</f>
        <v>65.796588961792011</v>
      </c>
      <c r="AG6" s="34">
        <f>AF6</f>
        <v>65.796588961792011</v>
      </c>
      <c r="AH6" s="34">
        <f>AG6</f>
        <v>65.796588961792011</v>
      </c>
      <c r="AI6" s="34">
        <f>AH6</f>
        <v>65.796588961792011</v>
      </c>
      <c r="AJ6" s="34">
        <f>AI6*AJ7</f>
        <v>68.42845252026369</v>
      </c>
      <c r="AK6" s="34">
        <f t="shared" ref="AK6:AQ6" si="10">AJ6</f>
        <v>68.42845252026369</v>
      </c>
      <c r="AL6" s="34">
        <f t="shared" si="10"/>
        <v>68.42845252026369</v>
      </c>
      <c r="AM6" s="34">
        <f t="shared" si="10"/>
        <v>68.42845252026369</v>
      </c>
      <c r="AN6" s="34">
        <f>AM6*AN7</f>
        <v>71.165590621074244</v>
      </c>
      <c r="AO6" s="34">
        <f t="shared" si="10"/>
        <v>71.165590621074244</v>
      </c>
      <c r="AP6" s="34">
        <f t="shared" si="10"/>
        <v>71.165590621074244</v>
      </c>
      <c r="AQ6" s="34">
        <f t="shared" si="10"/>
        <v>71.165590621074244</v>
      </c>
    </row>
    <row r="7" spans="1:43" x14ac:dyDescent="0.25">
      <c r="A7" s="30"/>
      <c r="B7" s="10" t="s">
        <v>106</v>
      </c>
      <c r="C7" s="30"/>
      <c r="D7" s="34"/>
      <c r="E7" s="34"/>
      <c r="F7" s="34"/>
      <c r="G7" s="34"/>
      <c r="H7" s="43">
        <v>1.04</v>
      </c>
      <c r="I7" s="34"/>
      <c r="J7" s="34"/>
      <c r="K7" s="34"/>
      <c r="L7" s="43">
        <f>H7</f>
        <v>1.04</v>
      </c>
      <c r="M7" s="34"/>
      <c r="N7" s="34"/>
      <c r="O7" s="34"/>
      <c r="P7" s="43">
        <f>L7</f>
        <v>1.04</v>
      </c>
      <c r="Q7" s="34"/>
      <c r="R7" s="34"/>
      <c r="S7" s="34"/>
      <c r="T7" s="43">
        <f>P7</f>
        <v>1.04</v>
      </c>
      <c r="U7" s="34"/>
      <c r="V7" s="34"/>
      <c r="W7" s="43"/>
      <c r="X7" s="43">
        <f>T7</f>
        <v>1.04</v>
      </c>
      <c r="Y7" s="43"/>
      <c r="Z7" s="43"/>
      <c r="AA7" s="43"/>
      <c r="AB7" s="43">
        <f>X7</f>
        <v>1.04</v>
      </c>
      <c r="AC7" s="43"/>
      <c r="AD7" s="43"/>
      <c r="AE7" s="43"/>
      <c r="AF7" s="43">
        <f>AB7</f>
        <v>1.04</v>
      </c>
      <c r="AG7" s="34"/>
      <c r="AH7" s="34"/>
      <c r="AI7" s="34"/>
      <c r="AJ7" s="43">
        <f>AF7</f>
        <v>1.04</v>
      </c>
      <c r="AK7" s="43"/>
      <c r="AL7" s="43"/>
      <c r="AM7" s="43"/>
      <c r="AN7" s="43">
        <f>AJ7</f>
        <v>1.04</v>
      </c>
      <c r="AO7" s="34"/>
      <c r="AP7" s="34"/>
      <c r="AQ7" s="34"/>
    </row>
    <row r="8" spans="1:43" hidden="1" x14ac:dyDescent="0.25">
      <c r="A8" s="32"/>
      <c r="B8" s="32" t="s">
        <v>67</v>
      </c>
      <c r="C8" s="4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hidden="1" x14ac:dyDescent="0.25">
      <c r="A9" s="32"/>
      <c r="B9" s="32" t="s">
        <v>60</v>
      </c>
      <c r="C9" s="45" t="s">
        <v>59</v>
      </c>
      <c r="D9" s="35">
        <f t="shared" ref="D9:AQ9" si="11">$D$12*$D$13*90</f>
        <v>540000</v>
      </c>
      <c r="E9" s="35">
        <f t="shared" si="11"/>
        <v>540000</v>
      </c>
      <c r="F9" s="35">
        <f t="shared" si="11"/>
        <v>540000</v>
      </c>
      <c r="G9" s="35">
        <f t="shared" si="11"/>
        <v>540000</v>
      </c>
      <c r="H9" s="35">
        <f t="shared" si="11"/>
        <v>540000</v>
      </c>
      <c r="I9" s="35">
        <f t="shared" si="11"/>
        <v>540000</v>
      </c>
      <c r="J9" s="35">
        <f t="shared" si="11"/>
        <v>540000</v>
      </c>
      <c r="K9" s="35">
        <f t="shared" si="11"/>
        <v>540000</v>
      </c>
      <c r="L9" s="35">
        <f t="shared" si="11"/>
        <v>540000</v>
      </c>
      <c r="M9" s="35">
        <f t="shared" si="11"/>
        <v>540000</v>
      </c>
      <c r="N9" s="35">
        <f t="shared" si="11"/>
        <v>540000</v>
      </c>
      <c r="O9" s="35">
        <f t="shared" si="11"/>
        <v>540000</v>
      </c>
      <c r="P9" s="35">
        <f t="shared" si="11"/>
        <v>540000</v>
      </c>
      <c r="Q9" s="35">
        <f t="shared" si="11"/>
        <v>540000</v>
      </c>
      <c r="R9" s="35">
        <f t="shared" si="11"/>
        <v>540000</v>
      </c>
      <c r="S9" s="35">
        <f t="shared" si="11"/>
        <v>540000</v>
      </c>
      <c r="T9" s="35">
        <f t="shared" si="11"/>
        <v>540000</v>
      </c>
      <c r="U9" s="35">
        <f t="shared" si="11"/>
        <v>540000</v>
      </c>
      <c r="V9" s="35">
        <f t="shared" si="11"/>
        <v>540000</v>
      </c>
      <c r="W9" s="35">
        <f t="shared" si="11"/>
        <v>540000</v>
      </c>
      <c r="X9" s="35">
        <f t="shared" si="11"/>
        <v>540000</v>
      </c>
      <c r="Y9" s="35">
        <f t="shared" si="11"/>
        <v>540000</v>
      </c>
      <c r="Z9" s="35">
        <f t="shared" si="11"/>
        <v>540000</v>
      </c>
      <c r="AA9" s="35">
        <f t="shared" si="11"/>
        <v>540000</v>
      </c>
      <c r="AB9" s="35">
        <f t="shared" si="11"/>
        <v>540000</v>
      </c>
      <c r="AC9" s="35">
        <f t="shared" si="11"/>
        <v>540000</v>
      </c>
      <c r="AD9" s="35">
        <f t="shared" si="11"/>
        <v>540000</v>
      </c>
      <c r="AE9" s="35">
        <f t="shared" si="11"/>
        <v>540000</v>
      </c>
      <c r="AF9" s="35">
        <f t="shared" si="11"/>
        <v>540000</v>
      </c>
      <c r="AG9" s="35">
        <f t="shared" si="11"/>
        <v>540000</v>
      </c>
      <c r="AH9" s="35">
        <f t="shared" si="11"/>
        <v>540000</v>
      </c>
      <c r="AI9" s="35">
        <f t="shared" si="11"/>
        <v>540000</v>
      </c>
      <c r="AJ9" s="35">
        <f t="shared" si="11"/>
        <v>540000</v>
      </c>
      <c r="AK9" s="35">
        <f t="shared" si="11"/>
        <v>540000</v>
      </c>
      <c r="AL9" s="35">
        <f t="shared" si="11"/>
        <v>540000</v>
      </c>
      <c r="AM9" s="35">
        <f t="shared" si="11"/>
        <v>540000</v>
      </c>
      <c r="AN9" s="35">
        <f t="shared" si="11"/>
        <v>540000</v>
      </c>
      <c r="AO9" s="35">
        <f t="shared" si="11"/>
        <v>540000</v>
      </c>
      <c r="AP9" s="35">
        <f t="shared" si="11"/>
        <v>540000</v>
      </c>
      <c r="AQ9" s="35">
        <f t="shared" si="11"/>
        <v>540000</v>
      </c>
    </row>
    <row r="10" spans="1:43" ht="13.5" hidden="1" customHeight="1" x14ac:dyDescent="0.25">
      <c r="A10" s="32"/>
      <c r="B10" s="32" t="s">
        <v>68</v>
      </c>
      <c r="C10" s="45" t="s">
        <v>61</v>
      </c>
      <c r="D10" s="41">
        <f t="shared" ref="D10:AI10" si="12">D4/D9</f>
        <v>8.6999999999999994E-2</v>
      </c>
      <c r="E10" s="41">
        <f t="shared" si="12"/>
        <v>0.20300000000000001</v>
      </c>
      <c r="F10" s="41">
        <f t="shared" si="12"/>
        <v>0.20300000000000001</v>
      </c>
      <c r="G10" s="41">
        <f t="shared" si="12"/>
        <v>8.6999999999999994E-2</v>
      </c>
      <c r="H10" s="41">
        <f t="shared" si="12"/>
        <v>9.1333333333333336E-2</v>
      </c>
      <c r="I10" s="41">
        <f t="shared" si="12"/>
        <v>0.21311111111111108</v>
      </c>
      <c r="J10" s="41">
        <f t="shared" si="12"/>
        <v>0.21311111111111108</v>
      </c>
      <c r="K10" s="41">
        <f t="shared" si="12"/>
        <v>9.1333333333333336E-2</v>
      </c>
      <c r="L10" s="41">
        <f t="shared" si="12"/>
        <v>9.5888888888888885E-2</v>
      </c>
      <c r="M10" s="41">
        <f t="shared" si="12"/>
        <v>0.22374074074074071</v>
      </c>
      <c r="N10" s="41">
        <f t="shared" si="12"/>
        <v>0.22374074074074071</v>
      </c>
      <c r="O10" s="41">
        <f t="shared" si="12"/>
        <v>9.5888888888888885E-2</v>
      </c>
      <c r="P10" s="41">
        <f t="shared" si="12"/>
        <v>0.10069444444444445</v>
      </c>
      <c r="Q10" s="41">
        <f t="shared" si="12"/>
        <v>0.23495370370370366</v>
      </c>
      <c r="R10" s="41">
        <f t="shared" si="12"/>
        <v>0.23495370370370366</v>
      </c>
      <c r="S10" s="41">
        <f t="shared" si="12"/>
        <v>0.10069444444444445</v>
      </c>
      <c r="T10" s="41">
        <f t="shared" si="12"/>
        <v>0.10747222222222222</v>
      </c>
      <c r="U10" s="41">
        <f t="shared" si="12"/>
        <v>0.2507685185185185</v>
      </c>
      <c r="V10" s="41">
        <f t="shared" si="12"/>
        <v>0.2507685185185185</v>
      </c>
      <c r="W10" s="41">
        <f t="shared" si="12"/>
        <v>0.10747222222222222</v>
      </c>
      <c r="X10" s="41">
        <f t="shared" si="12"/>
        <v>0.11419444444444445</v>
      </c>
      <c r="Y10" s="41">
        <f t="shared" si="12"/>
        <v>0.26645370370370369</v>
      </c>
      <c r="Z10" s="41">
        <f t="shared" si="12"/>
        <v>0.26645370370370369</v>
      </c>
      <c r="AA10" s="41">
        <f t="shared" si="12"/>
        <v>0.11419444444444445</v>
      </c>
      <c r="AB10" s="41">
        <f t="shared" si="12"/>
        <v>0.13132361111111107</v>
      </c>
      <c r="AC10" s="41">
        <f t="shared" si="12"/>
        <v>0.30642175925925919</v>
      </c>
      <c r="AD10" s="41">
        <f t="shared" si="12"/>
        <v>0.30642175925925919</v>
      </c>
      <c r="AE10" s="41">
        <f t="shared" si="12"/>
        <v>0.13132361111111107</v>
      </c>
      <c r="AF10" s="41">
        <f t="shared" si="12"/>
        <v>0.15102215277777775</v>
      </c>
      <c r="AG10" s="41">
        <f t="shared" si="12"/>
        <v>0.35238502314814807</v>
      </c>
      <c r="AH10" s="41">
        <f t="shared" si="12"/>
        <v>0.35238502314814807</v>
      </c>
      <c r="AI10" s="41">
        <f t="shared" si="12"/>
        <v>0.15102215277777775</v>
      </c>
      <c r="AJ10" s="41">
        <f t="shared" ref="AJ10" si="13">AJ4/AJ9</f>
        <v>0.17367547569444439</v>
      </c>
      <c r="AK10" s="41">
        <f>AK4/AK9</f>
        <v>0.40524277662037017</v>
      </c>
      <c r="AL10" s="41">
        <f t="shared" ref="AL10" si="14">AL4/AL9</f>
        <v>0.40524277662037017</v>
      </c>
      <c r="AM10" s="41">
        <f t="shared" ref="AM10" si="15">AM4/AM9</f>
        <v>0.17367547569444439</v>
      </c>
      <c r="AN10" s="41">
        <f t="shared" ref="AN10" si="16">AN4/AN9</f>
        <v>0.19972679704861104</v>
      </c>
      <c r="AO10" s="41">
        <f t="shared" ref="AO10" si="17">AO4/AO9</f>
        <v>0.46602919311342572</v>
      </c>
      <c r="AP10" s="41">
        <f t="shared" ref="AP10" si="18">AP4/AP9</f>
        <v>0.46602919311342572</v>
      </c>
      <c r="AQ10" s="41">
        <f t="shared" ref="AQ10" si="19">AQ4/AQ9</f>
        <v>0.19972679704861104</v>
      </c>
    </row>
    <row r="11" spans="1:43" s="39" customFormat="1" hidden="1" x14ac:dyDescent="0.25">
      <c r="A11" s="36"/>
      <c r="B11" s="37"/>
      <c r="C11" s="4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43" hidden="1" x14ac:dyDescent="0.25">
      <c r="B12" s="32" t="s">
        <v>60</v>
      </c>
      <c r="C12" s="45" t="s">
        <v>102</v>
      </c>
      <c r="D12" s="33">
        <v>500</v>
      </c>
    </row>
    <row r="13" spans="1:43" hidden="1" x14ac:dyDescent="0.25">
      <c r="B13" s="40" t="s">
        <v>104</v>
      </c>
      <c r="C13" s="45" t="s">
        <v>103</v>
      </c>
      <c r="D13" s="33">
        <v>12</v>
      </c>
      <c r="X13" t="e">
        <f>#REF!/#REF!</f>
        <v>#REF!</v>
      </c>
    </row>
    <row r="14" spans="1:43" hidden="1" x14ac:dyDescent="0.25"/>
    <row r="15" spans="1:43" hidden="1" x14ac:dyDescent="0.25">
      <c r="B15" t="s">
        <v>58</v>
      </c>
    </row>
    <row r="16" spans="1:43" hidden="1" x14ac:dyDescent="0.25">
      <c r="B16">
        <v>2020</v>
      </c>
      <c r="C16" s="42">
        <v>313200</v>
      </c>
      <c r="E16">
        <v>241100</v>
      </c>
    </row>
    <row r="17" spans="1:43" hidden="1" x14ac:dyDescent="0.25">
      <c r="B17">
        <v>2021</v>
      </c>
      <c r="C17" s="42">
        <v>328800</v>
      </c>
    </row>
    <row r="18" spans="1:43" hidden="1" x14ac:dyDescent="0.25">
      <c r="B18">
        <v>2022</v>
      </c>
      <c r="C18" s="42">
        <v>345200</v>
      </c>
    </row>
    <row r="19" spans="1:43" hidden="1" x14ac:dyDescent="0.25">
      <c r="B19">
        <v>2023</v>
      </c>
      <c r="C19" s="42">
        <v>362500</v>
      </c>
    </row>
    <row r="20" spans="1:43" hidden="1" x14ac:dyDescent="0.25">
      <c r="B20">
        <v>2024</v>
      </c>
      <c r="C20" s="42">
        <v>386900</v>
      </c>
    </row>
    <row r="21" spans="1:43" hidden="1" x14ac:dyDescent="0.25">
      <c r="B21">
        <v>2025</v>
      </c>
      <c r="C21" s="42">
        <v>411100</v>
      </c>
      <c r="D21">
        <v>1.1499999999999999</v>
      </c>
    </row>
    <row r="22" spans="1:43" hidden="1" x14ac:dyDescent="0.25">
      <c r="B22">
        <v>2026</v>
      </c>
      <c r="C22" s="42">
        <f>C21*D21</f>
        <v>472764.99999999994</v>
      </c>
    </row>
    <row r="23" spans="1:43" hidden="1" x14ac:dyDescent="0.25">
      <c r="B23">
        <v>2027</v>
      </c>
      <c r="C23" s="42">
        <f>C22*$D$21</f>
        <v>543679.74999999988</v>
      </c>
    </row>
    <row r="24" spans="1:43" hidden="1" x14ac:dyDescent="0.25">
      <c r="B24">
        <v>2028</v>
      </c>
      <c r="C24" s="42">
        <f>C23*$D$21</f>
        <v>625231.71249999979</v>
      </c>
    </row>
    <row r="25" spans="1:43" hidden="1" x14ac:dyDescent="0.25">
      <c r="B25">
        <v>2029</v>
      </c>
      <c r="C25" s="42">
        <f>C24*$D$21</f>
        <v>719016.46937499975</v>
      </c>
      <c r="E25">
        <f>C25/E16</f>
        <v>2.9822333860431347</v>
      </c>
    </row>
    <row r="26" spans="1:43" hidden="1" x14ac:dyDescent="0.25"/>
    <row r="28" spans="1:43" s="119" customFormat="1" ht="12.75" x14ac:dyDescent="0.2">
      <c r="A28" s="237" t="s">
        <v>192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43" s="122" customFormat="1" ht="12.75" x14ac:dyDescent="0.2">
      <c r="A29" s="120" t="s">
        <v>37</v>
      </c>
      <c r="B29" s="121" t="s">
        <v>54</v>
      </c>
      <c r="C29" s="120" t="s">
        <v>55</v>
      </c>
      <c r="D29" s="120" t="s">
        <v>70</v>
      </c>
      <c r="E29" s="120" t="s">
        <v>71</v>
      </c>
      <c r="F29" s="120" t="s">
        <v>72</v>
      </c>
      <c r="G29" s="120" t="s">
        <v>73</v>
      </c>
      <c r="H29" s="120" t="s">
        <v>74</v>
      </c>
      <c r="I29" s="120" t="s">
        <v>75</v>
      </c>
      <c r="J29" s="120" t="s">
        <v>76</v>
      </c>
      <c r="K29" s="120" t="s">
        <v>77</v>
      </c>
      <c r="L29" s="120" t="s">
        <v>78</v>
      </c>
      <c r="M29" s="120" t="s">
        <v>79</v>
      </c>
      <c r="N29" s="120" t="s">
        <v>80</v>
      </c>
      <c r="O29" s="120" t="s">
        <v>81</v>
      </c>
      <c r="P29" s="120" t="s">
        <v>82</v>
      </c>
      <c r="Q29" s="120" t="s">
        <v>83</v>
      </c>
      <c r="R29" s="120" t="s">
        <v>84</v>
      </c>
      <c r="S29" s="120" t="s">
        <v>85</v>
      </c>
      <c r="T29" s="120" t="s">
        <v>86</v>
      </c>
      <c r="U29" s="120" t="s">
        <v>87</v>
      </c>
      <c r="V29" s="120" t="s">
        <v>88</v>
      </c>
      <c r="W29" s="120" t="s">
        <v>89</v>
      </c>
      <c r="X29" s="120" t="s">
        <v>90</v>
      </c>
      <c r="Y29" s="120" t="s">
        <v>91</v>
      </c>
      <c r="Z29" s="120" t="s">
        <v>92</v>
      </c>
      <c r="AA29" s="120" t="s">
        <v>93</v>
      </c>
      <c r="AB29" s="120" t="s">
        <v>94</v>
      </c>
      <c r="AC29" s="120" t="s">
        <v>95</v>
      </c>
      <c r="AD29" s="120" t="s">
        <v>96</v>
      </c>
      <c r="AE29" s="120" t="s">
        <v>97</v>
      </c>
      <c r="AF29" s="120" t="s">
        <v>98</v>
      </c>
      <c r="AG29" s="120" t="s">
        <v>99</v>
      </c>
      <c r="AH29" s="120" t="s">
        <v>100</v>
      </c>
      <c r="AI29" s="120" t="s">
        <v>101</v>
      </c>
      <c r="AJ29" s="120" t="s">
        <v>169</v>
      </c>
      <c r="AK29" s="120" t="s">
        <v>170</v>
      </c>
      <c r="AL29" s="120" t="s">
        <v>171</v>
      </c>
      <c r="AM29" s="120" t="s">
        <v>172</v>
      </c>
      <c r="AN29" s="120" t="s">
        <v>173</v>
      </c>
      <c r="AO29" s="120" t="s">
        <v>174</v>
      </c>
      <c r="AP29" s="120" t="s">
        <v>175</v>
      </c>
      <c r="AQ29" s="120" t="s">
        <v>176</v>
      </c>
    </row>
    <row r="30" spans="1:43" s="126" customFormat="1" ht="12.75" x14ac:dyDescent="0.2">
      <c r="A30" s="123">
        <v>1</v>
      </c>
      <c r="B30" s="124" t="s">
        <v>195</v>
      </c>
      <c r="C30" s="123" t="s">
        <v>222</v>
      </c>
      <c r="D30" s="133">
        <f>44840/4</f>
        <v>11210</v>
      </c>
      <c r="E30" s="133">
        <f t="shared" ref="E30:G31" si="20">D30</f>
        <v>11210</v>
      </c>
      <c r="F30" s="133">
        <f t="shared" si="20"/>
        <v>11210</v>
      </c>
      <c r="G30" s="133">
        <f t="shared" si="20"/>
        <v>11210</v>
      </c>
      <c r="H30" s="133">
        <f>G30*H7</f>
        <v>11658.4</v>
      </c>
      <c r="I30" s="133">
        <f>H30</f>
        <v>11658.4</v>
      </c>
      <c r="J30" s="133">
        <f>I30</f>
        <v>11658.4</v>
      </c>
      <c r="K30" s="133">
        <f>J30</f>
        <v>11658.4</v>
      </c>
      <c r="L30" s="133">
        <f>K30*L7</f>
        <v>12124.736000000001</v>
      </c>
      <c r="M30" s="133">
        <f t="shared" ref="M30:O31" si="21">L30</f>
        <v>12124.736000000001</v>
      </c>
      <c r="N30" s="133">
        <f t="shared" si="21"/>
        <v>12124.736000000001</v>
      </c>
      <c r="O30" s="133">
        <f t="shared" si="21"/>
        <v>12124.736000000001</v>
      </c>
      <c r="P30" s="133">
        <f>O30*P7</f>
        <v>12609.725440000002</v>
      </c>
      <c r="Q30" s="133">
        <f t="shared" ref="Q30:S31" si="22">P30</f>
        <v>12609.725440000002</v>
      </c>
      <c r="R30" s="133">
        <f t="shared" si="22"/>
        <v>12609.725440000002</v>
      </c>
      <c r="S30" s="133">
        <f t="shared" si="22"/>
        <v>12609.725440000002</v>
      </c>
      <c r="T30" s="133">
        <f>S30*T7</f>
        <v>13114.114457600002</v>
      </c>
      <c r="U30" s="133">
        <f t="shared" ref="U30:W31" si="23">T30</f>
        <v>13114.114457600002</v>
      </c>
      <c r="V30" s="133">
        <f t="shared" si="23"/>
        <v>13114.114457600002</v>
      </c>
      <c r="W30" s="133">
        <f t="shared" si="23"/>
        <v>13114.114457600002</v>
      </c>
      <c r="X30" s="133">
        <f>W30*X7</f>
        <v>13638.679035904002</v>
      </c>
      <c r="Y30" s="133">
        <f t="shared" ref="Y30:AA31" si="24">X30</f>
        <v>13638.679035904002</v>
      </c>
      <c r="Z30" s="133">
        <f t="shared" si="24"/>
        <v>13638.679035904002</v>
      </c>
      <c r="AA30" s="133">
        <f t="shared" si="24"/>
        <v>13638.679035904002</v>
      </c>
      <c r="AB30" s="133">
        <f>AA30*AB7</f>
        <v>14184.226197340164</v>
      </c>
      <c r="AC30" s="133">
        <f t="shared" ref="AC30:AE31" si="25">AB30</f>
        <v>14184.226197340164</v>
      </c>
      <c r="AD30" s="133">
        <f t="shared" si="25"/>
        <v>14184.226197340164</v>
      </c>
      <c r="AE30" s="133">
        <f t="shared" si="25"/>
        <v>14184.226197340164</v>
      </c>
      <c r="AF30" s="133">
        <f>AE30*AF7</f>
        <v>14751.595245233771</v>
      </c>
      <c r="AG30" s="133">
        <f t="shared" ref="AG30:AI31" si="26">AF30</f>
        <v>14751.595245233771</v>
      </c>
      <c r="AH30" s="133">
        <f t="shared" si="26"/>
        <v>14751.595245233771</v>
      </c>
      <c r="AI30" s="133">
        <f t="shared" si="26"/>
        <v>14751.595245233771</v>
      </c>
      <c r="AJ30" s="133">
        <f>AI30*AJ7</f>
        <v>15341.659055043123</v>
      </c>
      <c r="AK30" s="133">
        <f t="shared" ref="AK30:AM31" si="27">AJ30</f>
        <v>15341.659055043123</v>
      </c>
      <c r="AL30" s="133">
        <f t="shared" si="27"/>
        <v>15341.659055043123</v>
      </c>
      <c r="AM30" s="133">
        <f t="shared" si="27"/>
        <v>15341.659055043123</v>
      </c>
      <c r="AN30" s="133">
        <f>AM30*AN7</f>
        <v>15955.325417244849</v>
      </c>
      <c r="AO30" s="133">
        <f t="shared" ref="AO30:AQ31" si="28">AN30</f>
        <v>15955.325417244849</v>
      </c>
      <c r="AP30" s="133">
        <f t="shared" si="28"/>
        <v>15955.325417244849</v>
      </c>
      <c r="AQ30" s="133">
        <f t="shared" si="28"/>
        <v>15955.325417244849</v>
      </c>
    </row>
    <row r="31" spans="1:43" s="126" customFormat="1" ht="12.75" x14ac:dyDescent="0.2">
      <c r="A31" s="123">
        <v>2</v>
      </c>
      <c r="B31" s="124" t="s">
        <v>196</v>
      </c>
      <c r="C31" s="123" t="s">
        <v>222</v>
      </c>
      <c r="D31" s="133">
        <f>11076.92/4</f>
        <v>2769.23</v>
      </c>
      <c r="E31" s="133">
        <f t="shared" si="20"/>
        <v>2769.23</v>
      </c>
      <c r="F31" s="133">
        <f t="shared" si="20"/>
        <v>2769.23</v>
      </c>
      <c r="G31" s="133">
        <f t="shared" si="20"/>
        <v>2769.23</v>
      </c>
      <c r="H31" s="133">
        <f>18000/4</f>
        <v>4500</v>
      </c>
      <c r="I31" s="133">
        <f>H31</f>
        <v>4500</v>
      </c>
      <c r="J31" s="133">
        <f t="shared" ref="J31:K31" si="29">I31</f>
        <v>4500</v>
      </c>
      <c r="K31" s="133">
        <f t="shared" si="29"/>
        <v>4500</v>
      </c>
      <c r="L31" s="133">
        <f>K31*L7</f>
        <v>4680</v>
      </c>
      <c r="M31" s="133">
        <f t="shared" si="21"/>
        <v>4680</v>
      </c>
      <c r="N31" s="133">
        <f t="shared" si="21"/>
        <v>4680</v>
      </c>
      <c r="O31" s="133">
        <f t="shared" si="21"/>
        <v>4680</v>
      </c>
      <c r="P31" s="133">
        <f>O31*P7</f>
        <v>4867.2</v>
      </c>
      <c r="Q31" s="133">
        <f t="shared" si="22"/>
        <v>4867.2</v>
      </c>
      <c r="R31" s="133">
        <f t="shared" si="22"/>
        <v>4867.2</v>
      </c>
      <c r="S31" s="133">
        <f t="shared" si="22"/>
        <v>4867.2</v>
      </c>
      <c r="T31" s="133">
        <f>S31*T7</f>
        <v>5061.8879999999999</v>
      </c>
      <c r="U31" s="133">
        <f t="shared" si="23"/>
        <v>5061.8879999999999</v>
      </c>
      <c r="V31" s="133">
        <f t="shared" si="23"/>
        <v>5061.8879999999999</v>
      </c>
      <c r="W31" s="133">
        <f t="shared" si="23"/>
        <v>5061.8879999999999</v>
      </c>
      <c r="X31" s="133">
        <f>W31*X7</f>
        <v>5264.3635199999999</v>
      </c>
      <c r="Y31" s="133">
        <f t="shared" si="24"/>
        <v>5264.3635199999999</v>
      </c>
      <c r="Z31" s="133">
        <f t="shared" si="24"/>
        <v>5264.3635199999999</v>
      </c>
      <c r="AA31" s="133">
        <f t="shared" si="24"/>
        <v>5264.3635199999999</v>
      </c>
      <c r="AB31" s="133">
        <f>AA31*AB7</f>
        <v>5474.9380608000001</v>
      </c>
      <c r="AC31" s="133">
        <f t="shared" si="25"/>
        <v>5474.9380608000001</v>
      </c>
      <c r="AD31" s="133">
        <f t="shared" si="25"/>
        <v>5474.9380608000001</v>
      </c>
      <c r="AE31" s="133">
        <f t="shared" si="25"/>
        <v>5474.9380608000001</v>
      </c>
      <c r="AF31" s="133">
        <f>AE31*AF7</f>
        <v>5693.9355832320007</v>
      </c>
      <c r="AG31" s="133">
        <f t="shared" si="26"/>
        <v>5693.9355832320007</v>
      </c>
      <c r="AH31" s="133">
        <f t="shared" si="26"/>
        <v>5693.9355832320007</v>
      </c>
      <c r="AI31" s="133">
        <f t="shared" si="26"/>
        <v>5693.9355832320007</v>
      </c>
      <c r="AJ31" s="133">
        <f>AI31*AJ7</f>
        <v>5921.6930065612805</v>
      </c>
      <c r="AK31" s="133">
        <f t="shared" si="27"/>
        <v>5921.6930065612805</v>
      </c>
      <c r="AL31" s="133">
        <f t="shared" si="27"/>
        <v>5921.6930065612805</v>
      </c>
      <c r="AM31" s="133">
        <f t="shared" si="27"/>
        <v>5921.6930065612805</v>
      </c>
      <c r="AN31" s="133">
        <f>AM31*AN7</f>
        <v>6158.5607268237318</v>
      </c>
      <c r="AO31" s="133">
        <f t="shared" si="28"/>
        <v>6158.5607268237318</v>
      </c>
      <c r="AP31" s="133">
        <f t="shared" si="28"/>
        <v>6158.5607268237318</v>
      </c>
      <c r="AQ31" s="133">
        <f t="shared" si="28"/>
        <v>6158.5607268237318</v>
      </c>
    </row>
    <row r="32" spans="1:43" s="126" customFormat="1" ht="12.75" x14ac:dyDescent="0.2">
      <c r="A32" s="123">
        <v>3</v>
      </c>
      <c r="B32" s="124" t="s">
        <v>197</v>
      </c>
      <c r="C32" s="123" t="s">
        <v>222</v>
      </c>
      <c r="D32" s="133">
        <f t="shared" ref="D32:AQ32" si="30">SUM(D33:D42)</f>
        <v>17385.037499999999</v>
      </c>
      <c r="E32" s="133">
        <f t="shared" si="30"/>
        <v>12000.4175</v>
      </c>
      <c r="F32" s="133">
        <f t="shared" si="30"/>
        <v>12000.4175</v>
      </c>
      <c r="G32" s="133">
        <f t="shared" si="30"/>
        <v>20858.9575</v>
      </c>
      <c r="H32" s="133">
        <f t="shared" si="30"/>
        <v>43418.508999999991</v>
      </c>
      <c r="I32" s="133">
        <f t="shared" si="30"/>
        <v>12480.4342</v>
      </c>
      <c r="J32" s="133">
        <f t="shared" si="30"/>
        <v>12480.4342</v>
      </c>
      <c r="K32" s="133">
        <f t="shared" si="30"/>
        <v>21468.205000000002</v>
      </c>
      <c r="L32" s="133">
        <f t="shared" si="30"/>
        <v>18200.456559999999</v>
      </c>
      <c r="M32" s="133">
        <f t="shared" si="30"/>
        <v>12979.651567999999</v>
      </c>
      <c r="N32" s="133">
        <f t="shared" si="30"/>
        <v>12979.651567999999</v>
      </c>
      <c r="O32" s="133">
        <f t="shared" si="30"/>
        <v>22101.822400000001</v>
      </c>
      <c r="P32" s="133">
        <f t="shared" si="30"/>
        <v>18928.4748224</v>
      </c>
      <c r="Q32" s="133">
        <f t="shared" si="30"/>
        <v>13498.837630720001</v>
      </c>
      <c r="R32" s="133">
        <f t="shared" si="30"/>
        <v>13498.837630720001</v>
      </c>
      <c r="S32" s="133">
        <f t="shared" si="30"/>
        <v>23229.764496000003</v>
      </c>
      <c r="T32" s="133">
        <f t="shared" si="30"/>
        <v>19685.613815296001</v>
      </c>
      <c r="U32" s="133">
        <f t="shared" si="30"/>
        <v>14038.791135948803</v>
      </c>
      <c r="V32" s="133">
        <f t="shared" si="30"/>
        <v>14038.791135948803</v>
      </c>
      <c r="W32" s="133">
        <f t="shared" si="30"/>
        <v>37111.505075840003</v>
      </c>
      <c r="X32" s="133">
        <f t="shared" si="30"/>
        <v>20473.038367907844</v>
      </c>
      <c r="Y32" s="133">
        <f t="shared" si="30"/>
        <v>14600.342781386755</v>
      </c>
      <c r="Z32" s="133">
        <f t="shared" si="30"/>
        <v>14600.342781386755</v>
      </c>
      <c r="AA32" s="133">
        <f t="shared" si="30"/>
        <v>24627.818478873603</v>
      </c>
      <c r="AB32" s="133">
        <f t="shared" si="30"/>
        <v>21291.959902624159</v>
      </c>
      <c r="AC32" s="133">
        <f t="shared" si="30"/>
        <v>15184.356492642226</v>
      </c>
      <c r="AD32" s="133">
        <f t="shared" si="30"/>
        <v>15184.356492642226</v>
      </c>
      <c r="AE32" s="133">
        <f t="shared" si="30"/>
        <v>38565.481218028544</v>
      </c>
      <c r="AF32" s="133">
        <f t="shared" si="30"/>
        <v>22143.638298729125</v>
      </c>
      <c r="AG32" s="133">
        <f t="shared" si="30"/>
        <v>15791.730752347916</v>
      </c>
      <c r="AH32" s="133">
        <f t="shared" si="30"/>
        <v>15791.730752347916</v>
      </c>
      <c r="AI32" s="133">
        <f t="shared" si="30"/>
        <v>26139.95366674969</v>
      </c>
      <c r="AJ32" s="133">
        <f t="shared" si="30"/>
        <v>23029.383830678293</v>
      </c>
      <c r="AK32" s="133">
        <f t="shared" si="30"/>
        <v>16423.399982441835</v>
      </c>
      <c r="AL32" s="133">
        <f t="shared" si="30"/>
        <v>16423.399982441835</v>
      </c>
      <c r="AM32" s="133">
        <f t="shared" si="30"/>
        <v>26941.68181341968</v>
      </c>
      <c r="AN32" s="133">
        <f t="shared" si="30"/>
        <v>23950.559183905425</v>
      </c>
      <c r="AO32" s="133">
        <f t="shared" si="30"/>
        <v>17080.335981739507</v>
      </c>
      <c r="AP32" s="133">
        <f t="shared" si="30"/>
        <v>17080.335981739507</v>
      </c>
      <c r="AQ32" s="133">
        <f t="shared" si="30"/>
        <v>40971.899085956466</v>
      </c>
    </row>
    <row r="33" spans="1:43" s="126" customFormat="1" ht="25.5" x14ac:dyDescent="0.2">
      <c r="A33" s="123" t="s">
        <v>223</v>
      </c>
      <c r="B33" s="127" t="s">
        <v>198</v>
      </c>
      <c r="C33" s="123" t="s">
        <v>222</v>
      </c>
      <c r="D33" s="134"/>
      <c r="E33" s="134"/>
      <c r="F33" s="134"/>
      <c r="G33" s="134"/>
      <c r="H33" s="134">
        <v>25918.07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s="126" customFormat="1" ht="12.75" x14ac:dyDescent="0.2">
      <c r="A34" s="123" t="s">
        <v>224</v>
      </c>
      <c r="B34" s="127" t="s">
        <v>199</v>
      </c>
      <c r="C34" s="123" t="s">
        <v>222</v>
      </c>
      <c r="D34" s="134"/>
      <c r="E34" s="134"/>
      <c r="F34" s="134"/>
      <c r="G34" s="134">
        <v>5627.77</v>
      </c>
      <c r="H34" s="134"/>
      <c r="I34" s="134"/>
      <c r="J34" s="134"/>
      <c r="K34" s="134">
        <v>5627.77</v>
      </c>
      <c r="L34" s="134"/>
      <c r="M34" s="134"/>
      <c r="N34" s="134"/>
      <c r="O34" s="134">
        <v>5627.77</v>
      </c>
      <c r="P34" s="134"/>
      <c r="Q34" s="134"/>
      <c r="R34" s="134"/>
      <c r="S34" s="134">
        <v>6096.75</v>
      </c>
      <c r="T34" s="134"/>
      <c r="U34" s="134"/>
      <c r="V34" s="134"/>
      <c r="W34" s="134">
        <v>19293.169999999998</v>
      </c>
      <c r="X34" s="134"/>
      <c r="Y34" s="134"/>
      <c r="Z34" s="134"/>
      <c r="AA34" s="134">
        <v>6096.75</v>
      </c>
      <c r="AB34" s="134"/>
      <c r="AC34" s="134"/>
      <c r="AD34" s="134"/>
      <c r="AE34" s="134">
        <v>19293.169999999998</v>
      </c>
      <c r="AF34" s="134"/>
      <c r="AG34" s="134"/>
      <c r="AH34" s="134"/>
      <c r="AI34" s="134">
        <v>6096.75</v>
      </c>
      <c r="AJ34" s="134"/>
      <c r="AK34" s="134"/>
      <c r="AL34" s="134"/>
      <c r="AM34" s="134">
        <v>6096.75</v>
      </c>
      <c r="AN34" s="134"/>
      <c r="AO34" s="134"/>
      <c r="AP34" s="134"/>
      <c r="AQ34" s="134">
        <v>19293.169999999998</v>
      </c>
    </row>
    <row r="35" spans="1:43" s="126" customFormat="1" ht="38.25" x14ac:dyDescent="0.2">
      <c r="A35" s="123" t="s">
        <v>223</v>
      </c>
      <c r="B35" s="127" t="s">
        <v>200</v>
      </c>
      <c r="C35" s="123" t="s">
        <v>222</v>
      </c>
      <c r="D35" s="134">
        <f>2000/4</f>
        <v>500</v>
      </c>
      <c r="E35" s="134">
        <f>D35</f>
        <v>500</v>
      </c>
      <c r="F35" s="134">
        <f>E35</f>
        <v>500</v>
      </c>
      <c r="G35" s="134">
        <f>F35</f>
        <v>500</v>
      </c>
      <c r="H35" s="134">
        <f>G35*H7</f>
        <v>520</v>
      </c>
      <c r="I35" s="134">
        <f>H35</f>
        <v>520</v>
      </c>
      <c r="J35" s="134">
        <f t="shared" ref="J35:K35" si="31">I35</f>
        <v>520</v>
      </c>
      <c r="K35" s="134">
        <f t="shared" si="31"/>
        <v>520</v>
      </c>
      <c r="L35" s="134">
        <f>K35*L7</f>
        <v>540.80000000000007</v>
      </c>
      <c r="M35" s="134">
        <f>L35</f>
        <v>540.80000000000007</v>
      </c>
      <c r="N35" s="134">
        <f t="shared" ref="N35:O35" si="32">M35</f>
        <v>540.80000000000007</v>
      </c>
      <c r="O35" s="134">
        <f t="shared" si="32"/>
        <v>540.80000000000007</v>
      </c>
      <c r="P35" s="134">
        <f>O35*P7</f>
        <v>562.43200000000013</v>
      </c>
      <c r="Q35" s="134">
        <f>P35</f>
        <v>562.43200000000013</v>
      </c>
      <c r="R35" s="134">
        <f t="shared" ref="R35:S35" si="33">Q35</f>
        <v>562.43200000000013</v>
      </c>
      <c r="S35" s="134">
        <f t="shared" si="33"/>
        <v>562.43200000000013</v>
      </c>
      <c r="T35" s="134">
        <f>S35*T7</f>
        <v>584.92928000000018</v>
      </c>
      <c r="U35" s="134">
        <f>T35</f>
        <v>584.92928000000018</v>
      </c>
      <c r="V35" s="134">
        <f t="shared" ref="V35:W35" si="34">U35</f>
        <v>584.92928000000018</v>
      </c>
      <c r="W35" s="134">
        <f t="shared" si="34"/>
        <v>584.92928000000018</v>
      </c>
      <c r="X35" s="134">
        <f>W35*X7</f>
        <v>608.32645120000018</v>
      </c>
      <c r="Y35" s="134">
        <f>X35</f>
        <v>608.32645120000018</v>
      </c>
      <c r="Z35" s="134">
        <f t="shared" ref="Z35:AA35" si="35">Y35</f>
        <v>608.32645120000018</v>
      </c>
      <c r="AA35" s="134">
        <f t="shared" si="35"/>
        <v>608.32645120000018</v>
      </c>
      <c r="AB35" s="134">
        <f>AA35*AB7</f>
        <v>632.65950924800018</v>
      </c>
      <c r="AC35" s="134">
        <f>AB35</f>
        <v>632.65950924800018</v>
      </c>
      <c r="AD35" s="134">
        <f t="shared" ref="AD35:AE35" si="36">AC35</f>
        <v>632.65950924800018</v>
      </c>
      <c r="AE35" s="134">
        <f t="shared" si="36"/>
        <v>632.65950924800018</v>
      </c>
      <c r="AF35" s="134">
        <f>AE35*AF7</f>
        <v>657.9658896179202</v>
      </c>
      <c r="AG35" s="134">
        <f>AF35</f>
        <v>657.9658896179202</v>
      </c>
      <c r="AH35" s="134">
        <f t="shared" ref="AH35:AI35" si="37">AG35</f>
        <v>657.9658896179202</v>
      </c>
      <c r="AI35" s="134">
        <f t="shared" si="37"/>
        <v>657.9658896179202</v>
      </c>
      <c r="AJ35" s="134">
        <f>AI35*AJ7</f>
        <v>684.28452520263704</v>
      </c>
      <c r="AK35" s="134">
        <f>AJ35</f>
        <v>684.28452520263704</v>
      </c>
      <c r="AL35" s="134">
        <f t="shared" ref="AL35:AM35" si="38">AK35</f>
        <v>684.28452520263704</v>
      </c>
      <c r="AM35" s="134">
        <f t="shared" si="38"/>
        <v>684.28452520263704</v>
      </c>
      <c r="AN35" s="134">
        <f>AM35*AN7</f>
        <v>711.6559062107425</v>
      </c>
      <c r="AO35" s="134">
        <f>AN35</f>
        <v>711.6559062107425</v>
      </c>
      <c r="AP35" s="134">
        <f t="shared" ref="AP35:AQ35" si="39">AO35</f>
        <v>711.6559062107425</v>
      </c>
      <c r="AQ35" s="134">
        <f t="shared" si="39"/>
        <v>711.6559062107425</v>
      </c>
    </row>
    <row r="36" spans="1:43" s="126" customFormat="1" ht="38.25" x14ac:dyDescent="0.2">
      <c r="A36" s="123" t="s">
        <v>225</v>
      </c>
      <c r="B36" s="128" t="s">
        <v>201</v>
      </c>
      <c r="C36" s="123" t="s">
        <v>222</v>
      </c>
      <c r="D36" s="135">
        <f>3500/4</f>
        <v>875</v>
      </c>
      <c r="E36" s="135">
        <f>D36</f>
        <v>875</v>
      </c>
      <c r="F36" s="135">
        <f t="shared" ref="F36:G36" si="40">E36</f>
        <v>875</v>
      </c>
      <c r="G36" s="135">
        <f t="shared" si="40"/>
        <v>875</v>
      </c>
      <c r="H36" s="135">
        <f>G36*H7</f>
        <v>910</v>
      </c>
      <c r="I36" s="135">
        <f>H36</f>
        <v>910</v>
      </c>
      <c r="J36" s="135">
        <f>I36</f>
        <v>910</v>
      </c>
      <c r="K36" s="135">
        <f>J36</f>
        <v>910</v>
      </c>
      <c r="L36" s="135">
        <f>K36*L7</f>
        <v>946.4</v>
      </c>
      <c r="M36" s="135">
        <f>L36</f>
        <v>946.4</v>
      </c>
      <c r="N36" s="135">
        <f>M36</f>
        <v>946.4</v>
      </c>
      <c r="O36" s="135">
        <f>N36</f>
        <v>946.4</v>
      </c>
      <c r="P36" s="135">
        <f>O36*P7</f>
        <v>984.25599999999997</v>
      </c>
      <c r="Q36" s="135">
        <f>P36</f>
        <v>984.25599999999997</v>
      </c>
      <c r="R36" s="135">
        <f>Q36</f>
        <v>984.25599999999997</v>
      </c>
      <c r="S36" s="135">
        <f>R36</f>
        <v>984.25599999999997</v>
      </c>
      <c r="T36" s="135">
        <f>S36*T7</f>
        <v>1023.6262400000001</v>
      </c>
      <c r="U36" s="135">
        <f>T36</f>
        <v>1023.6262400000001</v>
      </c>
      <c r="V36" s="135">
        <f>U36</f>
        <v>1023.6262400000001</v>
      </c>
      <c r="W36" s="135">
        <f>V36</f>
        <v>1023.6262400000001</v>
      </c>
      <c r="X36" s="135">
        <f>W36*X7</f>
        <v>1064.5712896</v>
      </c>
      <c r="Y36" s="135">
        <f>X36</f>
        <v>1064.5712896</v>
      </c>
      <c r="Z36" s="135">
        <f>Y36</f>
        <v>1064.5712896</v>
      </c>
      <c r="AA36" s="135">
        <f>Z36</f>
        <v>1064.5712896</v>
      </c>
      <c r="AB36" s="135">
        <f>AA36*AB7</f>
        <v>1107.1541411840001</v>
      </c>
      <c r="AC36" s="135">
        <f>AB36</f>
        <v>1107.1541411840001</v>
      </c>
      <c r="AD36" s="135">
        <f>AC36</f>
        <v>1107.1541411840001</v>
      </c>
      <c r="AE36" s="135">
        <f>AD36</f>
        <v>1107.1541411840001</v>
      </c>
      <c r="AF36" s="135">
        <f>AE36*AF7</f>
        <v>1151.4403068313602</v>
      </c>
      <c r="AG36" s="135">
        <f>AF36</f>
        <v>1151.4403068313602</v>
      </c>
      <c r="AH36" s="135">
        <f>AG36</f>
        <v>1151.4403068313602</v>
      </c>
      <c r="AI36" s="135">
        <f>AH36</f>
        <v>1151.4403068313602</v>
      </c>
      <c r="AJ36" s="135">
        <f>AI36*AJ7</f>
        <v>1197.4979191046145</v>
      </c>
      <c r="AK36" s="135">
        <f>AJ36</f>
        <v>1197.4979191046145</v>
      </c>
      <c r="AL36" s="135">
        <f>AK36</f>
        <v>1197.4979191046145</v>
      </c>
      <c r="AM36" s="135">
        <f>AL36</f>
        <v>1197.4979191046145</v>
      </c>
      <c r="AN36" s="135">
        <f>AM36*AN7</f>
        <v>1245.3978358687991</v>
      </c>
      <c r="AO36" s="135">
        <f>AN36</f>
        <v>1245.3978358687991</v>
      </c>
      <c r="AP36" s="135">
        <f>AO36</f>
        <v>1245.3978358687991</v>
      </c>
      <c r="AQ36" s="135">
        <f>AP36</f>
        <v>1245.3978358687991</v>
      </c>
    </row>
    <row r="37" spans="1:43" s="126" customFormat="1" ht="127.5" x14ac:dyDescent="0.2">
      <c r="A37" s="123" t="s">
        <v>226</v>
      </c>
      <c r="B37" s="129" t="s">
        <v>202</v>
      </c>
      <c r="C37" s="123" t="s">
        <v>222</v>
      </c>
      <c r="D37" s="136">
        <f>2000</f>
        <v>2000</v>
      </c>
      <c r="E37" s="136"/>
      <c r="F37" s="136"/>
      <c r="G37" s="136"/>
      <c r="H37" s="136">
        <v>1500</v>
      </c>
      <c r="I37" s="136"/>
      <c r="J37" s="136"/>
      <c r="K37" s="136"/>
      <c r="L37" s="136">
        <f>H37*L7</f>
        <v>1560</v>
      </c>
      <c r="M37" s="136"/>
      <c r="N37" s="136"/>
      <c r="O37" s="136"/>
      <c r="P37" s="136">
        <f>L37*P7</f>
        <v>1622.4</v>
      </c>
      <c r="Q37" s="136"/>
      <c r="R37" s="136"/>
      <c r="S37" s="136"/>
      <c r="T37" s="136">
        <f>P37*T7</f>
        <v>1687.296</v>
      </c>
      <c r="U37" s="136"/>
      <c r="V37" s="136"/>
      <c r="W37" s="136"/>
      <c r="X37" s="136">
        <f>T37*X7</f>
        <v>1754.7878400000002</v>
      </c>
      <c r="Y37" s="136"/>
      <c r="Z37" s="136"/>
      <c r="AA37" s="136"/>
      <c r="AB37" s="136">
        <f>X37*AB7</f>
        <v>1824.9793536000002</v>
      </c>
      <c r="AC37" s="136"/>
      <c r="AD37" s="136"/>
      <c r="AE37" s="136"/>
      <c r="AF37" s="136">
        <f>AB37*AF7</f>
        <v>1897.9785277440003</v>
      </c>
      <c r="AG37" s="136"/>
      <c r="AH37" s="136"/>
      <c r="AI37" s="136"/>
      <c r="AJ37" s="136">
        <f>AF37*AJ7</f>
        <v>1973.8976688537605</v>
      </c>
      <c r="AK37" s="136"/>
      <c r="AL37" s="136"/>
      <c r="AM37" s="136"/>
      <c r="AN37" s="136">
        <f>AJ37*AN7</f>
        <v>2052.8535756079109</v>
      </c>
      <c r="AO37" s="136"/>
      <c r="AP37" s="136"/>
      <c r="AQ37" s="136"/>
    </row>
    <row r="38" spans="1:43" s="126" customFormat="1" ht="38.25" x14ac:dyDescent="0.2">
      <c r="A38" s="123" t="s">
        <v>227</v>
      </c>
      <c r="B38" s="130" t="s">
        <v>203</v>
      </c>
      <c r="C38" s="123" t="s">
        <v>222</v>
      </c>
      <c r="D38" s="137">
        <f>3384.62</f>
        <v>3384.62</v>
      </c>
      <c r="E38" s="137"/>
      <c r="F38" s="137"/>
      <c r="G38" s="137"/>
      <c r="H38" s="137">
        <f>D38*H7</f>
        <v>3520.0048000000002</v>
      </c>
      <c r="I38" s="137"/>
      <c r="J38" s="137"/>
      <c r="K38" s="137"/>
      <c r="L38" s="137">
        <f>H38*L7</f>
        <v>3660.8049920000003</v>
      </c>
      <c r="M38" s="137"/>
      <c r="N38" s="137"/>
      <c r="O38" s="137"/>
      <c r="P38" s="137">
        <f>L38*P7</f>
        <v>3807.2371916800003</v>
      </c>
      <c r="Q38" s="137"/>
      <c r="R38" s="137"/>
      <c r="S38" s="137"/>
      <c r="T38" s="137">
        <f>P38*T7</f>
        <v>3959.5266793472006</v>
      </c>
      <c r="U38" s="137"/>
      <c r="V38" s="137"/>
      <c r="W38" s="137"/>
      <c r="X38" s="137">
        <f>T38*X7</f>
        <v>4117.9077465210885</v>
      </c>
      <c r="Y38" s="137"/>
      <c r="Z38" s="137"/>
      <c r="AA38" s="137"/>
      <c r="AB38" s="137">
        <f>X38*AB7</f>
        <v>4282.624056381932</v>
      </c>
      <c r="AC38" s="137"/>
      <c r="AD38" s="137"/>
      <c r="AE38" s="137"/>
      <c r="AF38" s="137">
        <f>AB38*AF7</f>
        <v>4453.9290186372091</v>
      </c>
      <c r="AG38" s="137"/>
      <c r="AH38" s="137"/>
      <c r="AI38" s="137"/>
      <c r="AJ38" s="137">
        <f>AF38*AJ7</f>
        <v>4632.086179382698</v>
      </c>
      <c r="AK38" s="137"/>
      <c r="AL38" s="137"/>
      <c r="AM38" s="137"/>
      <c r="AN38" s="137">
        <f>AJ38*AN7</f>
        <v>4817.3696265580065</v>
      </c>
      <c r="AO38" s="137"/>
      <c r="AP38" s="137"/>
      <c r="AQ38" s="137"/>
    </row>
    <row r="39" spans="1:43" s="126" customFormat="1" ht="25.5" x14ac:dyDescent="0.2">
      <c r="A39" s="123" t="s">
        <v>228</v>
      </c>
      <c r="B39" s="130" t="s">
        <v>204</v>
      </c>
      <c r="C39" s="123" t="s">
        <v>222</v>
      </c>
      <c r="D39" s="137"/>
      <c r="E39" s="137"/>
      <c r="F39" s="137"/>
      <c r="G39" s="137">
        <f>3230.77</f>
        <v>3230.77</v>
      </c>
      <c r="H39" s="137"/>
      <c r="I39" s="137"/>
      <c r="J39" s="137"/>
      <c r="K39" s="137">
        <f>G39*H7</f>
        <v>3360.0008000000003</v>
      </c>
      <c r="L39" s="137"/>
      <c r="M39" s="137"/>
      <c r="N39" s="137"/>
      <c r="O39" s="137">
        <f>K39*L7</f>
        <v>3494.4008320000003</v>
      </c>
      <c r="P39" s="137"/>
      <c r="Q39" s="137"/>
      <c r="R39" s="137"/>
      <c r="S39" s="137">
        <f>O39*P7</f>
        <v>3634.1768652800006</v>
      </c>
      <c r="T39" s="137"/>
      <c r="U39" s="137"/>
      <c r="V39" s="137"/>
      <c r="W39" s="137">
        <f>S39*T7</f>
        <v>3779.5439398912008</v>
      </c>
      <c r="X39" s="137"/>
      <c r="Y39" s="137"/>
      <c r="Z39" s="137"/>
      <c r="AA39" s="137">
        <f>W39*X7</f>
        <v>3930.7256974868492</v>
      </c>
      <c r="AB39" s="137"/>
      <c r="AC39" s="137"/>
      <c r="AD39" s="137"/>
      <c r="AE39" s="137">
        <f>AA39*AB7</f>
        <v>4087.9547253863234</v>
      </c>
      <c r="AF39" s="137"/>
      <c r="AG39" s="137"/>
      <c r="AH39" s="137"/>
      <c r="AI39" s="137">
        <f>AE39*AF7</f>
        <v>4251.4729144017765</v>
      </c>
      <c r="AJ39" s="137"/>
      <c r="AK39" s="137"/>
      <c r="AL39" s="137"/>
      <c r="AM39" s="137">
        <f>AI39*AJ7</f>
        <v>4421.5318309778477</v>
      </c>
      <c r="AN39" s="137"/>
      <c r="AO39" s="137"/>
      <c r="AP39" s="137"/>
      <c r="AQ39" s="137">
        <f>AM39*AN7</f>
        <v>4598.3931042169615</v>
      </c>
    </row>
    <row r="40" spans="1:43" s="126" customFormat="1" ht="25.5" x14ac:dyDescent="0.2">
      <c r="A40" s="123" t="s">
        <v>229</v>
      </c>
      <c r="B40" s="130" t="s">
        <v>205</v>
      </c>
      <c r="C40" s="123" t="s">
        <v>222</v>
      </c>
      <c r="D40" s="137">
        <f>4078.67/4</f>
        <v>1019.6675</v>
      </c>
      <c r="E40" s="137">
        <f t="shared" ref="E40:G42" si="41">D40</f>
        <v>1019.6675</v>
      </c>
      <c r="F40" s="137">
        <f t="shared" si="41"/>
        <v>1019.6675</v>
      </c>
      <c r="G40" s="137">
        <f t="shared" si="41"/>
        <v>1019.6675</v>
      </c>
      <c r="H40" s="137">
        <f>G40*H7</f>
        <v>1060.4542000000001</v>
      </c>
      <c r="I40" s="137">
        <f t="shared" ref="I40:K42" si="42">H40</f>
        <v>1060.4542000000001</v>
      </c>
      <c r="J40" s="137">
        <f t="shared" si="42"/>
        <v>1060.4542000000001</v>
      </c>
      <c r="K40" s="137">
        <f t="shared" si="42"/>
        <v>1060.4542000000001</v>
      </c>
      <c r="L40" s="137">
        <f>K40*L7</f>
        <v>1102.8723680000003</v>
      </c>
      <c r="M40" s="137">
        <f t="shared" ref="M40:O42" si="43">L40</f>
        <v>1102.8723680000003</v>
      </c>
      <c r="N40" s="137">
        <f t="shared" si="43"/>
        <v>1102.8723680000003</v>
      </c>
      <c r="O40" s="137">
        <f t="shared" si="43"/>
        <v>1102.8723680000003</v>
      </c>
      <c r="P40" s="137">
        <f>O40*P7</f>
        <v>1146.9872627200002</v>
      </c>
      <c r="Q40" s="137">
        <f t="shared" ref="Q40:S42" si="44">P40</f>
        <v>1146.9872627200002</v>
      </c>
      <c r="R40" s="137">
        <f t="shared" si="44"/>
        <v>1146.9872627200002</v>
      </c>
      <c r="S40" s="137">
        <f t="shared" si="44"/>
        <v>1146.9872627200002</v>
      </c>
      <c r="T40" s="137">
        <f>S40*T7</f>
        <v>1192.8667532288002</v>
      </c>
      <c r="U40" s="137">
        <f t="shared" ref="U40:W42" si="45">T40</f>
        <v>1192.8667532288002</v>
      </c>
      <c r="V40" s="137">
        <f t="shared" si="45"/>
        <v>1192.8667532288002</v>
      </c>
      <c r="W40" s="137">
        <f t="shared" si="45"/>
        <v>1192.8667532288002</v>
      </c>
      <c r="X40" s="137">
        <f>W40*X7</f>
        <v>1240.5814233579522</v>
      </c>
      <c r="Y40" s="137">
        <f t="shared" ref="Y40:AA42" si="46">X40</f>
        <v>1240.5814233579522</v>
      </c>
      <c r="Z40" s="137">
        <f t="shared" si="46"/>
        <v>1240.5814233579522</v>
      </c>
      <c r="AA40" s="137">
        <f t="shared" si="46"/>
        <v>1240.5814233579522</v>
      </c>
      <c r="AB40" s="137">
        <f>AA40*AB7</f>
        <v>1290.2046802922703</v>
      </c>
      <c r="AC40" s="137">
        <f t="shared" ref="AC40:AE42" si="47">AB40</f>
        <v>1290.2046802922703</v>
      </c>
      <c r="AD40" s="137">
        <f t="shared" si="47"/>
        <v>1290.2046802922703</v>
      </c>
      <c r="AE40" s="137">
        <f t="shared" si="47"/>
        <v>1290.2046802922703</v>
      </c>
      <c r="AF40" s="137">
        <f>AE40*AF7</f>
        <v>1341.8128675039611</v>
      </c>
      <c r="AG40" s="137">
        <f t="shared" ref="AG40:AI42" si="48">AF40</f>
        <v>1341.8128675039611</v>
      </c>
      <c r="AH40" s="137">
        <f t="shared" si="48"/>
        <v>1341.8128675039611</v>
      </c>
      <c r="AI40" s="137">
        <f t="shared" si="48"/>
        <v>1341.8128675039611</v>
      </c>
      <c r="AJ40" s="137">
        <f>AI40*AJ7</f>
        <v>1395.4853822041196</v>
      </c>
      <c r="AK40" s="137">
        <f t="shared" ref="AK40:AM42" si="49">AJ40</f>
        <v>1395.4853822041196</v>
      </c>
      <c r="AL40" s="137">
        <f t="shared" si="49"/>
        <v>1395.4853822041196</v>
      </c>
      <c r="AM40" s="137">
        <f t="shared" si="49"/>
        <v>1395.4853822041196</v>
      </c>
      <c r="AN40" s="137">
        <f>AM40*AN7</f>
        <v>1451.3047974922845</v>
      </c>
      <c r="AO40" s="137">
        <f t="shared" ref="AO40:AQ42" si="50">AN40</f>
        <v>1451.3047974922845</v>
      </c>
      <c r="AP40" s="137">
        <f t="shared" si="50"/>
        <v>1451.3047974922845</v>
      </c>
      <c r="AQ40" s="137">
        <f t="shared" si="50"/>
        <v>1451.3047974922845</v>
      </c>
    </row>
    <row r="41" spans="1:43" s="126" customFormat="1" ht="25.5" x14ac:dyDescent="0.2">
      <c r="A41" s="123" t="s">
        <v>230</v>
      </c>
      <c r="B41" s="130" t="s">
        <v>206</v>
      </c>
      <c r="C41" s="123" t="s">
        <v>222</v>
      </c>
      <c r="D41" s="137">
        <f>1500/4</f>
        <v>375</v>
      </c>
      <c r="E41" s="137">
        <f t="shared" si="41"/>
        <v>375</v>
      </c>
      <c r="F41" s="137">
        <f t="shared" si="41"/>
        <v>375</v>
      </c>
      <c r="G41" s="137">
        <f t="shared" si="41"/>
        <v>375</v>
      </c>
      <c r="H41" s="137">
        <f>G41*H7</f>
        <v>390</v>
      </c>
      <c r="I41" s="137">
        <f t="shared" si="42"/>
        <v>390</v>
      </c>
      <c r="J41" s="137">
        <f t="shared" si="42"/>
        <v>390</v>
      </c>
      <c r="K41" s="137">
        <f t="shared" si="42"/>
        <v>390</v>
      </c>
      <c r="L41" s="137">
        <f>K41*L7</f>
        <v>405.6</v>
      </c>
      <c r="M41" s="137">
        <f t="shared" si="43"/>
        <v>405.6</v>
      </c>
      <c r="N41" s="137">
        <f t="shared" si="43"/>
        <v>405.6</v>
      </c>
      <c r="O41" s="137">
        <f t="shared" si="43"/>
        <v>405.6</v>
      </c>
      <c r="P41" s="137">
        <f>O41*P7</f>
        <v>421.82400000000001</v>
      </c>
      <c r="Q41" s="137">
        <f t="shared" si="44"/>
        <v>421.82400000000001</v>
      </c>
      <c r="R41" s="137">
        <f t="shared" si="44"/>
        <v>421.82400000000001</v>
      </c>
      <c r="S41" s="137">
        <f t="shared" si="44"/>
        <v>421.82400000000001</v>
      </c>
      <c r="T41" s="137">
        <f>S41*T7</f>
        <v>438.69696000000005</v>
      </c>
      <c r="U41" s="137">
        <f t="shared" si="45"/>
        <v>438.69696000000005</v>
      </c>
      <c r="V41" s="137">
        <f t="shared" si="45"/>
        <v>438.69696000000005</v>
      </c>
      <c r="W41" s="137">
        <f t="shared" si="45"/>
        <v>438.69696000000005</v>
      </c>
      <c r="X41" s="137">
        <f>W41*X7</f>
        <v>456.24483840000005</v>
      </c>
      <c r="Y41" s="137">
        <f t="shared" si="46"/>
        <v>456.24483840000005</v>
      </c>
      <c r="Z41" s="137">
        <f t="shared" si="46"/>
        <v>456.24483840000005</v>
      </c>
      <c r="AA41" s="137">
        <f t="shared" si="46"/>
        <v>456.24483840000005</v>
      </c>
      <c r="AB41" s="137">
        <f>AA41*AB7</f>
        <v>474.49463193600008</v>
      </c>
      <c r="AC41" s="137">
        <f t="shared" si="47"/>
        <v>474.49463193600008</v>
      </c>
      <c r="AD41" s="137">
        <f t="shared" si="47"/>
        <v>474.49463193600008</v>
      </c>
      <c r="AE41" s="137">
        <f t="shared" si="47"/>
        <v>474.49463193600008</v>
      </c>
      <c r="AF41" s="137">
        <f>AE41*AF7</f>
        <v>493.47441721344012</v>
      </c>
      <c r="AG41" s="137">
        <f t="shared" si="48"/>
        <v>493.47441721344012</v>
      </c>
      <c r="AH41" s="137">
        <f t="shared" si="48"/>
        <v>493.47441721344012</v>
      </c>
      <c r="AI41" s="137">
        <f t="shared" si="48"/>
        <v>493.47441721344012</v>
      </c>
      <c r="AJ41" s="137">
        <f>AI41*AJ7</f>
        <v>513.21339390197772</v>
      </c>
      <c r="AK41" s="137">
        <f t="shared" si="49"/>
        <v>513.21339390197772</v>
      </c>
      <c r="AL41" s="137">
        <f t="shared" si="49"/>
        <v>513.21339390197772</v>
      </c>
      <c r="AM41" s="137">
        <f t="shared" si="49"/>
        <v>513.21339390197772</v>
      </c>
      <c r="AN41" s="137">
        <f>AM41*AN7</f>
        <v>533.74192965805685</v>
      </c>
      <c r="AO41" s="137">
        <f t="shared" si="50"/>
        <v>533.74192965805685</v>
      </c>
      <c r="AP41" s="137">
        <f t="shared" si="50"/>
        <v>533.74192965805685</v>
      </c>
      <c r="AQ41" s="137">
        <f t="shared" si="50"/>
        <v>533.74192965805685</v>
      </c>
    </row>
    <row r="42" spans="1:43" s="126" customFormat="1" ht="38.25" x14ac:dyDescent="0.2">
      <c r="A42" s="123" t="s">
        <v>231</v>
      </c>
      <c r="B42" s="130" t="s">
        <v>207</v>
      </c>
      <c r="C42" s="123" t="s">
        <v>222</v>
      </c>
      <c r="D42" s="137">
        <f>36923/4</f>
        <v>9230.75</v>
      </c>
      <c r="E42" s="137">
        <f t="shared" si="41"/>
        <v>9230.75</v>
      </c>
      <c r="F42" s="137">
        <f t="shared" si="41"/>
        <v>9230.75</v>
      </c>
      <c r="G42" s="137">
        <f t="shared" si="41"/>
        <v>9230.75</v>
      </c>
      <c r="H42" s="137">
        <f>G42*H7</f>
        <v>9599.98</v>
      </c>
      <c r="I42" s="137">
        <f t="shared" si="42"/>
        <v>9599.98</v>
      </c>
      <c r="J42" s="137">
        <f t="shared" si="42"/>
        <v>9599.98</v>
      </c>
      <c r="K42" s="137">
        <f t="shared" si="42"/>
        <v>9599.98</v>
      </c>
      <c r="L42" s="137">
        <f>K42*L7</f>
        <v>9983.9791999999998</v>
      </c>
      <c r="M42" s="137">
        <f t="shared" si="43"/>
        <v>9983.9791999999998</v>
      </c>
      <c r="N42" s="137">
        <f t="shared" si="43"/>
        <v>9983.9791999999998</v>
      </c>
      <c r="O42" s="137">
        <f t="shared" si="43"/>
        <v>9983.9791999999998</v>
      </c>
      <c r="P42" s="137">
        <f>O42*P7</f>
        <v>10383.338368000001</v>
      </c>
      <c r="Q42" s="137">
        <f t="shared" si="44"/>
        <v>10383.338368000001</v>
      </c>
      <c r="R42" s="137">
        <f t="shared" si="44"/>
        <v>10383.338368000001</v>
      </c>
      <c r="S42" s="137">
        <f t="shared" si="44"/>
        <v>10383.338368000001</v>
      </c>
      <c r="T42" s="137">
        <f>S42*T7</f>
        <v>10798.671902720002</v>
      </c>
      <c r="U42" s="137">
        <f t="shared" si="45"/>
        <v>10798.671902720002</v>
      </c>
      <c r="V42" s="137">
        <f t="shared" si="45"/>
        <v>10798.671902720002</v>
      </c>
      <c r="W42" s="137">
        <f t="shared" si="45"/>
        <v>10798.671902720002</v>
      </c>
      <c r="X42" s="137">
        <f>W42*X7</f>
        <v>11230.618778828803</v>
      </c>
      <c r="Y42" s="137">
        <f t="shared" si="46"/>
        <v>11230.618778828803</v>
      </c>
      <c r="Z42" s="137">
        <f t="shared" si="46"/>
        <v>11230.618778828803</v>
      </c>
      <c r="AA42" s="137">
        <f t="shared" si="46"/>
        <v>11230.618778828803</v>
      </c>
      <c r="AB42" s="137">
        <f>AA42*AB7</f>
        <v>11679.843529981956</v>
      </c>
      <c r="AC42" s="137">
        <f t="shared" si="47"/>
        <v>11679.843529981956</v>
      </c>
      <c r="AD42" s="137">
        <f t="shared" si="47"/>
        <v>11679.843529981956</v>
      </c>
      <c r="AE42" s="137">
        <f t="shared" si="47"/>
        <v>11679.843529981956</v>
      </c>
      <c r="AF42" s="137">
        <f>AE42*AF7</f>
        <v>12147.037271181234</v>
      </c>
      <c r="AG42" s="137">
        <f t="shared" si="48"/>
        <v>12147.037271181234</v>
      </c>
      <c r="AH42" s="137">
        <f t="shared" si="48"/>
        <v>12147.037271181234</v>
      </c>
      <c r="AI42" s="137">
        <f t="shared" si="48"/>
        <v>12147.037271181234</v>
      </c>
      <c r="AJ42" s="137">
        <f>AI42*AJ7</f>
        <v>12632.918762028485</v>
      </c>
      <c r="AK42" s="137">
        <f t="shared" si="49"/>
        <v>12632.918762028485</v>
      </c>
      <c r="AL42" s="137">
        <f t="shared" si="49"/>
        <v>12632.918762028485</v>
      </c>
      <c r="AM42" s="137">
        <f t="shared" si="49"/>
        <v>12632.918762028485</v>
      </c>
      <c r="AN42" s="137">
        <f>AM42*AN7</f>
        <v>13138.235512509624</v>
      </c>
      <c r="AO42" s="137">
        <f t="shared" si="50"/>
        <v>13138.235512509624</v>
      </c>
      <c r="AP42" s="137">
        <f t="shared" si="50"/>
        <v>13138.235512509624</v>
      </c>
      <c r="AQ42" s="137">
        <f t="shared" si="50"/>
        <v>13138.235512509624</v>
      </c>
    </row>
    <row r="43" spans="1:43" s="126" customFormat="1" ht="12.75" x14ac:dyDescent="0.2">
      <c r="A43" s="123">
        <v>4</v>
      </c>
      <c r="B43" s="124" t="s">
        <v>208</v>
      </c>
      <c r="C43" s="123" t="s">
        <v>222</v>
      </c>
      <c r="D43" s="133">
        <f>SUM(D44:D48)</f>
        <v>19402.875000000004</v>
      </c>
      <c r="E43" s="133">
        <f t="shared" ref="E43:AQ43" si="51">SUM(E44:E48)</f>
        <v>19402.875000000004</v>
      </c>
      <c r="F43" s="133">
        <f t="shared" si="51"/>
        <v>19402.875000000004</v>
      </c>
      <c r="G43" s="133">
        <f t="shared" si="51"/>
        <v>19402.875000000004</v>
      </c>
      <c r="H43" s="133">
        <f t="shared" si="51"/>
        <v>20178.990000000002</v>
      </c>
      <c r="I43" s="133">
        <f t="shared" si="51"/>
        <v>20178.990000000002</v>
      </c>
      <c r="J43" s="133">
        <f t="shared" si="51"/>
        <v>20178.990000000002</v>
      </c>
      <c r="K43" s="133">
        <f t="shared" si="51"/>
        <v>20178.990000000002</v>
      </c>
      <c r="L43" s="133">
        <f t="shared" si="51"/>
        <v>20986.149599999997</v>
      </c>
      <c r="M43" s="133">
        <f t="shared" si="51"/>
        <v>20986.149599999997</v>
      </c>
      <c r="N43" s="133">
        <f t="shared" si="51"/>
        <v>20986.149599999997</v>
      </c>
      <c r="O43" s="133">
        <f t="shared" si="51"/>
        <v>20986.149599999997</v>
      </c>
      <c r="P43" s="133">
        <f t="shared" si="51"/>
        <v>21825.595584000002</v>
      </c>
      <c r="Q43" s="133">
        <f t="shared" si="51"/>
        <v>21825.595584000002</v>
      </c>
      <c r="R43" s="133">
        <f t="shared" si="51"/>
        <v>21825.595584000002</v>
      </c>
      <c r="S43" s="133">
        <f t="shared" si="51"/>
        <v>21825.595584000002</v>
      </c>
      <c r="T43" s="133">
        <f t="shared" si="51"/>
        <v>22698.619407360002</v>
      </c>
      <c r="U43" s="133">
        <f t="shared" si="51"/>
        <v>22698.619407360002</v>
      </c>
      <c r="V43" s="133">
        <f t="shared" si="51"/>
        <v>22698.619407360002</v>
      </c>
      <c r="W43" s="133">
        <f t="shared" si="51"/>
        <v>22698.619407360002</v>
      </c>
      <c r="X43" s="133">
        <f t="shared" si="51"/>
        <v>23606.564183654398</v>
      </c>
      <c r="Y43" s="133">
        <f t="shared" si="51"/>
        <v>23606.564183654398</v>
      </c>
      <c r="Z43" s="133">
        <f t="shared" si="51"/>
        <v>23606.564183654398</v>
      </c>
      <c r="AA43" s="133">
        <f t="shared" si="51"/>
        <v>23606.564183654398</v>
      </c>
      <c r="AB43" s="133">
        <f t="shared" si="51"/>
        <v>24550.826751000583</v>
      </c>
      <c r="AC43" s="133">
        <f t="shared" si="51"/>
        <v>24550.826751000583</v>
      </c>
      <c r="AD43" s="133">
        <f t="shared" si="51"/>
        <v>24550.826751000583</v>
      </c>
      <c r="AE43" s="133">
        <f t="shared" si="51"/>
        <v>24550.826751000583</v>
      </c>
      <c r="AF43" s="133">
        <f t="shared" si="51"/>
        <v>25532.859821040605</v>
      </c>
      <c r="AG43" s="133">
        <f t="shared" si="51"/>
        <v>25532.859821040605</v>
      </c>
      <c r="AH43" s="133">
        <f t="shared" si="51"/>
        <v>25532.859821040605</v>
      </c>
      <c r="AI43" s="133">
        <f t="shared" si="51"/>
        <v>25532.859821040605</v>
      </c>
      <c r="AJ43" s="133">
        <f t="shared" si="51"/>
        <v>26554.174213882226</v>
      </c>
      <c r="AK43" s="133">
        <f t="shared" si="51"/>
        <v>26554.174213882226</v>
      </c>
      <c r="AL43" s="133">
        <f t="shared" si="51"/>
        <v>26554.174213882226</v>
      </c>
      <c r="AM43" s="133">
        <f t="shared" si="51"/>
        <v>26554.174213882226</v>
      </c>
      <c r="AN43" s="133">
        <f t="shared" si="51"/>
        <v>27616.341182437518</v>
      </c>
      <c r="AO43" s="133">
        <f t="shared" si="51"/>
        <v>27616.341182437518</v>
      </c>
      <c r="AP43" s="133">
        <f t="shared" si="51"/>
        <v>27616.341182437518</v>
      </c>
      <c r="AQ43" s="133">
        <f t="shared" si="51"/>
        <v>27616.341182437518</v>
      </c>
    </row>
    <row r="44" spans="1:43" s="126" customFormat="1" ht="25.5" x14ac:dyDescent="0.2">
      <c r="A44" s="123" t="s">
        <v>119</v>
      </c>
      <c r="B44" s="130" t="s">
        <v>209</v>
      </c>
      <c r="C44" s="123" t="s">
        <v>222</v>
      </c>
      <c r="D44" s="137">
        <f>55384.62/4</f>
        <v>13846.155000000001</v>
      </c>
      <c r="E44" s="137">
        <f t="shared" ref="E44:G48" si="52">D44</f>
        <v>13846.155000000001</v>
      </c>
      <c r="F44" s="137">
        <f t="shared" si="52"/>
        <v>13846.155000000001</v>
      </c>
      <c r="G44" s="137">
        <f t="shared" si="52"/>
        <v>13846.155000000001</v>
      </c>
      <c r="H44" s="137">
        <f>G44*H7</f>
        <v>14400.001200000001</v>
      </c>
      <c r="I44" s="137">
        <f>H44</f>
        <v>14400.001200000001</v>
      </c>
      <c r="J44" s="137">
        <f t="shared" ref="J44:K48" si="53">I44</f>
        <v>14400.001200000001</v>
      </c>
      <c r="K44" s="137">
        <f t="shared" si="53"/>
        <v>14400.001200000001</v>
      </c>
      <c r="L44" s="137">
        <f>K44*L7</f>
        <v>14976.001248</v>
      </c>
      <c r="M44" s="137">
        <f>L44</f>
        <v>14976.001248</v>
      </c>
      <c r="N44" s="137">
        <f t="shared" ref="N44:O48" si="54">M44</f>
        <v>14976.001248</v>
      </c>
      <c r="O44" s="137">
        <f t="shared" si="54"/>
        <v>14976.001248</v>
      </c>
      <c r="P44" s="137">
        <f>O44*P7</f>
        <v>15575.041297920001</v>
      </c>
      <c r="Q44" s="137">
        <f>P44</f>
        <v>15575.041297920001</v>
      </c>
      <c r="R44" s="137">
        <f t="shared" ref="R44:S48" si="55">Q44</f>
        <v>15575.041297920001</v>
      </c>
      <c r="S44" s="137">
        <f t="shared" si="55"/>
        <v>15575.041297920001</v>
      </c>
      <c r="T44" s="137">
        <f>S44*T7</f>
        <v>16198.042949836801</v>
      </c>
      <c r="U44" s="137">
        <f>T44</f>
        <v>16198.042949836801</v>
      </c>
      <c r="V44" s="137">
        <f t="shared" ref="V44:W48" si="56">U44</f>
        <v>16198.042949836801</v>
      </c>
      <c r="W44" s="137">
        <f t="shared" si="56"/>
        <v>16198.042949836801</v>
      </c>
      <c r="X44" s="137">
        <f>W44*X7</f>
        <v>16845.964667830274</v>
      </c>
      <c r="Y44" s="137">
        <f>X44</f>
        <v>16845.964667830274</v>
      </c>
      <c r="Z44" s="137">
        <f t="shared" ref="Z44:AA48" si="57">Y44</f>
        <v>16845.964667830274</v>
      </c>
      <c r="AA44" s="137">
        <f t="shared" si="57"/>
        <v>16845.964667830274</v>
      </c>
      <c r="AB44" s="137">
        <f>AA44*AB7</f>
        <v>17519.803254543487</v>
      </c>
      <c r="AC44" s="137">
        <f>AB44</f>
        <v>17519.803254543487</v>
      </c>
      <c r="AD44" s="137">
        <f t="shared" ref="AD44:AE48" si="58">AC44</f>
        <v>17519.803254543487</v>
      </c>
      <c r="AE44" s="137">
        <f t="shared" si="58"/>
        <v>17519.803254543487</v>
      </c>
      <c r="AF44" s="137">
        <f>AE44*AF7</f>
        <v>18220.595384725228</v>
      </c>
      <c r="AG44" s="137">
        <f>AF44</f>
        <v>18220.595384725228</v>
      </c>
      <c r="AH44" s="137">
        <f t="shared" ref="AH44:AI48" si="59">AG44</f>
        <v>18220.595384725228</v>
      </c>
      <c r="AI44" s="137">
        <f t="shared" si="59"/>
        <v>18220.595384725228</v>
      </c>
      <c r="AJ44" s="137">
        <f>AI44*AJ7</f>
        <v>18949.419200114236</v>
      </c>
      <c r="AK44" s="137">
        <f>AJ44</f>
        <v>18949.419200114236</v>
      </c>
      <c r="AL44" s="137">
        <f t="shared" ref="AL44:AM48" si="60">AK44</f>
        <v>18949.419200114236</v>
      </c>
      <c r="AM44" s="137">
        <f t="shared" si="60"/>
        <v>18949.419200114236</v>
      </c>
      <c r="AN44" s="137">
        <f>AM44*AN7</f>
        <v>19707.395968118806</v>
      </c>
      <c r="AO44" s="137">
        <f>AN44</f>
        <v>19707.395968118806</v>
      </c>
      <c r="AP44" s="137">
        <f t="shared" ref="AP44:AQ48" si="61">AO44</f>
        <v>19707.395968118806</v>
      </c>
      <c r="AQ44" s="137">
        <f t="shared" si="61"/>
        <v>19707.395968118806</v>
      </c>
    </row>
    <row r="45" spans="1:43" s="126" customFormat="1" ht="89.25" x14ac:dyDescent="0.2">
      <c r="A45" s="123" t="s">
        <v>120</v>
      </c>
      <c r="B45" s="130" t="s">
        <v>210</v>
      </c>
      <c r="C45" s="123" t="s">
        <v>222</v>
      </c>
      <c r="D45" s="137">
        <f>5000/4</f>
        <v>1250</v>
      </c>
      <c r="E45" s="137">
        <f t="shared" si="52"/>
        <v>1250</v>
      </c>
      <c r="F45" s="137">
        <f t="shared" si="52"/>
        <v>1250</v>
      </c>
      <c r="G45" s="137">
        <f t="shared" si="52"/>
        <v>1250</v>
      </c>
      <c r="H45" s="137">
        <f>G45*H7</f>
        <v>1300</v>
      </c>
      <c r="I45" s="137">
        <f>H45</f>
        <v>1300</v>
      </c>
      <c r="J45" s="137">
        <f t="shared" si="53"/>
        <v>1300</v>
      </c>
      <c r="K45" s="137">
        <f t="shared" si="53"/>
        <v>1300</v>
      </c>
      <c r="L45" s="137">
        <f>K45*L7</f>
        <v>1352</v>
      </c>
      <c r="M45" s="137">
        <f>L45</f>
        <v>1352</v>
      </c>
      <c r="N45" s="137">
        <f t="shared" si="54"/>
        <v>1352</v>
      </c>
      <c r="O45" s="137">
        <f t="shared" si="54"/>
        <v>1352</v>
      </c>
      <c r="P45" s="137">
        <f>O45*P7</f>
        <v>1406.0800000000002</v>
      </c>
      <c r="Q45" s="137">
        <f>P45</f>
        <v>1406.0800000000002</v>
      </c>
      <c r="R45" s="137">
        <f t="shared" si="55"/>
        <v>1406.0800000000002</v>
      </c>
      <c r="S45" s="137">
        <f t="shared" si="55"/>
        <v>1406.0800000000002</v>
      </c>
      <c r="T45" s="137">
        <f>S45*T7</f>
        <v>1462.3232000000003</v>
      </c>
      <c r="U45" s="137">
        <f>T45</f>
        <v>1462.3232000000003</v>
      </c>
      <c r="V45" s="137">
        <f t="shared" si="56"/>
        <v>1462.3232000000003</v>
      </c>
      <c r="W45" s="137">
        <f t="shared" si="56"/>
        <v>1462.3232000000003</v>
      </c>
      <c r="X45" s="137">
        <f>W45*X7</f>
        <v>1520.8161280000004</v>
      </c>
      <c r="Y45" s="137">
        <f>X45</f>
        <v>1520.8161280000004</v>
      </c>
      <c r="Z45" s="137">
        <f t="shared" si="57"/>
        <v>1520.8161280000004</v>
      </c>
      <c r="AA45" s="137">
        <f t="shared" si="57"/>
        <v>1520.8161280000004</v>
      </c>
      <c r="AB45" s="137">
        <f>AA45*AB7</f>
        <v>1581.6487731200004</v>
      </c>
      <c r="AC45" s="137">
        <f>AB45</f>
        <v>1581.6487731200004</v>
      </c>
      <c r="AD45" s="137">
        <f t="shared" si="58"/>
        <v>1581.6487731200004</v>
      </c>
      <c r="AE45" s="137">
        <f t="shared" si="58"/>
        <v>1581.6487731200004</v>
      </c>
      <c r="AF45" s="137">
        <f>AE45*AF7</f>
        <v>1644.9147240448006</v>
      </c>
      <c r="AG45" s="137">
        <f>AF45</f>
        <v>1644.9147240448006</v>
      </c>
      <c r="AH45" s="137">
        <f t="shared" si="59"/>
        <v>1644.9147240448006</v>
      </c>
      <c r="AI45" s="137">
        <f t="shared" si="59"/>
        <v>1644.9147240448006</v>
      </c>
      <c r="AJ45" s="137">
        <f>AI45*AJ7</f>
        <v>1710.7113130065927</v>
      </c>
      <c r="AK45" s="137">
        <f>AJ45</f>
        <v>1710.7113130065927</v>
      </c>
      <c r="AL45" s="137">
        <f t="shared" si="60"/>
        <v>1710.7113130065927</v>
      </c>
      <c r="AM45" s="137">
        <f t="shared" si="60"/>
        <v>1710.7113130065927</v>
      </c>
      <c r="AN45" s="137">
        <f>AM45*AN7</f>
        <v>1779.1397655268565</v>
      </c>
      <c r="AO45" s="137">
        <f>AN45</f>
        <v>1779.1397655268565</v>
      </c>
      <c r="AP45" s="137">
        <f t="shared" si="61"/>
        <v>1779.1397655268565</v>
      </c>
      <c r="AQ45" s="137">
        <f t="shared" si="61"/>
        <v>1779.1397655268565</v>
      </c>
    </row>
    <row r="46" spans="1:43" s="126" customFormat="1" ht="38.25" x14ac:dyDescent="0.2">
      <c r="A46" s="123" t="s">
        <v>232</v>
      </c>
      <c r="B46" s="130" t="s">
        <v>211</v>
      </c>
      <c r="C46" s="123" t="s">
        <v>222</v>
      </c>
      <c r="D46" s="137">
        <f>10892.92/4</f>
        <v>2723.23</v>
      </c>
      <c r="E46" s="137">
        <f t="shared" si="52"/>
        <v>2723.23</v>
      </c>
      <c r="F46" s="137">
        <f t="shared" si="52"/>
        <v>2723.23</v>
      </c>
      <c r="G46" s="137">
        <f t="shared" si="52"/>
        <v>2723.23</v>
      </c>
      <c r="H46" s="137">
        <f>G46*H7</f>
        <v>2832.1592000000001</v>
      </c>
      <c r="I46" s="137">
        <f>H46</f>
        <v>2832.1592000000001</v>
      </c>
      <c r="J46" s="137">
        <f t="shared" si="53"/>
        <v>2832.1592000000001</v>
      </c>
      <c r="K46" s="137">
        <f t="shared" si="53"/>
        <v>2832.1592000000001</v>
      </c>
      <c r="L46" s="137">
        <f>K46*L7</f>
        <v>2945.4455680000001</v>
      </c>
      <c r="M46" s="137">
        <f>L46</f>
        <v>2945.4455680000001</v>
      </c>
      <c r="N46" s="137">
        <f t="shared" si="54"/>
        <v>2945.4455680000001</v>
      </c>
      <c r="O46" s="137">
        <f t="shared" si="54"/>
        <v>2945.4455680000001</v>
      </c>
      <c r="P46" s="137">
        <f>O46*P7</f>
        <v>3063.2633907200002</v>
      </c>
      <c r="Q46" s="137">
        <f>P46</f>
        <v>3063.2633907200002</v>
      </c>
      <c r="R46" s="137">
        <f t="shared" si="55"/>
        <v>3063.2633907200002</v>
      </c>
      <c r="S46" s="137">
        <f t="shared" si="55"/>
        <v>3063.2633907200002</v>
      </c>
      <c r="T46" s="137">
        <f>S46*T7</f>
        <v>3185.7939263488001</v>
      </c>
      <c r="U46" s="137">
        <f>T46</f>
        <v>3185.7939263488001</v>
      </c>
      <c r="V46" s="137">
        <f t="shared" si="56"/>
        <v>3185.7939263488001</v>
      </c>
      <c r="W46" s="137">
        <f t="shared" si="56"/>
        <v>3185.7939263488001</v>
      </c>
      <c r="X46" s="137">
        <f>W46*X7</f>
        <v>3313.2256834027521</v>
      </c>
      <c r="Y46" s="137">
        <f>X46</f>
        <v>3313.2256834027521</v>
      </c>
      <c r="Z46" s="137">
        <f t="shared" si="57"/>
        <v>3313.2256834027521</v>
      </c>
      <c r="AA46" s="137">
        <f t="shared" si="57"/>
        <v>3313.2256834027521</v>
      </c>
      <c r="AB46" s="137">
        <f>AA46*AB7</f>
        <v>3445.7547107388623</v>
      </c>
      <c r="AC46" s="137">
        <f>AB46</f>
        <v>3445.7547107388623</v>
      </c>
      <c r="AD46" s="137">
        <f t="shared" si="58"/>
        <v>3445.7547107388623</v>
      </c>
      <c r="AE46" s="137">
        <f t="shared" si="58"/>
        <v>3445.7547107388623</v>
      </c>
      <c r="AF46" s="137">
        <f>AE46*AF7</f>
        <v>3583.584899168417</v>
      </c>
      <c r="AG46" s="137">
        <f>AF46</f>
        <v>3583.584899168417</v>
      </c>
      <c r="AH46" s="137">
        <f t="shared" si="59"/>
        <v>3583.584899168417</v>
      </c>
      <c r="AI46" s="137">
        <f t="shared" si="59"/>
        <v>3583.584899168417</v>
      </c>
      <c r="AJ46" s="137">
        <f>AI46*AJ7</f>
        <v>3726.9282951351538</v>
      </c>
      <c r="AK46" s="137">
        <f>AJ46</f>
        <v>3726.9282951351538</v>
      </c>
      <c r="AL46" s="137">
        <f t="shared" si="60"/>
        <v>3726.9282951351538</v>
      </c>
      <c r="AM46" s="137">
        <f t="shared" si="60"/>
        <v>3726.9282951351538</v>
      </c>
      <c r="AN46" s="137">
        <f>AM46*AN7</f>
        <v>3876.00542694056</v>
      </c>
      <c r="AO46" s="137">
        <f>AN46</f>
        <v>3876.00542694056</v>
      </c>
      <c r="AP46" s="137">
        <f t="shared" si="61"/>
        <v>3876.00542694056</v>
      </c>
      <c r="AQ46" s="137">
        <f t="shared" si="61"/>
        <v>3876.00542694056</v>
      </c>
    </row>
    <row r="47" spans="1:43" s="126" customFormat="1" ht="12.75" x14ac:dyDescent="0.2">
      <c r="A47" s="123" t="s">
        <v>233</v>
      </c>
      <c r="B47" s="130" t="s">
        <v>212</v>
      </c>
      <c r="C47" s="123" t="s">
        <v>222</v>
      </c>
      <c r="D47" s="138">
        <f>5210.88/4</f>
        <v>1302.72</v>
      </c>
      <c r="E47" s="138">
        <f t="shared" si="52"/>
        <v>1302.72</v>
      </c>
      <c r="F47" s="138">
        <f t="shared" si="52"/>
        <v>1302.72</v>
      </c>
      <c r="G47" s="138">
        <f t="shared" si="52"/>
        <v>1302.72</v>
      </c>
      <c r="H47" s="138">
        <f>G47*H7</f>
        <v>1354.8288</v>
      </c>
      <c r="I47" s="138">
        <f>H47</f>
        <v>1354.8288</v>
      </c>
      <c r="J47" s="138">
        <f t="shared" si="53"/>
        <v>1354.8288</v>
      </c>
      <c r="K47" s="138">
        <f t="shared" si="53"/>
        <v>1354.8288</v>
      </c>
      <c r="L47" s="138">
        <f>K47*L7</f>
        <v>1409.0219520000001</v>
      </c>
      <c r="M47" s="138">
        <f>L47</f>
        <v>1409.0219520000001</v>
      </c>
      <c r="N47" s="138">
        <f t="shared" si="54"/>
        <v>1409.0219520000001</v>
      </c>
      <c r="O47" s="138">
        <f t="shared" si="54"/>
        <v>1409.0219520000001</v>
      </c>
      <c r="P47" s="138">
        <f>O47*P7</f>
        <v>1465.3828300800001</v>
      </c>
      <c r="Q47" s="138">
        <f>P47</f>
        <v>1465.3828300800001</v>
      </c>
      <c r="R47" s="138">
        <f t="shared" si="55"/>
        <v>1465.3828300800001</v>
      </c>
      <c r="S47" s="138">
        <f t="shared" si="55"/>
        <v>1465.3828300800001</v>
      </c>
      <c r="T47" s="138">
        <f>S47*T7</f>
        <v>1523.9981432832001</v>
      </c>
      <c r="U47" s="138">
        <f>T47</f>
        <v>1523.9981432832001</v>
      </c>
      <c r="V47" s="138">
        <f t="shared" si="56"/>
        <v>1523.9981432832001</v>
      </c>
      <c r="W47" s="138">
        <f t="shared" si="56"/>
        <v>1523.9981432832001</v>
      </c>
      <c r="X47" s="138">
        <f>W47*X7</f>
        <v>1584.9580690145281</v>
      </c>
      <c r="Y47" s="138">
        <f>X47</f>
        <v>1584.9580690145281</v>
      </c>
      <c r="Z47" s="138">
        <f t="shared" si="57"/>
        <v>1584.9580690145281</v>
      </c>
      <c r="AA47" s="138">
        <f t="shared" si="57"/>
        <v>1584.9580690145281</v>
      </c>
      <c r="AB47" s="138">
        <f>AA47*AB7</f>
        <v>1648.3563917751092</v>
      </c>
      <c r="AC47" s="138">
        <f>AB47</f>
        <v>1648.3563917751092</v>
      </c>
      <c r="AD47" s="138">
        <f t="shared" si="58"/>
        <v>1648.3563917751092</v>
      </c>
      <c r="AE47" s="138">
        <f t="shared" si="58"/>
        <v>1648.3563917751092</v>
      </c>
      <c r="AF47" s="138">
        <f>AE47*AF7</f>
        <v>1714.2906474461136</v>
      </c>
      <c r="AG47" s="138">
        <f>AF47</f>
        <v>1714.2906474461136</v>
      </c>
      <c r="AH47" s="138">
        <f t="shared" si="59"/>
        <v>1714.2906474461136</v>
      </c>
      <c r="AI47" s="138">
        <f t="shared" si="59"/>
        <v>1714.2906474461136</v>
      </c>
      <c r="AJ47" s="138">
        <f>AI47*AJ7</f>
        <v>1782.8622733439581</v>
      </c>
      <c r="AK47" s="138">
        <f>AJ47</f>
        <v>1782.8622733439581</v>
      </c>
      <c r="AL47" s="138">
        <f t="shared" si="60"/>
        <v>1782.8622733439581</v>
      </c>
      <c r="AM47" s="138">
        <f t="shared" si="60"/>
        <v>1782.8622733439581</v>
      </c>
      <c r="AN47" s="138">
        <f>AM47*AN7</f>
        <v>1854.1767642777165</v>
      </c>
      <c r="AO47" s="138">
        <f>AN47</f>
        <v>1854.1767642777165</v>
      </c>
      <c r="AP47" s="138">
        <f t="shared" si="61"/>
        <v>1854.1767642777165</v>
      </c>
      <c r="AQ47" s="138">
        <f t="shared" si="61"/>
        <v>1854.1767642777165</v>
      </c>
    </row>
    <row r="48" spans="1:43" s="126" customFormat="1" ht="12.75" x14ac:dyDescent="0.2">
      <c r="A48" s="123" t="s">
        <v>234</v>
      </c>
      <c r="B48" s="130" t="s">
        <v>213</v>
      </c>
      <c r="C48" s="123" t="s">
        <v>222</v>
      </c>
      <c r="D48" s="137">
        <f>1123.08/4</f>
        <v>280.77</v>
      </c>
      <c r="E48" s="137">
        <f t="shared" si="52"/>
        <v>280.77</v>
      </c>
      <c r="F48" s="137">
        <f t="shared" si="52"/>
        <v>280.77</v>
      </c>
      <c r="G48" s="137">
        <f t="shared" si="52"/>
        <v>280.77</v>
      </c>
      <c r="H48" s="137">
        <f>G48*H7</f>
        <v>292.00079999999997</v>
      </c>
      <c r="I48" s="137">
        <f>H48</f>
        <v>292.00079999999997</v>
      </c>
      <c r="J48" s="137">
        <f t="shared" si="53"/>
        <v>292.00079999999997</v>
      </c>
      <c r="K48" s="137">
        <f t="shared" si="53"/>
        <v>292.00079999999997</v>
      </c>
      <c r="L48" s="137">
        <f>K48*L7</f>
        <v>303.68083199999995</v>
      </c>
      <c r="M48" s="137">
        <f>L48</f>
        <v>303.68083199999995</v>
      </c>
      <c r="N48" s="137">
        <f t="shared" si="54"/>
        <v>303.68083199999995</v>
      </c>
      <c r="O48" s="137">
        <f t="shared" si="54"/>
        <v>303.68083199999995</v>
      </c>
      <c r="P48" s="137">
        <f>O48*P7</f>
        <v>315.82806527999998</v>
      </c>
      <c r="Q48" s="137">
        <f>P48</f>
        <v>315.82806527999998</v>
      </c>
      <c r="R48" s="137">
        <f t="shared" si="55"/>
        <v>315.82806527999998</v>
      </c>
      <c r="S48" s="137">
        <f t="shared" si="55"/>
        <v>315.82806527999998</v>
      </c>
      <c r="T48" s="137">
        <f>S48*T7</f>
        <v>328.46118789119998</v>
      </c>
      <c r="U48" s="137">
        <f>T48</f>
        <v>328.46118789119998</v>
      </c>
      <c r="V48" s="137">
        <f t="shared" si="56"/>
        <v>328.46118789119998</v>
      </c>
      <c r="W48" s="137">
        <f t="shared" si="56"/>
        <v>328.46118789119998</v>
      </c>
      <c r="X48" s="137">
        <f>W48*X7</f>
        <v>341.59963540684799</v>
      </c>
      <c r="Y48" s="137">
        <f>X48</f>
        <v>341.59963540684799</v>
      </c>
      <c r="Z48" s="137">
        <f t="shared" si="57"/>
        <v>341.59963540684799</v>
      </c>
      <c r="AA48" s="137">
        <f t="shared" si="57"/>
        <v>341.59963540684799</v>
      </c>
      <c r="AB48" s="137">
        <f>AA48*AB7</f>
        <v>355.26362082312193</v>
      </c>
      <c r="AC48" s="137">
        <f>AB48</f>
        <v>355.26362082312193</v>
      </c>
      <c r="AD48" s="137">
        <f t="shared" si="58"/>
        <v>355.26362082312193</v>
      </c>
      <c r="AE48" s="137">
        <f t="shared" si="58"/>
        <v>355.26362082312193</v>
      </c>
      <c r="AF48" s="137">
        <f>AE48*AF7</f>
        <v>369.47416565604681</v>
      </c>
      <c r="AG48" s="137">
        <f>AF48</f>
        <v>369.47416565604681</v>
      </c>
      <c r="AH48" s="137">
        <f t="shared" si="59"/>
        <v>369.47416565604681</v>
      </c>
      <c r="AI48" s="137">
        <f t="shared" si="59"/>
        <v>369.47416565604681</v>
      </c>
      <c r="AJ48" s="137">
        <f>AI48*AJ7</f>
        <v>384.25313228228868</v>
      </c>
      <c r="AK48" s="137">
        <f>AJ48</f>
        <v>384.25313228228868</v>
      </c>
      <c r="AL48" s="137">
        <f t="shared" si="60"/>
        <v>384.25313228228868</v>
      </c>
      <c r="AM48" s="137">
        <f t="shared" si="60"/>
        <v>384.25313228228868</v>
      </c>
      <c r="AN48" s="137">
        <f>AM48*AN7</f>
        <v>399.62325757358025</v>
      </c>
      <c r="AO48" s="137">
        <f>AN48</f>
        <v>399.62325757358025</v>
      </c>
      <c r="AP48" s="137">
        <f t="shared" si="61"/>
        <v>399.62325757358025</v>
      </c>
      <c r="AQ48" s="137">
        <f t="shared" si="61"/>
        <v>399.62325757358025</v>
      </c>
    </row>
    <row r="49" spans="1:43" s="126" customFormat="1" ht="12.75" x14ac:dyDescent="0.2">
      <c r="A49" s="123">
        <v>5</v>
      </c>
      <c r="B49" s="124" t="s">
        <v>214</v>
      </c>
      <c r="C49" s="123" t="s">
        <v>222</v>
      </c>
      <c r="D49" s="133">
        <f>SUM(D50:D52)</f>
        <v>11241.7</v>
      </c>
      <c r="E49" s="133">
        <f t="shared" ref="E49:AQ49" si="62">SUM(E50:E52)</f>
        <v>11241.7</v>
      </c>
      <c r="F49" s="133">
        <f t="shared" si="62"/>
        <v>11241.7</v>
      </c>
      <c r="G49" s="133">
        <f t="shared" si="62"/>
        <v>11241.7</v>
      </c>
      <c r="H49" s="133">
        <f t="shared" si="62"/>
        <v>11691.368</v>
      </c>
      <c r="I49" s="133">
        <f t="shared" si="62"/>
        <v>11691.368</v>
      </c>
      <c r="J49" s="133">
        <f t="shared" si="62"/>
        <v>11691.368</v>
      </c>
      <c r="K49" s="133">
        <f t="shared" si="62"/>
        <v>11691.368</v>
      </c>
      <c r="L49" s="133">
        <f t="shared" si="62"/>
        <v>12159.022719999999</v>
      </c>
      <c r="M49" s="133">
        <f t="shared" si="62"/>
        <v>12159.022719999999</v>
      </c>
      <c r="N49" s="133">
        <f t="shared" si="62"/>
        <v>12159.022719999999</v>
      </c>
      <c r="O49" s="133">
        <f t="shared" si="62"/>
        <v>12159.022719999999</v>
      </c>
      <c r="P49" s="133">
        <f t="shared" si="62"/>
        <v>12645.3836288</v>
      </c>
      <c r="Q49" s="133">
        <f t="shared" si="62"/>
        <v>12645.3836288</v>
      </c>
      <c r="R49" s="133">
        <f t="shared" si="62"/>
        <v>12645.3836288</v>
      </c>
      <c r="S49" s="133">
        <f t="shared" si="62"/>
        <v>12645.3836288</v>
      </c>
      <c r="T49" s="133">
        <f t="shared" si="62"/>
        <v>13151.198973952001</v>
      </c>
      <c r="U49" s="133">
        <f t="shared" si="62"/>
        <v>13151.198973952001</v>
      </c>
      <c r="V49" s="133">
        <f t="shared" si="62"/>
        <v>13151.198973952001</v>
      </c>
      <c r="W49" s="133">
        <f t="shared" si="62"/>
        <v>13151.198973952001</v>
      </c>
      <c r="X49" s="133">
        <f t="shared" si="62"/>
        <v>13677.24693291008</v>
      </c>
      <c r="Y49" s="133">
        <f t="shared" si="62"/>
        <v>13677.24693291008</v>
      </c>
      <c r="Z49" s="133">
        <f t="shared" si="62"/>
        <v>13677.24693291008</v>
      </c>
      <c r="AA49" s="133">
        <f t="shared" si="62"/>
        <v>13677.24693291008</v>
      </c>
      <c r="AB49" s="133">
        <f t="shared" si="62"/>
        <v>14224.336810226487</v>
      </c>
      <c r="AC49" s="133">
        <f t="shared" si="62"/>
        <v>14224.336810226487</v>
      </c>
      <c r="AD49" s="133">
        <f t="shared" si="62"/>
        <v>14224.336810226487</v>
      </c>
      <c r="AE49" s="133">
        <f t="shared" si="62"/>
        <v>14224.336810226487</v>
      </c>
      <c r="AF49" s="133">
        <f t="shared" si="62"/>
        <v>14793.310282635546</v>
      </c>
      <c r="AG49" s="133">
        <f t="shared" si="62"/>
        <v>14793.310282635546</v>
      </c>
      <c r="AH49" s="133">
        <f t="shared" si="62"/>
        <v>14793.310282635546</v>
      </c>
      <c r="AI49" s="133">
        <f t="shared" si="62"/>
        <v>14793.310282635546</v>
      </c>
      <c r="AJ49" s="133">
        <f t="shared" si="62"/>
        <v>15385.042693940968</v>
      </c>
      <c r="AK49" s="133">
        <f t="shared" si="62"/>
        <v>15385.042693940968</v>
      </c>
      <c r="AL49" s="133">
        <f t="shared" si="62"/>
        <v>15385.042693940968</v>
      </c>
      <c r="AM49" s="133">
        <f t="shared" si="62"/>
        <v>15385.042693940968</v>
      </c>
      <c r="AN49" s="133">
        <f t="shared" si="62"/>
        <v>16000.444401698605</v>
      </c>
      <c r="AO49" s="133">
        <f t="shared" si="62"/>
        <v>16000.444401698605</v>
      </c>
      <c r="AP49" s="133">
        <f t="shared" si="62"/>
        <v>16000.444401698605</v>
      </c>
      <c r="AQ49" s="133">
        <f t="shared" si="62"/>
        <v>16000.444401698605</v>
      </c>
    </row>
    <row r="50" spans="1:43" s="126" customFormat="1" ht="38.25" x14ac:dyDescent="0.2">
      <c r="A50" s="123" t="s">
        <v>235</v>
      </c>
      <c r="B50" s="128" t="s">
        <v>215</v>
      </c>
      <c r="C50" s="123" t="s">
        <v>222</v>
      </c>
      <c r="D50" s="139">
        <f>14655.6/4</f>
        <v>3663.9</v>
      </c>
      <c r="E50" s="139">
        <f>D50</f>
        <v>3663.9</v>
      </c>
      <c r="F50" s="139">
        <f t="shared" ref="F50:G50" si="63">E50</f>
        <v>3663.9</v>
      </c>
      <c r="G50" s="139">
        <f t="shared" si="63"/>
        <v>3663.9</v>
      </c>
      <c r="H50" s="139">
        <f>G50*H7</f>
        <v>3810.4560000000001</v>
      </c>
      <c r="I50" s="139">
        <f>H50</f>
        <v>3810.4560000000001</v>
      </c>
      <c r="J50" s="139">
        <f>I50</f>
        <v>3810.4560000000001</v>
      </c>
      <c r="K50" s="139">
        <f>J50</f>
        <v>3810.4560000000001</v>
      </c>
      <c r="L50" s="139">
        <f>K50*L7</f>
        <v>3962.8742400000001</v>
      </c>
      <c r="M50" s="139">
        <f>L50</f>
        <v>3962.8742400000001</v>
      </c>
      <c r="N50" s="139">
        <f>M50</f>
        <v>3962.8742400000001</v>
      </c>
      <c r="O50" s="139">
        <f>N50</f>
        <v>3962.8742400000001</v>
      </c>
      <c r="P50" s="139">
        <f>O50*P7</f>
        <v>4121.3892096</v>
      </c>
      <c r="Q50" s="139">
        <f>P50</f>
        <v>4121.3892096</v>
      </c>
      <c r="R50" s="139">
        <f>Q50</f>
        <v>4121.3892096</v>
      </c>
      <c r="S50" s="139">
        <f>R50</f>
        <v>4121.3892096</v>
      </c>
      <c r="T50" s="139">
        <f>S50*T7</f>
        <v>4286.2447779840004</v>
      </c>
      <c r="U50" s="139">
        <f>T50</f>
        <v>4286.2447779840004</v>
      </c>
      <c r="V50" s="139">
        <f>U50</f>
        <v>4286.2447779840004</v>
      </c>
      <c r="W50" s="139">
        <f>V50</f>
        <v>4286.2447779840004</v>
      </c>
      <c r="X50" s="139">
        <f>W50*X7</f>
        <v>4457.6945691033607</v>
      </c>
      <c r="Y50" s="139">
        <f>X50</f>
        <v>4457.6945691033607</v>
      </c>
      <c r="Z50" s="139">
        <f>Y50</f>
        <v>4457.6945691033607</v>
      </c>
      <c r="AA50" s="139">
        <f>Z50</f>
        <v>4457.6945691033607</v>
      </c>
      <c r="AB50" s="139">
        <f>AA50*AB7</f>
        <v>4636.0023518674952</v>
      </c>
      <c r="AC50" s="139">
        <f>AB50</f>
        <v>4636.0023518674952</v>
      </c>
      <c r="AD50" s="139">
        <f>AC50</f>
        <v>4636.0023518674952</v>
      </c>
      <c r="AE50" s="139">
        <f>AD50</f>
        <v>4636.0023518674952</v>
      </c>
      <c r="AF50" s="139">
        <f>AE50*AF7</f>
        <v>4821.4424459421953</v>
      </c>
      <c r="AG50" s="139">
        <f>AF50</f>
        <v>4821.4424459421953</v>
      </c>
      <c r="AH50" s="139">
        <f>AG50</f>
        <v>4821.4424459421953</v>
      </c>
      <c r="AI50" s="139">
        <f>AH50</f>
        <v>4821.4424459421953</v>
      </c>
      <c r="AJ50" s="139">
        <f>AI50*AJ7</f>
        <v>5014.300143779883</v>
      </c>
      <c r="AK50" s="139">
        <f>AJ50</f>
        <v>5014.300143779883</v>
      </c>
      <c r="AL50" s="139">
        <f>AK50</f>
        <v>5014.300143779883</v>
      </c>
      <c r="AM50" s="139">
        <f>AL50</f>
        <v>5014.300143779883</v>
      </c>
      <c r="AN50" s="139">
        <f>AM50*AN7</f>
        <v>5214.8721495310783</v>
      </c>
      <c r="AO50" s="139">
        <f>AN50</f>
        <v>5214.8721495310783</v>
      </c>
      <c r="AP50" s="139">
        <f>AO50</f>
        <v>5214.8721495310783</v>
      </c>
      <c r="AQ50" s="139">
        <f>AP50</f>
        <v>5214.8721495310783</v>
      </c>
    </row>
    <row r="51" spans="1:43" s="126" customFormat="1" ht="51" x14ac:dyDescent="0.2">
      <c r="A51" s="123" t="s">
        <v>236</v>
      </c>
      <c r="B51" s="128" t="s">
        <v>216</v>
      </c>
      <c r="C51" s="123" t="s">
        <v>222</v>
      </c>
      <c r="D51" s="135">
        <f>29311.2/4</f>
        <v>7327.8</v>
      </c>
      <c r="E51" s="135">
        <f>D51</f>
        <v>7327.8</v>
      </c>
      <c r="F51" s="135">
        <f t="shared" ref="F51:G51" si="64">E51</f>
        <v>7327.8</v>
      </c>
      <c r="G51" s="135">
        <f t="shared" si="64"/>
        <v>7327.8</v>
      </c>
      <c r="H51" s="135">
        <f>G51*H7</f>
        <v>7620.9120000000003</v>
      </c>
      <c r="I51" s="135">
        <f>H51</f>
        <v>7620.9120000000003</v>
      </c>
      <c r="J51" s="135">
        <f t="shared" ref="J51:K51" si="65">I51</f>
        <v>7620.9120000000003</v>
      </c>
      <c r="K51" s="135">
        <f t="shared" si="65"/>
        <v>7620.9120000000003</v>
      </c>
      <c r="L51" s="135">
        <f>K51*L7</f>
        <v>7925.7484800000002</v>
      </c>
      <c r="M51" s="135">
        <f>L51</f>
        <v>7925.7484800000002</v>
      </c>
      <c r="N51" s="135">
        <f t="shared" ref="N51:O52" si="66">M51</f>
        <v>7925.7484800000002</v>
      </c>
      <c r="O51" s="135">
        <f t="shared" si="66"/>
        <v>7925.7484800000002</v>
      </c>
      <c r="P51" s="135">
        <f>O51*P7</f>
        <v>8242.7784191999999</v>
      </c>
      <c r="Q51" s="135">
        <f>P51</f>
        <v>8242.7784191999999</v>
      </c>
      <c r="R51" s="135">
        <f t="shared" ref="R51:S52" si="67">Q51</f>
        <v>8242.7784191999999</v>
      </c>
      <c r="S51" s="135">
        <f t="shared" si="67"/>
        <v>8242.7784191999999</v>
      </c>
      <c r="T51" s="135">
        <f>S51*T7</f>
        <v>8572.4895559680008</v>
      </c>
      <c r="U51" s="135">
        <f>T51</f>
        <v>8572.4895559680008</v>
      </c>
      <c r="V51" s="135">
        <f t="shared" ref="V51:W52" si="68">U51</f>
        <v>8572.4895559680008</v>
      </c>
      <c r="W51" s="135">
        <f t="shared" si="68"/>
        <v>8572.4895559680008</v>
      </c>
      <c r="X51" s="135">
        <f>W51*X7</f>
        <v>8915.3891382067213</v>
      </c>
      <c r="Y51" s="135">
        <f>X51</f>
        <v>8915.3891382067213</v>
      </c>
      <c r="Z51" s="135">
        <f t="shared" ref="Z51:AA52" si="69">Y51</f>
        <v>8915.3891382067213</v>
      </c>
      <c r="AA51" s="135">
        <f t="shared" si="69"/>
        <v>8915.3891382067213</v>
      </c>
      <c r="AB51" s="135">
        <f>AA51*AB7</f>
        <v>9272.0047037349905</v>
      </c>
      <c r="AC51" s="135">
        <f>AB51</f>
        <v>9272.0047037349905</v>
      </c>
      <c r="AD51" s="135">
        <f t="shared" ref="AD51:AE52" si="70">AC51</f>
        <v>9272.0047037349905</v>
      </c>
      <c r="AE51" s="135">
        <f t="shared" si="70"/>
        <v>9272.0047037349905</v>
      </c>
      <c r="AF51" s="135">
        <f>AE51*AF7</f>
        <v>9642.8848918843905</v>
      </c>
      <c r="AG51" s="135">
        <f>AF51</f>
        <v>9642.8848918843905</v>
      </c>
      <c r="AH51" s="135">
        <f t="shared" ref="AH51:AI52" si="71">AG51</f>
        <v>9642.8848918843905</v>
      </c>
      <c r="AI51" s="135">
        <f t="shared" si="71"/>
        <v>9642.8848918843905</v>
      </c>
      <c r="AJ51" s="135">
        <f>AI51*AJ7</f>
        <v>10028.600287559766</v>
      </c>
      <c r="AK51" s="135">
        <f>AJ51</f>
        <v>10028.600287559766</v>
      </c>
      <c r="AL51" s="135">
        <f t="shared" ref="AL51:AM52" si="72">AK51</f>
        <v>10028.600287559766</v>
      </c>
      <c r="AM51" s="135">
        <f t="shared" si="72"/>
        <v>10028.600287559766</v>
      </c>
      <c r="AN51" s="135">
        <f>AM51*AN7</f>
        <v>10429.744299062157</v>
      </c>
      <c r="AO51" s="135">
        <f>AN51</f>
        <v>10429.744299062157</v>
      </c>
      <c r="AP51" s="135">
        <f t="shared" ref="AP51:AQ52" si="73">AO51</f>
        <v>10429.744299062157</v>
      </c>
      <c r="AQ51" s="135">
        <f t="shared" si="73"/>
        <v>10429.744299062157</v>
      </c>
    </row>
    <row r="52" spans="1:43" s="126" customFormat="1" ht="12.75" x14ac:dyDescent="0.2">
      <c r="A52" s="123" t="s">
        <v>237</v>
      </c>
      <c r="B52" s="128" t="s">
        <v>217</v>
      </c>
      <c r="C52" s="123" t="s">
        <v>222</v>
      </c>
      <c r="D52" s="139">
        <f>1000/4</f>
        <v>250</v>
      </c>
      <c r="E52" s="139">
        <f>D52</f>
        <v>250</v>
      </c>
      <c r="F52" s="139">
        <f>E52</f>
        <v>250</v>
      </c>
      <c r="G52" s="139">
        <f>F52</f>
        <v>250</v>
      </c>
      <c r="H52" s="139">
        <f>G52*H7</f>
        <v>260</v>
      </c>
      <c r="I52" s="139">
        <f>H52</f>
        <v>260</v>
      </c>
      <c r="J52" s="139">
        <f t="shared" ref="J52:K52" si="74">I52</f>
        <v>260</v>
      </c>
      <c r="K52" s="139">
        <f t="shared" si="74"/>
        <v>260</v>
      </c>
      <c r="L52" s="139">
        <f>K52*L7</f>
        <v>270.40000000000003</v>
      </c>
      <c r="M52" s="139">
        <f>L52</f>
        <v>270.40000000000003</v>
      </c>
      <c r="N52" s="139">
        <f t="shared" si="66"/>
        <v>270.40000000000003</v>
      </c>
      <c r="O52" s="139">
        <f t="shared" si="66"/>
        <v>270.40000000000003</v>
      </c>
      <c r="P52" s="139">
        <f>O52*P7</f>
        <v>281.21600000000007</v>
      </c>
      <c r="Q52" s="139">
        <f>P52</f>
        <v>281.21600000000007</v>
      </c>
      <c r="R52" s="139">
        <f t="shared" si="67"/>
        <v>281.21600000000007</v>
      </c>
      <c r="S52" s="139">
        <f t="shared" si="67"/>
        <v>281.21600000000007</v>
      </c>
      <c r="T52" s="139">
        <f>S52*T7</f>
        <v>292.46464000000009</v>
      </c>
      <c r="U52" s="139">
        <f>T52</f>
        <v>292.46464000000009</v>
      </c>
      <c r="V52" s="139">
        <f t="shared" si="68"/>
        <v>292.46464000000009</v>
      </c>
      <c r="W52" s="139">
        <f t="shared" si="68"/>
        <v>292.46464000000009</v>
      </c>
      <c r="X52" s="139">
        <f>W52*X7</f>
        <v>304.16322560000009</v>
      </c>
      <c r="Y52" s="139">
        <f>X52</f>
        <v>304.16322560000009</v>
      </c>
      <c r="Z52" s="139">
        <f t="shared" si="69"/>
        <v>304.16322560000009</v>
      </c>
      <c r="AA52" s="139">
        <f t="shared" si="69"/>
        <v>304.16322560000009</v>
      </c>
      <c r="AB52" s="139">
        <f>AA52*AB7</f>
        <v>316.32975462400009</v>
      </c>
      <c r="AC52" s="139">
        <f>AB52</f>
        <v>316.32975462400009</v>
      </c>
      <c r="AD52" s="139">
        <f t="shared" si="70"/>
        <v>316.32975462400009</v>
      </c>
      <c r="AE52" s="139">
        <f t="shared" si="70"/>
        <v>316.32975462400009</v>
      </c>
      <c r="AF52" s="139">
        <f>AE52*AF7</f>
        <v>328.9829448089601</v>
      </c>
      <c r="AG52" s="139">
        <f>AF52</f>
        <v>328.9829448089601</v>
      </c>
      <c r="AH52" s="139">
        <f t="shared" si="71"/>
        <v>328.9829448089601</v>
      </c>
      <c r="AI52" s="139">
        <f t="shared" si="71"/>
        <v>328.9829448089601</v>
      </c>
      <c r="AJ52" s="139">
        <f>AI52*AJ7</f>
        <v>342.14226260131852</v>
      </c>
      <c r="AK52" s="139">
        <f>AJ52</f>
        <v>342.14226260131852</v>
      </c>
      <c r="AL52" s="139">
        <f t="shared" si="72"/>
        <v>342.14226260131852</v>
      </c>
      <c r="AM52" s="139">
        <f t="shared" si="72"/>
        <v>342.14226260131852</v>
      </c>
      <c r="AN52" s="139">
        <f>AM52*AN7</f>
        <v>355.82795310537125</v>
      </c>
      <c r="AO52" s="139">
        <f>AN52</f>
        <v>355.82795310537125</v>
      </c>
      <c r="AP52" s="139">
        <f t="shared" si="73"/>
        <v>355.82795310537125</v>
      </c>
      <c r="AQ52" s="139">
        <f t="shared" si="73"/>
        <v>355.82795310537125</v>
      </c>
    </row>
    <row r="53" spans="1:43" s="126" customFormat="1" ht="12.75" x14ac:dyDescent="0.2">
      <c r="A53" s="123">
        <v>6</v>
      </c>
      <c r="B53" s="131" t="s">
        <v>218</v>
      </c>
      <c r="C53" s="123" t="s">
        <v>222</v>
      </c>
      <c r="D53" s="133">
        <f>SUM(D54:D57)</f>
        <v>16563.325377697842</v>
      </c>
      <c r="E53" s="133">
        <f t="shared" ref="E53:AQ53" si="75">SUM(E54:E57)</f>
        <v>16563.325377697842</v>
      </c>
      <c r="F53" s="133">
        <f t="shared" si="75"/>
        <v>16563.325377697842</v>
      </c>
      <c r="G53" s="133">
        <f t="shared" si="75"/>
        <v>16563.325377697842</v>
      </c>
      <c r="H53" s="133">
        <f t="shared" si="75"/>
        <v>17225.858392805756</v>
      </c>
      <c r="I53" s="133">
        <f t="shared" si="75"/>
        <v>17225.858392805756</v>
      </c>
      <c r="J53" s="133">
        <f t="shared" si="75"/>
        <v>17225.858392805756</v>
      </c>
      <c r="K53" s="133">
        <f t="shared" si="75"/>
        <v>17225.858392805756</v>
      </c>
      <c r="L53" s="133">
        <f t="shared" si="75"/>
        <v>17914.892728517985</v>
      </c>
      <c r="M53" s="133">
        <f t="shared" si="75"/>
        <v>17914.892728517985</v>
      </c>
      <c r="N53" s="133">
        <f t="shared" si="75"/>
        <v>17914.892728517985</v>
      </c>
      <c r="O53" s="133">
        <f t="shared" si="75"/>
        <v>17914.892728517985</v>
      </c>
      <c r="P53" s="133">
        <f t="shared" si="75"/>
        <v>18631.488437658707</v>
      </c>
      <c r="Q53" s="133">
        <f t="shared" si="75"/>
        <v>18631.488437658707</v>
      </c>
      <c r="R53" s="133">
        <f t="shared" si="75"/>
        <v>18631.488437658707</v>
      </c>
      <c r="S53" s="133">
        <f t="shared" si="75"/>
        <v>18631.488437658707</v>
      </c>
      <c r="T53" s="133">
        <f t="shared" si="75"/>
        <v>19376.747975165057</v>
      </c>
      <c r="U53" s="133">
        <f t="shared" si="75"/>
        <v>19376.747975165057</v>
      </c>
      <c r="V53" s="133">
        <f t="shared" si="75"/>
        <v>19376.747975165057</v>
      </c>
      <c r="W53" s="133">
        <f t="shared" si="75"/>
        <v>19376.747975165057</v>
      </c>
      <c r="X53" s="133">
        <f t="shared" si="75"/>
        <v>20151.817894171661</v>
      </c>
      <c r="Y53" s="133">
        <f t="shared" si="75"/>
        <v>20151.817894171661</v>
      </c>
      <c r="Z53" s="133">
        <f t="shared" si="75"/>
        <v>20151.817894171661</v>
      </c>
      <c r="AA53" s="133">
        <f t="shared" si="75"/>
        <v>20151.817894171661</v>
      </c>
      <c r="AB53" s="133">
        <f t="shared" si="75"/>
        <v>20957.890609938528</v>
      </c>
      <c r="AC53" s="133">
        <f t="shared" si="75"/>
        <v>20957.890609938528</v>
      </c>
      <c r="AD53" s="133">
        <f t="shared" si="75"/>
        <v>20957.890609938528</v>
      </c>
      <c r="AE53" s="133">
        <f t="shared" si="75"/>
        <v>20957.890609938528</v>
      </c>
      <c r="AF53" s="133">
        <f t="shared" si="75"/>
        <v>21796.20623433607</v>
      </c>
      <c r="AG53" s="133">
        <f t="shared" si="75"/>
        <v>21796.20623433607</v>
      </c>
      <c r="AH53" s="133">
        <f t="shared" si="75"/>
        <v>21796.20623433607</v>
      </c>
      <c r="AI53" s="133">
        <f t="shared" si="75"/>
        <v>21796.20623433607</v>
      </c>
      <c r="AJ53" s="133">
        <f t="shared" si="75"/>
        <v>22668.054483709515</v>
      </c>
      <c r="AK53" s="133">
        <f t="shared" si="75"/>
        <v>22668.054483709515</v>
      </c>
      <c r="AL53" s="133">
        <f t="shared" si="75"/>
        <v>22668.054483709515</v>
      </c>
      <c r="AM53" s="133">
        <f t="shared" si="75"/>
        <v>22668.054483709515</v>
      </c>
      <c r="AN53" s="133">
        <f t="shared" si="75"/>
        <v>23574.776663057895</v>
      </c>
      <c r="AO53" s="133">
        <f t="shared" si="75"/>
        <v>23574.776663057895</v>
      </c>
      <c r="AP53" s="133">
        <f t="shared" si="75"/>
        <v>23574.776663057895</v>
      </c>
      <c r="AQ53" s="133">
        <f t="shared" si="75"/>
        <v>23574.776663057895</v>
      </c>
    </row>
    <row r="54" spans="1:43" s="126" customFormat="1" ht="38.25" x14ac:dyDescent="0.2">
      <c r="A54" s="123" t="s">
        <v>238</v>
      </c>
      <c r="B54" s="128" t="s">
        <v>219</v>
      </c>
      <c r="C54" s="123" t="s">
        <v>222</v>
      </c>
      <c r="D54" s="135">
        <f>1000/4</f>
        <v>250</v>
      </c>
      <c r="E54" s="135">
        <f>D54</f>
        <v>250</v>
      </c>
      <c r="F54" s="135">
        <f t="shared" ref="F54:G54" si="76">E54</f>
        <v>250</v>
      </c>
      <c r="G54" s="135">
        <f t="shared" si="76"/>
        <v>250</v>
      </c>
      <c r="H54" s="135">
        <f>G54*H7</f>
        <v>260</v>
      </c>
      <c r="I54" s="135">
        <f t="shared" ref="I54:K56" si="77">H54</f>
        <v>260</v>
      </c>
      <c r="J54" s="135">
        <f t="shared" si="77"/>
        <v>260</v>
      </c>
      <c r="K54" s="135">
        <f t="shared" si="77"/>
        <v>260</v>
      </c>
      <c r="L54" s="135">
        <f>K54*L7</f>
        <v>270.40000000000003</v>
      </c>
      <c r="M54" s="135">
        <f t="shared" ref="M54:O56" si="78">L54</f>
        <v>270.40000000000003</v>
      </c>
      <c r="N54" s="135">
        <f t="shared" si="78"/>
        <v>270.40000000000003</v>
      </c>
      <c r="O54" s="135">
        <f t="shared" si="78"/>
        <v>270.40000000000003</v>
      </c>
      <c r="P54" s="135">
        <f>O54*P7</f>
        <v>281.21600000000007</v>
      </c>
      <c r="Q54" s="135">
        <f t="shared" ref="Q54:S56" si="79">P54</f>
        <v>281.21600000000007</v>
      </c>
      <c r="R54" s="135">
        <f t="shared" si="79"/>
        <v>281.21600000000007</v>
      </c>
      <c r="S54" s="135">
        <f t="shared" si="79"/>
        <v>281.21600000000007</v>
      </c>
      <c r="T54" s="135">
        <f>S54*T7</f>
        <v>292.46464000000009</v>
      </c>
      <c r="U54" s="135">
        <f t="shared" ref="U54:W56" si="80">T54</f>
        <v>292.46464000000009</v>
      </c>
      <c r="V54" s="135">
        <f t="shared" si="80"/>
        <v>292.46464000000009</v>
      </c>
      <c r="W54" s="135">
        <f t="shared" si="80"/>
        <v>292.46464000000009</v>
      </c>
      <c r="X54" s="135">
        <f>W54*X7</f>
        <v>304.16322560000009</v>
      </c>
      <c r="Y54" s="135">
        <f t="shared" ref="Y54:AA56" si="81">X54</f>
        <v>304.16322560000009</v>
      </c>
      <c r="Z54" s="135">
        <f t="shared" si="81"/>
        <v>304.16322560000009</v>
      </c>
      <c r="AA54" s="135">
        <f t="shared" si="81"/>
        <v>304.16322560000009</v>
      </c>
      <c r="AB54" s="135">
        <f>AA54*AB7</f>
        <v>316.32975462400009</v>
      </c>
      <c r="AC54" s="135">
        <f t="shared" ref="AC54:AE56" si="82">AB54</f>
        <v>316.32975462400009</v>
      </c>
      <c r="AD54" s="135">
        <f t="shared" si="82"/>
        <v>316.32975462400009</v>
      </c>
      <c r="AE54" s="135">
        <f t="shared" si="82"/>
        <v>316.32975462400009</v>
      </c>
      <c r="AF54" s="135">
        <f>AE54*AF7</f>
        <v>328.9829448089601</v>
      </c>
      <c r="AG54" s="135">
        <f t="shared" ref="AG54:AI56" si="83">AF54</f>
        <v>328.9829448089601</v>
      </c>
      <c r="AH54" s="135">
        <f t="shared" si="83"/>
        <v>328.9829448089601</v>
      </c>
      <c r="AI54" s="135">
        <f t="shared" si="83"/>
        <v>328.9829448089601</v>
      </c>
      <c r="AJ54" s="135">
        <f>AI54*AJ7</f>
        <v>342.14226260131852</v>
      </c>
      <c r="AK54" s="135">
        <f t="shared" ref="AK54:AM56" si="84">AJ54</f>
        <v>342.14226260131852</v>
      </c>
      <c r="AL54" s="135">
        <f t="shared" si="84"/>
        <v>342.14226260131852</v>
      </c>
      <c r="AM54" s="135">
        <f t="shared" si="84"/>
        <v>342.14226260131852</v>
      </c>
      <c r="AN54" s="135">
        <f>AM54*AN7</f>
        <v>355.82795310537125</v>
      </c>
      <c r="AO54" s="135">
        <f t="shared" ref="AO54:AQ56" si="85">AN54</f>
        <v>355.82795310537125</v>
      </c>
      <c r="AP54" s="135">
        <f t="shared" si="85"/>
        <v>355.82795310537125</v>
      </c>
      <c r="AQ54" s="135">
        <f t="shared" si="85"/>
        <v>355.82795310537125</v>
      </c>
    </row>
    <row r="55" spans="1:43" s="126" customFormat="1" ht="25.5" x14ac:dyDescent="0.2">
      <c r="A55" s="123" t="s">
        <v>239</v>
      </c>
      <c r="B55" s="128" t="s">
        <v>220</v>
      </c>
      <c r="C55" s="123" t="s">
        <v>222</v>
      </c>
      <c r="D55" s="135">
        <f>2307.69/4</f>
        <v>576.92250000000001</v>
      </c>
      <c r="E55" s="135">
        <f>D55</f>
        <v>576.92250000000001</v>
      </c>
      <c r="F55" s="135">
        <f t="shared" ref="F55:G56" si="86">E55</f>
        <v>576.92250000000001</v>
      </c>
      <c r="G55" s="135">
        <f t="shared" si="86"/>
        <v>576.92250000000001</v>
      </c>
      <c r="H55" s="135">
        <f>G55*H7</f>
        <v>599.99940000000004</v>
      </c>
      <c r="I55" s="135">
        <f t="shared" si="77"/>
        <v>599.99940000000004</v>
      </c>
      <c r="J55" s="135">
        <f t="shared" si="77"/>
        <v>599.99940000000004</v>
      </c>
      <c r="K55" s="135">
        <f t="shared" si="77"/>
        <v>599.99940000000004</v>
      </c>
      <c r="L55" s="135">
        <f>K55*L7</f>
        <v>623.9993760000001</v>
      </c>
      <c r="M55" s="135">
        <f t="shared" si="78"/>
        <v>623.9993760000001</v>
      </c>
      <c r="N55" s="135">
        <f t="shared" si="78"/>
        <v>623.9993760000001</v>
      </c>
      <c r="O55" s="135">
        <f t="shared" si="78"/>
        <v>623.9993760000001</v>
      </c>
      <c r="P55" s="135">
        <f>O55*P7</f>
        <v>648.95935104000012</v>
      </c>
      <c r="Q55" s="135">
        <f t="shared" si="79"/>
        <v>648.95935104000012</v>
      </c>
      <c r="R55" s="135">
        <f t="shared" si="79"/>
        <v>648.95935104000012</v>
      </c>
      <c r="S55" s="135">
        <f t="shared" si="79"/>
        <v>648.95935104000012</v>
      </c>
      <c r="T55" s="135">
        <f>S55*T7</f>
        <v>674.91772508160011</v>
      </c>
      <c r="U55" s="135">
        <f t="shared" si="80"/>
        <v>674.91772508160011</v>
      </c>
      <c r="V55" s="135">
        <f t="shared" si="80"/>
        <v>674.91772508160011</v>
      </c>
      <c r="W55" s="135">
        <f t="shared" si="80"/>
        <v>674.91772508160011</v>
      </c>
      <c r="X55" s="135">
        <f>W55*X7</f>
        <v>701.91443408486418</v>
      </c>
      <c r="Y55" s="135">
        <f t="shared" si="81"/>
        <v>701.91443408486418</v>
      </c>
      <c r="Z55" s="135">
        <f t="shared" si="81"/>
        <v>701.91443408486418</v>
      </c>
      <c r="AA55" s="135">
        <f t="shared" si="81"/>
        <v>701.91443408486418</v>
      </c>
      <c r="AB55" s="135">
        <f>AA55*AB7</f>
        <v>729.99101144825875</v>
      </c>
      <c r="AC55" s="135">
        <f t="shared" si="82"/>
        <v>729.99101144825875</v>
      </c>
      <c r="AD55" s="135">
        <f t="shared" si="82"/>
        <v>729.99101144825875</v>
      </c>
      <c r="AE55" s="135">
        <f t="shared" si="82"/>
        <v>729.99101144825875</v>
      </c>
      <c r="AF55" s="135">
        <f>AE55*AF7</f>
        <v>759.19065190618915</v>
      </c>
      <c r="AG55" s="135">
        <f t="shared" si="83"/>
        <v>759.19065190618915</v>
      </c>
      <c r="AH55" s="135">
        <f t="shared" si="83"/>
        <v>759.19065190618915</v>
      </c>
      <c r="AI55" s="135">
        <f t="shared" si="83"/>
        <v>759.19065190618915</v>
      </c>
      <c r="AJ55" s="135">
        <f>AI55*AJ7</f>
        <v>789.55827798243672</v>
      </c>
      <c r="AK55" s="135">
        <f t="shared" si="84"/>
        <v>789.55827798243672</v>
      </c>
      <c r="AL55" s="135">
        <f t="shared" si="84"/>
        <v>789.55827798243672</v>
      </c>
      <c r="AM55" s="135">
        <f t="shared" si="84"/>
        <v>789.55827798243672</v>
      </c>
      <c r="AN55" s="135">
        <f>AM55*AN7</f>
        <v>821.14060910173419</v>
      </c>
      <c r="AO55" s="135">
        <f t="shared" si="85"/>
        <v>821.14060910173419</v>
      </c>
      <c r="AP55" s="135">
        <f t="shared" si="85"/>
        <v>821.14060910173419</v>
      </c>
      <c r="AQ55" s="135">
        <f t="shared" si="85"/>
        <v>821.14060910173419</v>
      </c>
    </row>
    <row r="56" spans="1:43" s="126" customFormat="1" ht="12.75" x14ac:dyDescent="0.2">
      <c r="A56" s="132" t="s">
        <v>240</v>
      </c>
      <c r="B56" s="124" t="s">
        <v>221</v>
      </c>
      <c r="C56" s="123" t="s">
        <v>222</v>
      </c>
      <c r="D56" s="133">
        <f>E114*3/C63</f>
        <v>12086.330935251799</v>
      </c>
      <c r="E56" s="133">
        <f>D56</f>
        <v>12086.330935251799</v>
      </c>
      <c r="F56" s="133">
        <f t="shared" si="86"/>
        <v>12086.330935251799</v>
      </c>
      <c r="G56" s="133">
        <f t="shared" si="86"/>
        <v>12086.330935251799</v>
      </c>
      <c r="H56" s="133">
        <f>G56*H7</f>
        <v>12569.784172661872</v>
      </c>
      <c r="I56" s="133">
        <f t="shared" si="77"/>
        <v>12569.784172661872</v>
      </c>
      <c r="J56" s="133">
        <f t="shared" si="77"/>
        <v>12569.784172661872</v>
      </c>
      <c r="K56" s="133">
        <f t="shared" si="77"/>
        <v>12569.784172661872</v>
      </c>
      <c r="L56" s="133">
        <f>K56*L7</f>
        <v>13072.575539568346</v>
      </c>
      <c r="M56" s="133">
        <f t="shared" si="78"/>
        <v>13072.575539568346</v>
      </c>
      <c r="N56" s="133">
        <f t="shared" si="78"/>
        <v>13072.575539568346</v>
      </c>
      <c r="O56" s="133">
        <f t="shared" si="78"/>
        <v>13072.575539568346</v>
      </c>
      <c r="P56" s="133">
        <f>O56*P7</f>
        <v>13595.478561151082</v>
      </c>
      <c r="Q56" s="133">
        <f t="shared" si="79"/>
        <v>13595.478561151082</v>
      </c>
      <c r="R56" s="133">
        <f t="shared" si="79"/>
        <v>13595.478561151082</v>
      </c>
      <c r="S56" s="133">
        <f t="shared" si="79"/>
        <v>13595.478561151082</v>
      </c>
      <c r="T56" s="133">
        <f>S56*T7</f>
        <v>14139.297703597125</v>
      </c>
      <c r="U56" s="133">
        <f t="shared" si="80"/>
        <v>14139.297703597125</v>
      </c>
      <c r="V56" s="133">
        <f t="shared" si="80"/>
        <v>14139.297703597125</v>
      </c>
      <c r="W56" s="133">
        <f t="shared" si="80"/>
        <v>14139.297703597125</v>
      </c>
      <c r="X56" s="133">
        <f>W56*X7</f>
        <v>14704.869611741011</v>
      </c>
      <c r="Y56" s="133">
        <f t="shared" si="81"/>
        <v>14704.869611741011</v>
      </c>
      <c r="Z56" s="133">
        <f t="shared" si="81"/>
        <v>14704.869611741011</v>
      </c>
      <c r="AA56" s="133">
        <f t="shared" si="81"/>
        <v>14704.869611741011</v>
      </c>
      <c r="AB56" s="133">
        <f>AA56*AB7</f>
        <v>15293.064396210651</v>
      </c>
      <c r="AC56" s="133">
        <f t="shared" si="82"/>
        <v>15293.064396210651</v>
      </c>
      <c r="AD56" s="133">
        <f t="shared" si="82"/>
        <v>15293.064396210651</v>
      </c>
      <c r="AE56" s="133">
        <f t="shared" si="82"/>
        <v>15293.064396210651</v>
      </c>
      <c r="AF56" s="133">
        <f>AE56*AF7</f>
        <v>15904.786972059079</v>
      </c>
      <c r="AG56" s="133">
        <f t="shared" si="83"/>
        <v>15904.786972059079</v>
      </c>
      <c r="AH56" s="133">
        <f t="shared" si="83"/>
        <v>15904.786972059079</v>
      </c>
      <c r="AI56" s="133">
        <f t="shared" si="83"/>
        <v>15904.786972059079</v>
      </c>
      <c r="AJ56" s="133">
        <f>AI56*AJ7</f>
        <v>16540.978450941442</v>
      </c>
      <c r="AK56" s="133">
        <f t="shared" si="84"/>
        <v>16540.978450941442</v>
      </c>
      <c r="AL56" s="133">
        <f t="shared" si="84"/>
        <v>16540.978450941442</v>
      </c>
      <c r="AM56" s="133">
        <f t="shared" si="84"/>
        <v>16540.978450941442</v>
      </c>
      <c r="AN56" s="133">
        <f>AM56*AN7</f>
        <v>17202.617588979101</v>
      </c>
      <c r="AO56" s="133">
        <f t="shared" si="85"/>
        <v>17202.617588979101</v>
      </c>
      <c r="AP56" s="133">
        <f t="shared" si="85"/>
        <v>17202.617588979101</v>
      </c>
      <c r="AQ56" s="133">
        <f t="shared" si="85"/>
        <v>17202.617588979101</v>
      </c>
    </row>
    <row r="57" spans="1:43" s="126" customFormat="1" ht="12.75" x14ac:dyDescent="0.2">
      <c r="A57" s="123" t="s">
        <v>241</v>
      </c>
      <c r="B57" s="125" t="s">
        <v>242</v>
      </c>
      <c r="C57" s="123" t="s">
        <v>222</v>
      </c>
      <c r="D57" s="133">
        <f>D56*0.302</f>
        <v>3650.0719424460431</v>
      </c>
      <c r="E57" s="133">
        <f t="shared" ref="E57:AQ57" si="87">E56*0.302</f>
        <v>3650.0719424460431</v>
      </c>
      <c r="F57" s="133">
        <f t="shared" si="87"/>
        <v>3650.0719424460431</v>
      </c>
      <c r="G57" s="133">
        <f t="shared" si="87"/>
        <v>3650.0719424460431</v>
      </c>
      <c r="H57" s="133">
        <f t="shared" si="87"/>
        <v>3796.0748201438851</v>
      </c>
      <c r="I57" s="133">
        <f t="shared" si="87"/>
        <v>3796.0748201438851</v>
      </c>
      <c r="J57" s="133">
        <f t="shared" si="87"/>
        <v>3796.0748201438851</v>
      </c>
      <c r="K57" s="133">
        <f t="shared" si="87"/>
        <v>3796.0748201438851</v>
      </c>
      <c r="L57" s="133">
        <f t="shared" si="87"/>
        <v>3947.9178129496404</v>
      </c>
      <c r="M57" s="133">
        <f t="shared" si="87"/>
        <v>3947.9178129496404</v>
      </c>
      <c r="N57" s="133">
        <f t="shared" si="87"/>
        <v>3947.9178129496404</v>
      </c>
      <c r="O57" s="133">
        <f t="shared" si="87"/>
        <v>3947.9178129496404</v>
      </c>
      <c r="P57" s="133">
        <f t="shared" si="87"/>
        <v>4105.8345254676269</v>
      </c>
      <c r="Q57" s="133">
        <f t="shared" si="87"/>
        <v>4105.8345254676269</v>
      </c>
      <c r="R57" s="133">
        <f t="shared" si="87"/>
        <v>4105.8345254676269</v>
      </c>
      <c r="S57" s="133">
        <f t="shared" si="87"/>
        <v>4105.8345254676269</v>
      </c>
      <c r="T57" s="133">
        <f t="shared" si="87"/>
        <v>4270.0679064863316</v>
      </c>
      <c r="U57" s="133">
        <f t="shared" si="87"/>
        <v>4270.0679064863316</v>
      </c>
      <c r="V57" s="133">
        <f t="shared" si="87"/>
        <v>4270.0679064863316</v>
      </c>
      <c r="W57" s="133">
        <f t="shared" si="87"/>
        <v>4270.0679064863316</v>
      </c>
      <c r="X57" s="133">
        <f t="shared" si="87"/>
        <v>4440.8706227457851</v>
      </c>
      <c r="Y57" s="133">
        <f t="shared" si="87"/>
        <v>4440.8706227457851</v>
      </c>
      <c r="Z57" s="133">
        <f t="shared" si="87"/>
        <v>4440.8706227457851</v>
      </c>
      <c r="AA57" s="133">
        <f t="shared" si="87"/>
        <v>4440.8706227457851</v>
      </c>
      <c r="AB57" s="133">
        <f t="shared" si="87"/>
        <v>4618.505447655617</v>
      </c>
      <c r="AC57" s="133">
        <f t="shared" si="87"/>
        <v>4618.505447655617</v>
      </c>
      <c r="AD57" s="133">
        <f t="shared" si="87"/>
        <v>4618.505447655617</v>
      </c>
      <c r="AE57" s="133">
        <f t="shared" si="87"/>
        <v>4618.505447655617</v>
      </c>
      <c r="AF57" s="133">
        <f t="shared" si="87"/>
        <v>4803.2456655618416</v>
      </c>
      <c r="AG57" s="133">
        <f t="shared" si="87"/>
        <v>4803.2456655618416</v>
      </c>
      <c r="AH57" s="133">
        <f t="shared" si="87"/>
        <v>4803.2456655618416</v>
      </c>
      <c r="AI57" s="133">
        <f t="shared" si="87"/>
        <v>4803.2456655618416</v>
      </c>
      <c r="AJ57" s="133">
        <f t="shared" si="87"/>
        <v>4995.3754921843156</v>
      </c>
      <c r="AK57" s="133">
        <f t="shared" si="87"/>
        <v>4995.3754921843156</v>
      </c>
      <c r="AL57" s="133">
        <f t="shared" si="87"/>
        <v>4995.3754921843156</v>
      </c>
      <c r="AM57" s="133">
        <f t="shared" si="87"/>
        <v>4995.3754921843156</v>
      </c>
      <c r="AN57" s="133">
        <f t="shared" si="87"/>
        <v>5195.1905118716886</v>
      </c>
      <c r="AO57" s="133">
        <f t="shared" si="87"/>
        <v>5195.1905118716886</v>
      </c>
      <c r="AP57" s="133">
        <f t="shared" si="87"/>
        <v>5195.1905118716886</v>
      </c>
      <c r="AQ57" s="133">
        <f t="shared" si="87"/>
        <v>5195.1905118716886</v>
      </c>
    </row>
    <row r="58" spans="1:43" s="126" customFormat="1" ht="12.75" x14ac:dyDescent="0.2">
      <c r="A58" s="123"/>
      <c r="B58" s="125" t="s">
        <v>39</v>
      </c>
      <c r="C58" s="123" t="s">
        <v>222</v>
      </c>
      <c r="D58" s="133">
        <f t="shared" ref="D58:AQ58" si="88">D30+D31+D32+D43+D49+D53+D56+D57</f>
        <v>94308.570755395674</v>
      </c>
      <c r="E58" s="133">
        <f t="shared" si="88"/>
        <v>88923.950755395679</v>
      </c>
      <c r="F58" s="133">
        <f t="shared" si="88"/>
        <v>88923.950755395679</v>
      </c>
      <c r="G58" s="133">
        <f t="shared" si="88"/>
        <v>97782.490755395673</v>
      </c>
      <c r="H58" s="133">
        <f t="shared" si="88"/>
        <v>125038.9843856115</v>
      </c>
      <c r="I58" s="133">
        <f t="shared" si="88"/>
        <v>94100.909585611502</v>
      </c>
      <c r="J58" s="133">
        <f t="shared" si="88"/>
        <v>94100.909585611502</v>
      </c>
      <c r="K58" s="133">
        <f t="shared" si="88"/>
        <v>103088.6803856115</v>
      </c>
      <c r="L58" s="133">
        <f t="shared" si="88"/>
        <v>103085.75096103597</v>
      </c>
      <c r="M58" s="133">
        <f t="shared" si="88"/>
        <v>97864.94596903598</v>
      </c>
      <c r="N58" s="133">
        <f t="shared" si="88"/>
        <v>97864.94596903598</v>
      </c>
      <c r="O58" s="133">
        <f t="shared" si="88"/>
        <v>106987.11680103597</v>
      </c>
      <c r="P58" s="133">
        <f t="shared" si="88"/>
        <v>107209.18099947739</v>
      </c>
      <c r="Q58" s="133">
        <f t="shared" si="88"/>
        <v>101779.54380779742</v>
      </c>
      <c r="R58" s="133">
        <f t="shared" si="88"/>
        <v>101779.54380779742</v>
      </c>
      <c r="S58" s="133">
        <f t="shared" si="88"/>
        <v>111510.47067307742</v>
      </c>
      <c r="T58" s="133">
        <f t="shared" si="88"/>
        <v>111497.54823945653</v>
      </c>
      <c r="U58" s="133">
        <f t="shared" si="88"/>
        <v>105850.72556010933</v>
      </c>
      <c r="V58" s="133">
        <f t="shared" si="88"/>
        <v>105850.72556010933</v>
      </c>
      <c r="W58" s="133">
        <f t="shared" si="88"/>
        <v>128923.43950000053</v>
      </c>
      <c r="X58" s="133">
        <f t="shared" si="88"/>
        <v>115957.4501690348</v>
      </c>
      <c r="Y58" s="133">
        <f t="shared" si="88"/>
        <v>110084.75458251371</v>
      </c>
      <c r="Z58" s="133">
        <f t="shared" si="88"/>
        <v>110084.75458251371</v>
      </c>
      <c r="AA58" s="133">
        <f t="shared" si="88"/>
        <v>120112.23028000056</v>
      </c>
      <c r="AB58" s="133">
        <f t="shared" si="88"/>
        <v>120595.74817579619</v>
      </c>
      <c r="AC58" s="133">
        <f t="shared" si="88"/>
        <v>114488.14476581426</v>
      </c>
      <c r="AD58" s="133">
        <f t="shared" si="88"/>
        <v>114488.14476581426</v>
      </c>
      <c r="AE58" s="133">
        <f t="shared" si="88"/>
        <v>137869.2694912006</v>
      </c>
      <c r="AF58" s="133">
        <f t="shared" si="88"/>
        <v>125419.57810282805</v>
      </c>
      <c r="AG58" s="133">
        <f t="shared" si="88"/>
        <v>119067.67055644684</v>
      </c>
      <c r="AH58" s="133">
        <f t="shared" si="88"/>
        <v>119067.67055644684</v>
      </c>
      <c r="AI58" s="133">
        <f t="shared" si="88"/>
        <v>129415.89347084862</v>
      </c>
      <c r="AJ58" s="133">
        <f t="shared" si="88"/>
        <v>130436.36122694118</v>
      </c>
      <c r="AK58" s="133">
        <f t="shared" si="88"/>
        <v>123830.37737870471</v>
      </c>
      <c r="AL58" s="133">
        <f t="shared" si="88"/>
        <v>123830.37737870471</v>
      </c>
      <c r="AM58" s="133">
        <f t="shared" si="88"/>
        <v>134348.65920968255</v>
      </c>
      <c r="AN58" s="133">
        <f t="shared" si="88"/>
        <v>135653.81567601883</v>
      </c>
      <c r="AO58" s="133">
        <f t="shared" si="88"/>
        <v>128783.5924738529</v>
      </c>
      <c r="AP58" s="133">
        <f t="shared" si="88"/>
        <v>128783.5924738529</v>
      </c>
      <c r="AQ58" s="133">
        <f t="shared" si="88"/>
        <v>152675.15557806985</v>
      </c>
    </row>
    <row r="59" spans="1:43" s="36" customFormat="1" x14ac:dyDescent="0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43" s="36" customFormat="1" x14ac:dyDescent="0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43" s="36" customFormat="1" x14ac:dyDescent="0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43" s="36" customFormat="1" x14ac:dyDescent="0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43" s="36" customFormat="1" x14ac:dyDescent="0.25">
      <c r="A63" s="118"/>
      <c r="B63" s="118" t="s">
        <v>194</v>
      </c>
      <c r="C63" s="118">
        <v>69.5</v>
      </c>
      <c r="D63" s="118"/>
      <c r="E63" s="118"/>
      <c r="F63" s="118"/>
      <c r="G63" s="118"/>
      <c r="H63" s="118"/>
      <c r="I63" s="118"/>
      <c r="J63" s="118"/>
      <c r="K63" s="118"/>
    </row>
    <row r="64" spans="1:43" s="36" customFormat="1" x14ac:dyDescent="0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43" s="57" customFormat="1" x14ac:dyDescent="0.25">
      <c r="A65" s="245" t="s">
        <v>193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</row>
    <row r="66" spans="1:43" x14ac:dyDescent="0.25">
      <c r="A66" s="73" t="s">
        <v>37</v>
      </c>
      <c r="B66" s="73" t="s">
        <v>54</v>
      </c>
      <c r="C66" s="73" t="s">
        <v>55</v>
      </c>
      <c r="D66" s="73" t="s">
        <v>70</v>
      </c>
      <c r="E66" s="73" t="s">
        <v>71</v>
      </c>
      <c r="F66" s="73" t="s">
        <v>72</v>
      </c>
      <c r="G66" s="73" t="s">
        <v>73</v>
      </c>
      <c r="H66" s="73" t="s">
        <v>74</v>
      </c>
      <c r="I66" s="73" t="s">
        <v>75</v>
      </c>
      <c r="J66" s="73" t="s">
        <v>76</v>
      </c>
      <c r="K66" s="73" t="s">
        <v>77</v>
      </c>
      <c r="L66" s="73" t="s">
        <v>78</v>
      </c>
      <c r="M66" s="73" t="s">
        <v>79</v>
      </c>
      <c r="N66" s="73" t="s">
        <v>80</v>
      </c>
      <c r="O66" s="73" t="s">
        <v>81</v>
      </c>
      <c r="P66" s="73" t="s">
        <v>82</v>
      </c>
      <c r="Q66" s="73" t="s">
        <v>83</v>
      </c>
      <c r="R66" s="73" t="s">
        <v>84</v>
      </c>
      <c r="S66" s="73" t="s">
        <v>85</v>
      </c>
      <c r="T66" s="73" t="s">
        <v>86</v>
      </c>
      <c r="U66" s="73" t="s">
        <v>87</v>
      </c>
      <c r="V66" s="73" t="s">
        <v>88</v>
      </c>
      <c r="W66" s="73" t="s">
        <v>89</v>
      </c>
      <c r="X66" s="73" t="s">
        <v>90</v>
      </c>
      <c r="Y66" s="73" t="s">
        <v>91</v>
      </c>
      <c r="Z66" s="73" t="s">
        <v>92</v>
      </c>
      <c r="AA66" s="73" t="s">
        <v>93</v>
      </c>
      <c r="AB66" s="73" t="s">
        <v>94</v>
      </c>
      <c r="AC66" s="73" t="s">
        <v>95</v>
      </c>
      <c r="AD66" s="73" t="s">
        <v>96</v>
      </c>
      <c r="AE66" s="73" t="s">
        <v>97</v>
      </c>
      <c r="AF66" s="73" t="s">
        <v>98</v>
      </c>
      <c r="AG66" s="73" t="s">
        <v>99</v>
      </c>
      <c r="AH66" s="73" t="s">
        <v>100</v>
      </c>
      <c r="AI66" s="73" t="s">
        <v>101</v>
      </c>
      <c r="AJ66" s="73" t="s">
        <v>169</v>
      </c>
      <c r="AK66" s="73" t="s">
        <v>170</v>
      </c>
      <c r="AL66" s="73" t="s">
        <v>171</v>
      </c>
      <c r="AM66" s="73" t="s">
        <v>172</v>
      </c>
      <c r="AN66" s="73" t="s">
        <v>173</v>
      </c>
      <c r="AO66" s="73" t="s">
        <v>174</v>
      </c>
      <c r="AP66" s="73" t="s">
        <v>175</v>
      </c>
      <c r="AQ66" s="73" t="s">
        <v>176</v>
      </c>
    </row>
    <row r="67" spans="1:43" s="39" customFormat="1" x14ac:dyDescent="0.25">
      <c r="A67" s="116">
        <f>A30</f>
        <v>1</v>
      </c>
      <c r="B67" s="140" t="str">
        <f>B30</f>
        <v>Mатериал для проведения регламентных работ</v>
      </c>
      <c r="C67" s="116" t="s">
        <v>57</v>
      </c>
      <c r="D67" s="117">
        <f>D30*$C$63</f>
        <v>779095</v>
      </c>
      <c r="E67" s="117">
        <f t="shared" ref="E67:AQ67" si="89">E30*$C$63</f>
        <v>779095</v>
      </c>
      <c r="F67" s="117">
        <f t="shared" si="89"/>
        <v>779095</v>
      </c>
      <c r="G67" s="117">
        <f t="shared" si="89"/>
        <v>779095</v>
      </c>
      <c r="H67" s="117">
        <f t="shared" si="89"/>
        <v>810258.79999999993</v>
      </c>
      <c r="I67" s="117">
        <f t="shared" si="89"/>
        <v>810258.79999999993</v>
      </c>
      <c r="J67" s="117">
        <f t="shared" si="89"/>
        <v>810258.79999999993</v>
      </c>
      <c r="K67" s="117">
        <f t="shared" si="89"/>
        <v>810258.79999999993</v>
      </c>
      <c r="L67" s="117">
        <f t="shared" si="89"/>
        <v>842669.152</v>
      </c>
      <c r="M67" s="117">
        <f t="shared" si="89"/>
        <v>842669.152</v>
      </c>
      <c r="N67" s="117">
        <f t="shared" si="89"/>
        <v>842669.152</v>
      </c>
      <c r="O67" s="117">
        <f t="shared" si="89"/>
        <v>842669.152</v>
      </c>
      <c r="P67" s="117">
        <f t="shared" si="89"/>
        <v>876375.91808000009</v>
      </c>
      <c r="Q67" s="117">
        <f t="shared" si="89"/>
        <v>876375.91808000009</v>
      </c>
      <c r="R67" s="117">
        <f t="shared" si="89"/>
        <v>876375.91808000009</v>
      </c>
      <c r="S67" s="117">
        <f t="shared" si="89"/>
        <v>876375.91808000009</v>
      </c>
      <c r="T67" s="117">
        <f t="shared" si="89"/>
        <v>911430.95480320021</v>
      </c>
      <c r="U67" s="117">
        <f t="shared" si="89"/>
        <v>911430.95480320021</v>
      </c>
      <c r="V67" s="117">
        <f t="shared" si="89"/>
        <v>911430.95480320021</v>
      </c>
      <c r="W67" s="117">
        <f t="shared" si="89"/>
        <v>911430.95480320021</v>
      </c>
      <c r="X67" s="117">
        <f t="shared" si="89"/>
        <v>947888.19299532822</v>
      </c>
      <c r="Y67" s="117">
        <f t="shared" si="89"/>
        <v>947888.19299532822</v>
      </c>
      <c r="Z67" s="117">
        <f t="shared" si="89"/>
        <v>947888.19299532822</v>
      </c>
      <c r="AA67" s="117">
        <f t="shared" si="89"/>
        <v>947888.19299532822</v>
      </c>
      <c r="AB67" s="117">
        <f t="shared" si="89"/>
        <v>985803.72071514139</v>
      </c>
      <c r="AC67" s="117">
        <f t="shared" si="89"/>
        <v>985803.72071514139</v>
      </c>
      <c r="AD67" s="117">
        <f t="shared" si="89"/>
        <v>985803.72071514139</v>
      </c>
      <c r="AE67" s="117">
        <f t="shared" si="89"/>
        <v>985803.72071514139</v>
      </c>
      <c r="AF67" s="117">
        <f t="shared" si="89"/>
        <v>1025235.8695437472</v>
      </c>
      <c r="AG67" s="117">
        <f t="shared" si="89"/>
        <v>1025235.8695437472</v>
      </c>
      <c r="AH67" s="117">
        <f t="shared" si="89"/>
        <v>1025235.8695437472</v>
      </c>
      <c r="AI67" s="117">
        <f t="shared" si="89"/>
        <v>1025235.8695437472</v>
      </c>
      <c r="AJ67" s="117">
        <f t="shared" si="89"/>
        <v>1066245.304325497</v>
      </c>
      <c r="AK67" s="117">
        <f t="shared" si="89"/>
        <v>1066245.304325497</v>
      </c>
      <c r="AL67" s="117">
        <f t="shared" si="89"/>
        <v>1066245.304325497</v>
      </c>
      <c r="AM67" s="117">
        <f t="shared" si="89"/>
        <v>1066245.304325497</v>
      </c>
      <c r="AN67" s="117">
        <f t="shared" si="89"/>
        <v>1108895.1164985169</v>
      </c>
      <c r="AO67" s="117">
        <f t="shared" si="89"/>
        <v>1108895.1164985169</v>
      </c>
      <c r="AP67" s="117">
        <f t="shared" si="89"/>
        <v>1108895.1164985169</v>
      </c>
      <c r="AQ67" s="117">
        <f t="shared" si="89"/>
        <v>1108895.1164985169</v>
      </c>
    </row>
    <row r="68" spans="1:43" s="39" customFormat="1" x14ac:dyDescent="0.25">
      <c r="A68" s="116">
        <f t="shared" ref="A68:B68" si="90">A31</f>
        <v>2</v>
      </c>
      <c r="B68" s="140" t="str">
        <f t="shared" si="90"/>
        <v>Офисные затраты</v>
      </c>
      <c r="C68" s="116" t="s">
        <v>57</v>
      </c>
      <c r="D68" s="117">
        <f>D31*$C$63</f>
        <v>192461.48500000002</v>
      </c>
      <c r="E68" s="117">
        <f t="shared" ref="E68:AQ74" si="91">E31*$C$63</f>
        <v>192461.48500000002</v>
      </c>
      <c r="F68" s="117">
        <f t="shared" si="91"/>
        <v>192461.48500000002</v>
      </c>
      <c r="G68" s="117">
        <f t="shared" si="91"/>
        <v>192461.48500000002</v>
      </c>
      <c r="H68" s="117">
        <f t="shared" si="91"/>
        <v>312750</v>
      </c>
      <c r="I68" s="117">
        <f t="shared" si="91"/>
        <v>312750</v>
      </c>
      <c r="J68" s="117">
        <f t="shared" si="91"/>
        <v>312750</v>
      </c>
      <c r="K68" s="117">
        <f t="shared" si="91"/>
        <v>312750</v>
      </c>
      <c r="L68" s="117">
        <f t="shared" si="91"/>
        <v>325260</v>
      </c>
      <c r="M68" s="117">
        <f t="shared" si="91"/>
        <v>325260</v>
      </c>
      <c r="N68" s="117">
        <f t="shared" si="91"/>
        <v>325260</v>
      </c>
      <c r="O68" s="117">
        <f t="shared" si="91"/>
        <v>325260</v>
      </c>
      <c r="P68" s="117">
        <f t="shared" si="91"/>
        <v>338270.39999999997</v>
      </c>
      <c r="Q68" s="117">
        <f t="shared" si="91"/>
        <v>338270.39999999997</v>
      </c>
      <c r="R68" s="117">
        <f t="shared" si="91"/>
        <v>338270.39999999997</v>
      </c>
      <c r="S68" s="117">
        <f t="shared" si="91"/>
        <v>338270.39999999997</v>
      </c>
      <c r="T68" s="117">
        <f t="shared" si="91"/>
        <v>351801.21600000001</v>
      </c>
      <c r="U68" s="117">
        <f t="shared" si="91"/>
        <v>351801.21600000001</v>
      </c>
      <c r="V68" s="117">
        <f t="shared" si="91"/>
        <v>351801.21600000001</v>
      </c>
      <c r="W68" s="117">
        <f t="shared" si="91"/>
        <v>351801.21600000001</v>
      </c>
      <c r="X68" s="117">
        <f t="shared" si="91"/>
        <v>365873.26464000001</v>
      </c>
      <c r="Y68" s="117">
        <f t="shared" si="91"/>
        <v>365873.26464000001</v>
      </c>
      <c r="Z68" s="117">
        <f t="shared" si="91"/>
        <v>365873.26464000001</v>
      </c>
      <c r="AA68" s="117">
        <f t="shared" si="91"/>
        <v>365873.26464000001</v>
      </c>
      <c r="AB68" s="117">
        <f t="shared" si="91"/>
        <v>380508.19522560004</v>
      </c>
      <c r="AC68" s="117">
        <f t="shared" si="91"/>
        <v>380508.19522560004</v>
      </c>
      <c r="AD68" s="117">
        <f t="shared" si="91"/>
        <v>380508.19522560004</v>
      </c>
      <c r="AE68" s="117">
        <f t="shared" si="91"/>
        <v>380508.19522560004</v>
      </c>
      <c r="AF68" s="117">
        <f t="shared" si="91"/>
        <v>395728.52303462406</v>
      </c>
      <c r="AG68" s="117">
        <f t="shared" si="91"/>
        <v>395728.52303462406</v>
      </c>
      <c r="AH68" s="117">
        <f t="shared" si="91"/>
        <v>395728.52303462406</v>
      </c>
      <c r="AI68" s="117">
        <f t="shared" si="91"/>
        <v>395728.52303462406</v>
      </c>
      <c r="AJ68" s="117">
        <f t="shared" si="91"/>
        <v>411557.66395600897</v>
      </c>
      <c r="AK68" s="117">
        <f t="shared" si="91"/>
        <v>411557.66395600897</v>
      </c>
      <c r="AL68" s="117">
        <f t="shared" si="91"/>
        <v>411557.66395600897</v>
      </c>
      <c r="AM68" s="117">
        <f t="shared" si="91"/>
        <v>411557.66395600897</v>
      </c>
      <c r="AN68" s="117">
        <f t="shared" si="91"/>
        <v>428019.97051424935</v>
      </c>
      <c r="AO68" s="117">
        <f t="shared" si="91"/>
        <v>428019.97051424935</v>
      </c>
      <c r="AP68" s="117">
        <f t="shared" si="91"/>
        <v>428019.97051424935</v>
      </c>
      <c r="AQ68" s="117">
        <f t="shared" si="91"/>
        <v>428019.97051424935</v>
      </c>
    </row>
    <row r="69" spans="1:43" s="39" customFormat="1" x14ac:dyDescent="0.25">
      <c r="A69" s="116">
        <f t="shared" ref="A69:B69" si="92">A32</f>
        <v>3</v>
      </c>
      <c r="B69" s="140" t="str">
        <f t="shared" si="92"/>
        <v>Техническая поддержка, обучение, программы</v>
      </c>
      <c r="C69" s="116" t="s">
        <v>57</v>
      </c>
      <c r="D69" s="117">
        <f t="shared" ref="D69:S94" si="93">D32*$C$63</f>
        <v>1208260.10625</v>
      </c>
      <c r="E69" s="117">
        <f t="shared" si="93"/>
        <v>834029.01624999999</v>
      </c>
      <c r="F69" s="117">
        <f t="shared" si="93"/>
        <v>834029.01624999999</v>
      </c>
      <c r="G69" s="117">
        <f t="shared" si="93"/>
        <v>1449697.5462500001</v>
      </c>
      <c r="H69" s="117">
        <f t="shared" si="93"/>
        <v>3017586.3754999992</v>
      </c>
      <c r="I69" s="117">
        <f t="shared" si="93"/>
        <v>867390.17689999996</v>
      </c>
      <c r="J69" s="117">
        <f t="shared" si="93"/>
        <v>867390.17689999996</v>
      </c>
      <c r="K69" s="117">
        <f t="shared" si="93"/>
        <v>1492040.2475000001</v>
      </c>
      <c r="L69" s="117">
        <f t="shared" si="93"/>
        <v>1264931.73092</v>
      </c>
      <c r="M69" s="117">
        <f t="shared" si="93"/>
        <v>902085.78397599992</v>
      </c>
      <c r="N69" s="117">
        <f t="shared" si="93"/>
        <v>902085.78397599992</v>
      </c>
      <c r="O69" s="117">
        <f t="shared" si="93"/>
        <v>1536076.6568</v>
      </c>
      <c r="P69" s="117">
        <f t="shared" si="93"/>
        <v>1315529.0001568</v>
      </c>
      <c r="Q69" s="117">
        <f t="shared" si="93"/>
        <v>938169.21533504012</v>
      </c>
      <c r="R69" s="117">
        <f t="shared" si="93"/>
        <v>938169.21533504012</v>
      </c>
      <c r="S69" s="117">
        <f t="shared" si="93"/>
        <v>1614468.6324720003</v>
      </c>
      <c r="T69" s="117">
        <f t="shared" si="91"/>
        <v>1368150.1601630722</v>
      </c>
      <c r="U69" s="117">
        <f t="shared" si="91"/>
        <v>975695.9839484418</v>
      </c>
      <c r="V69" s="117">
        <f t="shared" si="91"/>
        <v>975695.9839484418</v>
      </c>
      <c r="W69" s="117">
        <f t="shared" si="91"/>
        <v>2579249.6027708803</v>
      </c>
      <c r="X69" s="117">
        <f t="shared" si="91"/>
        <v>1422876.1665695952</v>
      </c>
      <c r="Y69" s="117">
        <f t="shared" si="91"/>
        <v>1014723.8233063795</v>
      </c>
      <c r="Z69" s="117">
        <f t="shared" si="91"/>
        <v>1014723.8233063795</v>
      </c>
      <c r="AA69" s="117">
        <f t="shared" si="91"/>
        <v>1711633.3842817154</v>
      </c>
      <c r="AB69" s="117">
        <f t="shared" si="91"/>
        <v>1479791.2132323792</v>
      </c>
      <c r="AC69" s="117">
        <f t="shared" si="91"/>
        <v>1055312.7762386347</v>
      </c>
      <c r="AD69" s="117">
        <f t="shared" si="91"/>
        <v>1055312.7762386347</v>
      </c>
      <c r="AE69" s="117">
        <f t="shared" si="91"/>
        <v>2680300.9446529839</v>
      </c>
      <c r="AF69" s="117">
        <f t="shared" si="91"/>
        <v>1538982.8617616743</v>
      </c>
      <c r="AG69" s="117">
        <f t="shared" si="91"/>
        <v>1097525.2872881801</v>
      </c>
      <c r="AH69" s="117">
        <f t="shared" si="91"/>
        <v>1097525.2872881801</v>
      </c>
      <c r="AI69" s="117">
        <f t="shared" si="91"/>
        <v>1816726.7798391036</v>
      </c>
      <c r="AJ69" s="117">
        <f t="shared" si="91"/>
        <v>1600542.1762321414</v>
      </c>
      <c r="AK69" s="117">
        <f t="shared" si="91"/>
        <v>1141426.2987797076</v>
      </c>
      <c r="AL69" s="117">
        <f t="shared" si="91"/>
        <v>1141426.2987797076</v>
      </c>
      <c r="AM69" s="117">
        <f t="shared" si="91"/>
        <v>1872446.8860326677</v>
      </c>
      <c r="AN69" s="117">
        <f t="shared" si="91"/>
        <v>1664563.863281427</v>
      </c>
      <c r="AO69" s="117">
        <f t="shared" si="91"/>
        <v>1187083.3507308958</v>
      </c>
      <c r="AP69" s="117">
        <f t="shared" si="91"/>
        <v>1187083.3507308958</v>
      </c>
      <c r="AQ69" s="117">
        <f t="shared" si="91"/>
        <v>2847546.9864739743</v>
      </c>
    </row>
    <row r="70" spans="1:43" s="39" customFormat="1" ht="30" x14ac:dyDescent="0.25">
      <c r="A70" s="116" t="str">
        <f t="shared" ref="A70:B70" si="94">A33</f>
        <v>3.1.</v>
      </c>
      <c r="B70" s="140" t="str">
        <f t="shared" si="94"/>
        <v>Стоимость первой пересчалки каната силами и оборудованием эксплуатирующей организации</v>
      </c>
      <c r="C70" s="116" t="s">
        <v>57</v>
      </c>
      <c r="D70" s="117">
        <f t="shared" si="93"/>
        <v>0</v>
      </c>
      <c r="E70" s="117">
        <f t="shared" si="91"/>
        <v>0</v>
      </c>
      <c r="F70" s="117">
        <f t="shared" si="91"/>
        <v>0</v>
      </c>
      <c r="G70" s="117">
        <f t="shared" si="91"/>
        <v>0</v>
      </c>
      <c r="H70" s="117">
        <f t="shared" si="91"/>
        <v>1801305.865</v>
      </c>
      <c r="I70" s="117">
        <f t="shared" si="91"/>
        <v>0</v>
      </c>
      <c r="J70" s="117">
        <f t="shared" si="91"/>
        <v>0</v>
      </c>
      <c r="K70" s="117">
        <f t="shared" si="91"/>
        <v>0</v>
      </c>
      <c r="L70" s="117">
        <f t="shared" si="91"/>
        <v>0</v>
      </c>
      <c r="M70" s="117">
        <f t="shared" si="91"/>
        <v>0</v>
      </c>
      <c r="N70" s="117">
        <f t="shared" si="91"/>
        <v>0</v>
      </c>
      <c r="O70" s="117">
        <f t="shared" si="91"/>
        <v>0</v>
      </c>
      <c r="P70" s="117">
        <f t="shared" si="91"/>
        <v>0</v>
      </c>
      <c r="Q70" s="117">
        <f t="shared" si="91"/>
        <v>0</v>
      </c>
      <c r="R70" s="117">
        <f t="shared" si="91"/>
        <v>0</v>
      </c>
      <c r="S70" s="117">
        <f t="shared" si="91"/>
        <v>0</v>
      </c>
      <c r="T70" s="117">
        <f t="shared" si="91"/>
        <v>0</v>
      </c>
      <c r="U70" s="117">
        <f t="shared" si="91"/>
        <v>0</v>
      </c>
      <c r="V70" s="117">
        <f t="shared" si="91"/>
        <v>0</v>
      </c>
      <c r="W70" s="117">
        <f t="shared" si="91"/>
        <v>0</v>
      </c>
      <c r="X70" s="117">
        <f t="shared" si="91"/>
        <v>0</v>
      </c>
      <c r="Y70" s="117">
        <f t="shared" si="91"/>
        <v>0</v>
      </c>
      <c r="Z70" s="117">
        <f t="shared" si="91"/>
        <v>0</v>
      </c>
      <c r="AA70" s="117">
        <f t="shared" si="91"/>
        <v>0</v>
      </c>
      <c r="AB70" s="117">
        <f t="shared" si="91"/>
        <v>0</v>
      </c>
      <c r="AC70" s="117">
        <f t="shared" si="91"/>
        <v>0</v>
      </c>
      <c r="AD70" s="117">
        <f t="shared" si="91"/>
        <v>0</v>
      </c>
      <c r="AE70" s="117">
        <f t="shared" si="91"/>
        <v>0</v>
      </c>
      <c r="AF70" s="117">
        <f t="shared" si="91"/>
        <v>0</v>
      </c>
      <c r="AG70" s="117">
        <f t="shared" si="91"/>
        <v>0</v>
      </c>
      <c r="AH70" s="117">
        <f t="shared" si="91"/>
        <v>0</v>
      </c>
      <c r="AI70" s="117">
        <f t="shared" si="91"/>
        <v>0</v>
      </c>
      <c r="AJ70" s="117">
        <f t="shared" si="91"/>
        <v>0</v>
      </c>
      <c r="AK70" s="117">
        <f t="shared" si="91"/>
        <v>0</v>
      </c>
      <c r="AL70" s="117">
        <f t="shared" si="91"/>
        <v>0</v>
      </c>
      <c r="AM70" s="117">
        <f t="shared" si="91"/>
        <v>0</v>
      </c>
      <c r="AN70" s="117">
        <f t="shared" si="91"/>
        <v>0</v>
      </c>
      <c r="AO70" s="117">
        <f t="shared" si="91"/>
        <v>0</v>
      </c>
      <c r="AP70" s="117">
        <f t="shared" si="91"/>
        <v>0</v>
      </c>
      <c r="AQ70" s="117">
        <f t="shared" si="91"/>
        <v>0</v>
      </c>
    </row>
    <row r="71" spans="1:43" s="39" customFormat="1" ht="30" x14ac:dyDescent="0.25">
      <c r="A71" s="116" t="str">
        <f t="shared" ref="A71:B71" si="95">A34</f>
        <v>3.2.</v>
      </c>
      <c r="B71" s="140" t="str">
        <f t="shared" si="95"/>
        <v>Годовое Техобслуживание специалистами из России</v>
      </c>
      <c r="C71" s="116" t="s">
        <v>57</v>
      </c>
      <c r="D71" s="117">
        <f t="shared" si="93"/>
        <v>0</v>
      </c>
      <c r="E71" s="117">
        <f t="shared" si="91"/>
        <v>0</v>
      </c>
      <c r="F71" s="117">
        <f t="shared" si="91"/>
        <v>0</v>
      </c>
      <c r="G71" s="117">
        <f t="shared" si="91"/>
        <v>391130.01500000001</v>
      </c>
      <c r="H71" s="117">
        <f t="shared" si="91"/>
        <v>0</v>
      </c>
      <c r="I71" s="117">
        <f t="shared" si="91"/>
        <v>0</v>
      </c>
      <c r="J71" s="117">
        <f t="shared" si="91"/>
        <v>0</v>
      </c>
      <c r="K71" s="117">
        <f t="shared" si="91"/>
        <v>391130.01500000001</v>
      </c>
      <c r="L71" s="117">
        <f t="shared" si="91"/>
        <v>0</v>
      </c>
      <c r="M71" s="117">
        <f t="shared" si="91"/>
        <v>0</v>
      </c>
      <c r="N71" s="117">
        <f t="shared" si="91"/>
        <v>0</v>
      </c>
      <c r="O71" s="117">
        <f t="shared" si="91"/>
        <v>391130.01500000001</v>
      </c>
      <c r="P71" s="117">
        <f t="shared" si="91"/>
        <v>0</v>
      </c>
      <c r="Q71" s="117">
        <f t="shared" si="91"/>
        <v>0</v>
      </c>
      <c r="R71" s="117">
        <f t="shared" si="91"/>
        <v>0</v>
      </c>
      <c r="S71" s="117">
        <f t="shared" si="91"/>
        <v>423724.125</v>
      </c>
      <c r="T71" s="117">
        <f t="shared" si="91"/>
        <v>0</v>
      </c>
      <c r="U71" s="117">
        <f t="shared" si="91"/>
        <v>0</v>
      </c>
      <c r="V71" s="117">
        <f t="shared" si="91"/>
        <v>0</v>
      </c>
      <c r="W71" s="117">
        <f t="shared" si="91"/>
        <v>1340875.3149999999</v>
      </c>
      <c r="X71" s="117">
        <f t="shared" si="91"/>
        <v>0</v>
      </c>
      <c r="Y71" s="117">
        <f t="shared" si="91"/>
        <v>0</v>
      </c>
      <c r="Z71" s="117">
        <f t="shared" si="91"/>
        <v>0</v>
      </c>
      <c r="AA71" s="117">
        <f t="shared" si="91"/>
        <v>423724.125</v>
      </c>
      <c r="AB71" s="117">
        <f t="shared" si="91"/>
        <v>0</v>
      </c>
      <c r="AC71" s="117">
        <f t="shared" si="91"/>
        <v>0</v>
      </c>
      <c r="AD71" s="117">
        <f t="shared" si="91"/>
        <v>0</v>
      </c>
      <c r="AE71" s="117">
        <f t="shared" si="91"/>
        <v>1340875.3149999999</v>
      </c>
      <c r="AF71" s="117">
        <f t="shared" si="91"/>
        <v>0</v>
      </c>
      <c r="AG71" s="117">
        <f t="shared" si="91"/>
        <v>0</v>
      </c>
      <c r="AH71" s="117">
        <f t="shared" si="91"/>
        <v>0</v>
      </c>
      <c r="AI71" s="117">
        <f t="shared" si="91"/>
        <v>423724.125</v>
      </c>
      <c r="AJ71" s="117">
        <f t="shared" si="91"/>
        <v>0</v>
      </c>
      <c r="AK71" s="117">
        <f t="shared" si="91"/>
        <v>0</v>
      </c>
      <c r="AL71" s="117">
        <f t="shared" si="91"/>
        <v>0</v>
      </c>
      <c r="AM71" s="117">
        <f t="shared" si="91"/>
        <v>423724.125</v>
      </c>
      <c r="AN71" s="117">
        <f t="shared" si="91"/>
        <v>0</v>
      </c>
      <c r="AO71" s="117">
        <f t="shared" si="91"/>
        <v>0</v>
      </c>
      <c r="AP71" s="117">
        <f t="shared" si="91"/>
        <v>0</v>
      </c>
      <c r="AQ71" s="117">
        <f t="shared" si="91"/>
        <v>1340875.3149999999</v>
      </c>
    </row>
    <row r="72" spans="1:43" s="39" customFormat="1" ht="60" x14ac:dyDescent="0.25">
      <c r="A72" s="116" t="str">
        <f t="shared" ref="A72:B72" si="96">A35</f>
        <v>3.1.</v>
      </c>
      <c r="B72" s="140" t="str">
        <f t="shared" si="96"/>
        <v>Возможные затраты на текущий ремонт внутреннего интерьера пассажирских кабин на канатной дороге (при необходимости - капитальный)</v>
      </c>
      <c r="C72" s="116" t="s">
        <v>57</v>
      </c>
      <c r="D72" s="117">
        <f t="shared" si="93"/>
        <v>34750</v>
      </c>
      <c r="E72" s="117">
        <f t="shared" si="91"/>
        <v>34750</v>
      </c>
      <c r="F72" s="117">
        <f t="shared" si="91"/>
        <v>34750</v>
      </c>
      <c r="G72" s="117">
        <f t="shared" si="91"/>
        <v>34750</v>
      </c>
      <c r="H72" s="117">
        <f t="shared" si="91"/>
        <v>36140</v>
      </c>
      <c r="I72" s="117">
        <f t="shared" si="91"/>
        <v>36140</v>
      </c>
      <c r="J72" s="117">
        <f t="shared" si="91"/>
        <v>36140</v>
      </c>
      <c r="K72" s="117">
        <f t="shared" si="91"/>
        <v>36140</v>
      </c>
      <c r="L72" s="117">
        <f t="shared" si="91"/>
        <v>37585.600000000006</v>
      </c>
      <c r="M72" s="117">
        <f t="shared" si="91"/>
        <v>37585.600000000006</v>
      </c>
      <c r="N72" s="117">
        <f t="shared" si="91"/>
        <v>37585.600000000006</v>
      </c>
      <c r="O72" s="117">
        <f t="shared" si="91"/>
        <v>37585.600000000006</v>
      </c>
      <c r="P72" s="117">
        <f t="shared" si="91"/>
        <v>39089.024000000012</v>
      </c>
      <c r="Q72" s="117">
        <f t="shared" si="91"/>
        <v>39089.024000000012</v>
      </c>
      <c r="R72" s="117">
        <f t="shared" si="91"/>
        <v>39089.024000000012</v>
      </c>
      <c r="S72" s="117">
        <f t="shared" si="91"/>
        <v>39089.024000000012</v>
      </c>
      <c r="T72" s="117">
        <f t="shared" si="91"/>
        <v>40652.584960000015</v>
      </c>
      <c r="U72" s="117">
        <f t="shared" si="91"/>
        <v>40652.584960000015</v>
      </c>
      <c r="V72" s="117">
        <f t="shared" si="91"/>
        <v>40652.584960000015</v>
      </c>
      <c r="W72" s="117">
        <f t="shared" si="91"/>
        <v>40652.584960000015</v>
      </c>
      <c r="X72" s="117">
        <f t="shared" si="91"/>
        <v>42278.68835840001</v>
      </c>
      <c r="Y72" s="117">
        <f t="shared" si="91"/>
        <v>42278.68835840001</v>
      </c>
      <c r="Z72" s="117">
        <f t="shared" si="91"/>
        <v>42278.68835840001</v>
      </c>
      <c r="AA72" s="117">
        <f t="shared" si="91"/>
        <v>42278.68835840001</v>
      </c>
      <c r="AB72" s="117">
        <f t="shared" si="91"/>
        <v>43969.83589273601</v>
      </c>
      <c r="AC72" s="117">
        <f t="shared" si="91"/>
        <v>43969.83589273601</v>
      </c>
      <c r="AD72" s="117">
        <f t="shared" si="91"/>
        <v>43969.83589273601</v>
      </c>
      <c r="AE72" s="117">
        <f t="shared" si="91"/>
        <v>43969.83589273601</v>
      </c>
      <c r="AF72" s="117">
        <f t="shared" si="91"/>
        <v>45728.629328445451</v>
      </c>
      <c r="AG72" s="117">
        <f t="shared" si="91"/>
        <v>45728.629328445451</v>
      </c>
      <c r="AH72" s="117">
        <f t="shared" si="91"/>
        <v>45728.629328445451</v>
      </c>
      <c r="AI72" s="117">
        <f t="shared" si="91"/>
        <v>45728.629328445451</v>
      </c>
      <c r="AJ72" s="117">
        <f t="shared" si="91"/>
        <v>47557.774501583277</v>
      </c>
      <c r="AK72" s="117">
        <f t="shared" si="91"/>
        <v>47557.774501583277</v>
      </c>
      <c r="AL72" s="117">
        <f t="shared" si="91"/>
        <v>47557.774501583277</v>
      </c>
      <c r="AM72" s="117">
        <f t="shared" si="91"/>
        <v>47557.774501583277</v>
      </c>
      <c r="AN72" s="117">
        <f t="shared" si="91"/>
        <v>49460.085481646602</v>
      </c>
      <c r="AO72" s="117">
        <f t="shared" si="91"/>
        <v>49460.085481646602</v>
      </c>
      <c r="AP72" s="117">
        <f t="shared" si="91"/>
        <v>49460.085481646602</v>
      </c>
      <c r="AQ72" s="117">
        <f t="shared" si="91"/>
        <v>49460.085481646602</v>
      </c>
    </row>
    <row r="73" spans="1:43" s="39" customFormat="1" ht="45" x14ac:dyDescent="0.25">
      <c r="A73" s="116" t="str">
        <f t="shared" ref="A73:B73" si="97">A36</f>
        <v>3.3.</v>
      </c>
      <c r="B73" s="140" t="str">
        <f t="shared" si="97"/>
        <v>Программное обеспечение, Обучение по обслуживанию, по эксплуатации, по управлению, по технике безопасности.</v>
      </c>
      <c r="C73" s="116" t="s">
        <v>57</v>
      </c>
      <c r="D73" s="117">
        <f t="shared" si="93"/>
        <v>60812.5</v>
      </c>
      <c r="E73" s="117">
        <f t="shared" si="91"/>
        <v>60812.5</v>
      </c>
      <c r="F73" s="117">
        <f t="shared" si="91"/>
        <v>60812.5</v>
      </c>
      <c r="G73" s="117">
        <f t="shared" si="91"/>
        <v>60812.5</v>
      </c>
      <c r="H73" s="117">
        <f t="shared" si="91"/>
        <v>63245</v>
      </c>
      <c r="I73" s="117">
        <f t="shared" si="91"/>
        <v>63245</v>
      </c>
      <c r="J73" s="117">
        <f t="shared" si="91"/>
        <v>63245</v>
      </c>
      <c r="K73" s="117">
        <f t="shared" si="91"/>
        <v>63245</v>
      </c>
      <c r="L73" s="117">
        <f t="shared" si="91"/>
        <v>65774.8</v>
      </c>
      <c r="M73" s="117">
        <f t="shared" si="91"/>
        <v>65774.8</v>
      </c>
      <c r="N73" s="117">
        <f t="shared" si="91"/>
        <v>65774.8</v>
      </c>
      <c r="O73" s="117">
        <f t="shared" si="91"/>
        <v>65774.8</v>
      </c>
      <c r="P73" s="117">
        <f t="shared" si="91"/>
        <v>68405.792000000001</v>
      </c>
      <c r="Q73" s="117">
        <f t="shared" si="91"/>
        <v>68405.792000000001</v>
      </c>
      <c r="R73" s="117">
        <f t="shared" si="91"/>
        <v>68405.792000000001</v>
      </c>
      <c r="S73" s="117">
        <f t="shared" si="91"/>
        <v>68405.792000000001</v>
      </c>
      <c r="T73" s="117">
        <f t="shared" si="91"/>
        <v>71142.023679999998</v>
      </c>
      <c r="U73" s="117">
        <f t="shared" si="91"/>
        <v>71142.023679999998</v>
      </c>
      <c r="V73" s="117">
        <f t="shared" si="91"/>
        <v>71142.023679999998</v>
      </c>
      <c r="W73" s="117">
        <f t="shared" si="91"/>
        <v>71142.023679999998</v>
      </c>
      <c r="X73" s="117">
        <f t="shared" si="91"/>
        <v>73987.704627200001</v>
      </c>
      <c r="Y73" s="117">
        <f t="shared" si="91"/>
        <v>73987.704627200001</v>
      </c>
      <c r="Z73" s="117">
        <f t="shared" si="91"/>
        <v>73987.704627200001</v>
      </c>
      <c r="AA73" s="117">
        <f t="shared" si="91"/>
        <v>73987.704627200001</v>
      </c>
      <c r="AB73" s="117">
        <f t="shared" si="91"/>
        <v>76947.212812288009</v>
      </c>
      <c r="AC73" s="117">
        <f t="shared" si="91"/>
        <v>76947.212812288009</v>
      </c>
      <c r="AD73" s="117">
        <f t="shared" si="91"/>
        <v>76947.212812288009</v>
      </c>
      <c r="AE73" s="117">
        <f t="shared" si="91"/>
        <v>76947.212812288009</v>
      </c>
      <c r="AF73" s="117">
        <f t="shared" si="91"/>
        <v>80025.101324779534</v>
      </c>
      <c r="AG73" s="117">
        <f t="shared" si="91"/>
        <v>80025.101324779534</v>
      </c>
      <c r="AH73" s="117">
        <f t="shared" si="91"/>
        <v>80025.101324779534</v>
      </c>
      <c r="AI73" s="117">
        <f t="shared" si="91"/>
        <v>80025.101324779534</v>
      </c>
      <c r="AJ73" s="117">
        <f t="shared" si="91"/>
        <v>83226.105377770713</v>
      </c>
      <c r="AK73" s="117">
        <f t="shared" si="91"/>
        <v>83226.105377770713</v>
      </c>
      <c r="AL73" s="117">
        <f t="shared" si="91"/>
        <v>83226.105377770713</v>
      </c>
      <c r="AM73" s="117">
        <f t="shared" si="91"/>
        <v>83226.105377770713</v>
      </c>
      <c r="AN73" s="117">
        <f t="shared" si="91"/>
        <v>86555.149592881542</v>
      </c>
      <c r="AO73" s="117">
        <f t="shared" si="91"/>
        <v>86555.149592881542</v>
      </c>
      <c r="AP73" s="117">
        <f t="shared" si="91"/>
        <v>86555.149592881542</v>
      </c>
      <c r="AQ73" s="117">
        <f t="shared" si="91"/>
        <v>86555.149592881542</v>
      </c>
    </row>
    <row r="74" spans="1:43" s="39" customFormat="1" ht="165" x14ac:dyDescent="0.25">
      <c r="A74" s="116" t="str">
        <f t="shared" ref="A74:B74" si="98">A37</f>
        <v>3.4.</v>
      </c>
      <c r="B74" s="140" t="str">
        <f t="shared" si="98"/>
        <v>Обучение в Ростехнадзоре специалистов канатной дороги по специальностям: начальник дороги, машинист-оператор, электромеханик, обучение по верхолазным работам, обучение по охране труда при эксплуатации канатной дороги и иные виды обучения с получением дипломов и удостоверений с возможностью регистрации канатной дороги в Ростехнадзоре, ежегодная переаттестация с подтверждением обучения в соответсвии с российским законодательством</v>
      </c>
      <c r="C74" s="116" t="s">
        <v>57</v>
      </c>
      <c r="D74" s="117">
        <f t="shared" si="93"/>
        <v>139000</v>
      </c>
      <c r="E74" s="117">
        <f t="shared" si="91"/>
        <v>0</v>
      </c>
      <c r="F74" s="117">
        <f t="shared" si="91"/>
        <v>0</v>
      </c>
      <c r="G74" s="117">
        <f t="shared" si="91"/>
        <v>0</v>
      </c>
      <c r="H74" s="117">
        <f t="shared" si="91"/>
        <v>104250</v>
      </c>
      <c r="I74" s="117">
        <f t="shared" si="91"/>
        <v>0</v>
      </c>
      <c r="J74" s="117">
        <f t="shared" si="91"/>
        <v>0</v>
      </c>
      <c r="K74" s="117">
        <f t="shared" si="91"/>
        <v>0</v>
      </c>
      <c r="L74" s="117">
        <f t="shared" si="91"/>
        <v>108420</v>
      </c>
      <c r="M74" s="117">
        <f t="shared" si="91"/>
        <v>0</v>
      </c>
      <c r="N74" s="117">
        <f t="shared" si="91"/>
        <v>0</v>
      </c>
      <c r="O74" s="117">
        <f t="shared" si="91"/>
        <v>0</v>
      </c>
      <c r="P74" s="117">
        <f t="shared" si="91"/>
        <v>112756.8</v>
      </c>
      <c r="Q74" s="117">
        <f t="shared" si="91"/>
        <v>0</v>
      </c>
      <c r="R74" s="117">
        <f t="shared" si="91"/>
        <v>0</v>
      </c>
      <c r="S74" s="117">
        <f t="shared" si="91"/>
        <v>0</v>
      </c>
      <c r="T74" s="117">
        <f t="shared" si="91"/>
        <v>117267.072</v>
      </c>
      <c r="U74" s="117">
        <f t="shared" si="91"/>
        <v>0</v>
      </c>
      <c r="V74" s="117">
        <f t="shared" si="91"/>
        <v>0</v>
      </c>
      <c r="W74" s="117">
        <f t="shared" si="91"/>
        <v>0</v>
      </c>
      <c r="X74" s="117">
        <f t="shared" si="91"/>
        <v>121957.75488000001</v>
      </c>
      <c r="Y74" s="117">
        <f t="shared" si="91"/>
        <v>0</v>
      </c>
      <c r="Z74" s="117">
        <f t="shared" si="91"/>
        <v>0</v>
      </c>
      <c r="AA74" s="117">
        <f t="shared" si="91"/>
        <v>0</v>
      </c>
      <c r="AB74" s="117">
        <f t="shared" si="91"/>
        <v>126836.06507520001</v>
      </c>
      <c r="AC74" s="117">
        <f t="shared" si="91"/>
        <v>0</v>
      </c>
      <c r="AD74" s="117">
        <f t="shared" si="91"/>
        <v>0</v>
      </c>
      <c r="AE74" s="117">
        <f t="shared" si="91"/>
        <v>0</v>
      </c>
      <c r="AF74" s="117">
        <f t="shared" si="91"/>
        <v>131909.50767820803</v>
      </c>
      <c r="AG74" s="117">
        <f t="shared" si="91"/>
        <v>0</v>
      </c>
      <c r="AH74" s="117">
        <f t="shared" si="91"/>
        <v>0</v>
      </c>
      <c r="AI74" s="117">
        <f t="shared" si="91"/>
        <v>0</v>
      </c>
      <c r="AJ74" s="117">
        <f t="shared" si="91"/>
        <v>137185.88798533636</v>
      </c>
      <c r="AK74" s="117">
        <f t="shared" si="91"/>
        <v>0</v>
      </c>
      <c r="AL74" s="117">
        <f t="shared" si="91"/>
        <v>0</v>
      </c>
      <c r="AM74" s="117">
        <f t="shared" si="91"/>
        <v>0</v>
      </c>
      <c r="AN74" s="117">
        <f t="shared" si="91"/>
        <v>142673.3235047498</v>
      </c>
      <c r="AO74" s="117">
        <f t="shared" ref="E74:AQ81" si="99">AO37*$C$63</f>
        <v>0</v>
      </c>
      <c r="AP74" s="117">
        <f t="shared" si="99"/>
        <v>0</v>
      </c>
      <c r="AQ74" s="117">
        <f t="shared" si="99"/>
        <v>0</v>
      </c>
    </row>
    <row r="75" spans="1:43" s="39" customFormat="1" ht="45" x14ac:dyDescent="0.25">
      <c r="A75" s="116" t="str">
        <f t="shared" ref="A75:B75" si="100">A38</f>
        <v>3.5.</v>
      </c>
      <c r="B75" s="140" t="str">
        <f t="shared" si="100"/>
        <v>Ежегодное техническое освидетельствование канатной дороги лицензированной организацией от Ростехнадзора</v>
      </c>
      <c r="C75" s="116" t="s">
        <v>57</v>
      </c>
      <c r="D75" s="117">
        <f t="shared" si="93"/>
        <v>235231.09</v>
      </c>
      <c r="E75" s="117">
        <f t="shared" si="99"/>
        <v>0</v>
      </c>
      <c r="F75" s="117">
        <f t="shared" si="99"/>
        <v>0</v>
      </c>
      <c r="G75" s="117">
        <f t="shared" si="99"/>
        <v>0</v>
      </c>
      <c r="H75" s="117">
        <f t="shared" si="99"/>
        <v>244640.33360000001</v>
      </c>
      <c r="I75" s="117">
        <f t="shared" si="99"/>
        <v>0</v>
      </c>
      <c r="J75" s="117">
        <f t="shared" si="99"/>
        <v>0</v>
      </c>
      <c r="K75" s="117">
        <f t="shared" si="99"/>
        <v>0</v>
      </c>
      <c r="L75" s="117">
        <f t="shared" si="99"/>
        <v>254425.94694400002</v>
      </c>
      <c r="M75" s="117">
        <f t="shared" si="99"/>
        <v>0</v>
      </c>
      <c r="N75" s="117">
        <f t="shared" si="99"/>
        <v>0</v>
      </c>
      <c r="O75" s="117">
        <f t="shared" si="99"/>
        <v>0</v>
      </c>
      <c r="P75" s="117">
        <f t="shared" si="99"/>
        <v>264602.98482176004</v>
      </c>
      <c r="Q75" s="117">
        <f t="shared" si="99"/>
        <v>0</v>
      </c>
      <c r="R75" s="117">
        <f t="shared" si="99"/>
        <v>0</v>
      </c>
      <c r="S75" s="117">
        <f t="shared" si="99"/>
        <v>0</v>
      </c>
      <c r="T75" s="117">
        <f t="shared" si="99"/>
        <v>275187.10421463044</v>
      </c>
      <c r="U75" s="117">
        <f t="shared" si="99"/>
        <v>0</v>
      </c>
      <c r="V75" s="117">
        <f t="shared" si="99"/>
        <v>0</v>
      </c>
      <c r="W75" s="117">
        <f t="shared" si="99"/>
        <v>0</v>
      </c>
      <c r="X75" s="117">
        <f t="shared" si="99"/>
        <v>286194.58838321565</v>
      </c>
      <c r="Y75" s="117">
        <f t="shared" si="99"/>
        <v>0</v>
      </c>
      <c r="Z75" s="117">
        <f t="shared" si="99"/>
        <v>0</v>
      </c>
      <c r="AA75" s="117">
        <f t="shared" si="99"/>
        <v>0</v>
      </c>
      <c r="AB75" s="117">
        <f t="shared" si="99"/>
        <v>297642.37191854429</v>
      </c>
      <c r="AC75" s="117">
        <f t="shared" si="99"/>
        <v>0</v>
      </c>
      <c r="AD75" s="117">
        <f t="shared" si="99"/>
        <v>0</v>
      </c>
      <c r="AE75" s="117">
        <f t="shared" si="99"/>
        <v>0</v>
      </c>
      <c r="AF75" s="117">
        <f t="shared" si="99"/>
        <v>309548.06679528602</v>
      </c>
      <c r="AG75" s="117">
        <f t="shared" si="99"/>
        <v>0</v>
      </c>
      <c r="AH75" s="117">
        <f t="shared" si="99"/>
        <v>0</v>
      </c>
      <c r="AI75" s="117">
        <f t="shared" si="99"/>
        <v>0</v>
      </c>
      <c r="AJ75" s="117">
        <f t="shared" si="99"/>
        <v>321929.9894670975</v>
      </c>
      <c r="AK75" s="117">
        <f t="shared" si="99"/>
        <v>0</v>
      </c>
      <c r="AL75" s="117">
        <f t="shared" si="99"/>
        <v>0</v>
      </c>
      <c r="AM75" s="117">
        <f t="shared" si="99"/>
        <v>0</v>
      </c>
      <c r="AN75" s="117">
        <f t="shared" si="99"/>
        <v>334807.18904578144</v>
      </c>
      <c r="AO75" s="117">
        <f t="shared" si="99"/>
        <v>0</v>
      </c>
      <c r="AP75" s="117">
        <f t="shared" si="99"/>
        <v>0</v>
      </c>
      <c r="AQ75" s="117">
        <f t="shared" si="99"/>
        <v>0</v>
      </c>
    </row>
    <row r="76" spans="1:43" s="39" customFormat="1" ht="45" x14ac:dyDescent="0.25">
      <c r="A76" s="116" t="str">
        <f t="shared" ref="A76:B76" si="101">A39</f>
        <v>3.6.</v>
      </c>
      <c r="B76" s="140" t="str">
        <f t="shared" si="101"/>
        <v>Магнитная дефектоскопия несущего каната лицензированной организацией от Ростехнадзора</v>
      </c>
      <c r="C76" s="116" t="s">
        <v>57</v>
      </c>
      <c r="D76" s="117">
        <f t="shared" si="93"/>
        <v>0</v>
      </c>
      <c r="E76" s="117">
        <f t="shared" si="99"/>
        <v>0</v>
      </c>
      <c r="F76" s="117">
        <f t="shared" si="99"/>
        <v>0</v>
      </c>
      <c r="G76" s="117">
        <f t="shared" si="99"/>
        <v>224538.51499999998</v>
      </c>
      <c r="H76" s="117">
        <f t="shared" si="99"/>
        <v>0</v>
      </c>
      <c r="I76" s="117">
        <f t="shared" si="99"/>
        <v>0</v>
      </c>
      <c r="J76" s="117">
        <f t="shared" si="99"/>
        <v>0</v>
      </c>
      <c r="K76" s="117">
        <f t="shared" si="99"/>
        <v>233520.05560000002</v>
      </c>
      <c r="L76" s="117">
        <f t="shared" si="99"/>
        <v>0</v>
      </c>
      <c r="M76" s="117">
        <f t="shared" si="99"/>
        <v>0</v>
      </c>
      <c r="N76" s="117">
        <f t="shared" si="99"/>
        <v>0</v>
      </c>
      <c r="O76" s="117">
        <f t="shared" si="99"/>
        <v>242860.85782400001</v>
      </c>
      <c r="P76" s="117">
        <f t="shared" si="99"/>
        <v>0</v>
      </c>
      <c r="Q76" s="117">
        <f t="shared" si="99"/>
        <v>0</v>
      </c>
      <c r="R76" s="117">
        <f t="shared" si="99"/>
        <v>0</v>
      </c>
      <c r="S76" s="117">
        <f t="shared" si="99"/>
        <v>252575.29213696005</v>
      </c>
      <c r="T76" s="117">
        <f t="shared" si="99"/>
        <v>0</v>
      </c>
      <c r="U76" s="117">
        <f t="shared" si="99"/>
        <v>0</v>
      </c>
      <c r="V76" s="117">
        <f t="shared" si="99"/>
        <v>0</v>
      </c>
      <c r="W76" s="117">
        <f t="shared" si="99"/>
        <v>262678.30382243847</v>
      </c>
      <c r="X76" s="117">
        <f t="shared" si="99"/>
        <v>0</v>
      </c>
      <c r="Y76" s="117">
        <f t="shared" si="99"/>
        <v>0</v>
      </c>
      <c r="Z76" s="117">
        <f t="shared" si="99"/>
        <v>0</v>
      </c>
      <c r="AA76" s="117">
        <f t="shared" si="99"/>
        <v>273185.435975336</v>
      </c>
      <c r="AB76" s="117">
        <f t="shared" si="99"/>
        <v>0</v>
      </c>
      <c r="AC76" s="117">
        <f t="shared" si="99"/>
        <v>0</v>
      </c>
      <c r="AD76" s="117">
        <f t="shared" si="99"/>
        <v>0</v>
      </c>
      <c r="AE76" s="117">
        <f t="shared" si="99"/>
        <v>284112.85341434949</v>
      </c>
      <c r="AF76" s="117">
        <f t="shared" si="99"/>
        <v>0</v>
      </c>
      <c r="AG76" s="117">
        <f t="shared" si="99"/>
        <v>0</v>
      </c>
      <c r="AH76" s="117">
        <f t="shared" si="99"/>
        <v>0</v>
      </c>
      <c r="AI76" s="117">
        <f t="shared" si="99"/>
        <v>295477.36755092349</v>
      </c>
      <c r="AJ76" s="117">
        <f t="shared" si="99"/>
        <v>0</v>
      </c>
      <c r="AK76" s="117">
        <f t="shared" si="99"/>
        <v>0</v>
      </c>
      <c r="AL76" s="117">
        <f t="shared" si="99"/>
        <v>0</v>
      </c>
      <c r="AM76" s="117">
        <f t="shared" si="99"/>
        <v>307296.46225296042</v>
      </c>
      <c r="AN76" s="117">
        <f t="shared" si="99"/>
        <v>0</v>
      </c>
      <c r="AO76" s="117">
        <f t="shared" si="99"/>
        <v>0</v>
      </c>
      <c r="AP76" s="117">
        <f t="shared" si="99"/>
        <v>0</v>
      </c>
      <c r="AQ76" s="117">
        <f t="shared" si="99"/>
        <v>319588.32074307883</v>
      </c>
    </row>
    <row r="77" spans="1:43" s="39" customFormat="1" ht="45" x14ac:dyDescent="0.25">
      <c r="A77" s="116" t="str">
        <f t="shared" ref="A77:B77" si="102">A40</f>
        <v>3.7.</v>
      </c>
      <c r="B77" s="140" t="str">
        <f t="shared" si="102"/>
        <v xml:space="preserve">Договор с электроизмерительной лабораторией для составления технического отчета </v>
      </c>
      <c r="C77" s="116" t="s">
        <v>57</v>
      </c>
      <c r="D77" s="117">
        <f t="shared" si="93"/>
        <v>70866.891250000001</v>
      </c>
      <c r="E77" s="117">
        <f t="shared" si="99"/>
        <v>70866.891250000001</v>
      </c>
      <c r="F77" s="117">
        <f t="shared" si="99"/>
        <v>70866.891250000001</v>
      </c>
      <c r="G77" s="117">
        <f t="shared" si="99"/>
        <v>70866.891250000001</v>
      </c>
      <c r="H77" s="117">
        <f t="shared" si="99"/>
        <v>73701.566900000005</v>
      </c>
      <c r="I77" s="117">
        <f t="shared" si="99"/>
        <v>73701.566900000005</v>
      </c>
      <c r="J77" s="117">
        <f t="shared" si="99"/>
        <v>73701.566900000005</v>
      </c>
      <c r="K77" s="117">
        <f t="shared" si="99"/>
        <v>73701.566900000005</v>
      </c>
      <c r="L77" s="117">
        <f t="shared" si="99"/>
        <v>76649.629576000021</v>
      </c>
      <c r="M77" s="117">
        <f t="shared" si="99"/>
        <v>76649.629576000021</v>
      </c>
      <c r="N77" s="117">
        <f t="shared" si="99"/>
        <v>76649.629576000021</v>
      </c>
      <c r="O77" s="117">
        <f t="shared" si="99"/>
        <v>76649.629576000021</v>
      </c>
      <c r="P77" s="117">
        <f t="shared" si="99"/>
        <v>79715.614759040021</v>
      </c>
      <c r="Q77" s="117">
        <f t="shared" si="99"/>
        <v>79715.614759040021</v>
      </c>
      <c r="R77" s="117">
        <f t="shared" si="99"/>
        <v>79715.614759040021</v>
      </c>
      <c r="S77" s="117">
        <f t="shared" si="99"/>
        <v>79715.614759040021</v>
      </c>
      <c r="T77" s="117">
        <f t="shared" si="99"/>
        <v>82904.239349401614</v>
      </c>
      <c r="U77" s="117">
        <f t="shared" si="99"/>
        <v>82904.239349401614</v>
      </c>
      <c r="V77" s="117">
        <f t="shared" si="99"/>
        <v>82904.239349401614</v>
      </c>
      <c r="W77" s="117">
        <f t="shared" si="99"/>
        <v>82904.239349401614</v>
      </c>
      <c r="X77" s="117">
        <f t="shared" si="99"/>
        <v>86220.408923377676</v>
      </c>
      <c r="Y77" s="117">
        <f t="shared" si="99"/>
        <v>86220.408923377676</v>
      </c>
      <c r="Z77" s="117">
        <f t="shared" si="99"/>
        <v>86220.408923377676</v>
      </c>
      <c r="AA77" s="117">
        <f t="shared" si="99"/>
        <v>86220.408923377676</v>
      </c>
      <c r="AB77" s="117">
        <f t="shared" si="99"/>
        <v>89669.225280312778</v>
      </c>
      <c r="AC77" s="117">
        <f t="shared" si="99"/>
        <v>89669.225280312778</v>
      </c>
      <c r="AD77" s="117">
        <f t="shared" si="99"/>
        <v>89669.225280312778</v>
      </c>
      <c r="AE77" s="117">
        <f t="shared" si="99"/>
        <v>89669.225280312778</v>
      </c>
      <c r="AF77" s="117">
        <f t="shared" si="99"/>
        <v>93255.99429152529</v>
      </c>
      <c r="AG77" s="117">
        <f t="shared" si="99"/>
        <v>93255.99429152529</v>
      </c>
      <c r="AH77" s="117">
        <f t="shared" si="99"/>
        <v>93255.99429152529</v>
      </c>
      <c r="AI77" s="117">
        <f t="shared" si="99"/>
        <v>93255.99429152529</v>
      </c>
      <c r="AJ77" s="117">
        <f t="shared" si="99"/>
        <v>96986.234063186304</v>
      </c>
      <c r="AK77" s="117">
        <f t="shared" si="99"/>
        <v>96986.234063186304</v>
      </c>
      <c r="AL77" s="117">
        <f t="shared" si="99"/>
        <v>96986.234063186304</v>
      </c>
      <c r="AM77" s="117">
        <f t="shared" si="99"/>
        <v>96986.234063186304</v>
      </c>
      <c r="AN77" s="117">
        <f t="shared" si="99"/>
        <v>100865.68342571377</v>
      </c>
      <c r="AO77" s="117">
        <f t="shared" si="99"/>
        <v>100865.68342571377</v>
      </c>
      <c r="AP77" s="117">
        <f t="shared" si="99"/>
        <v>100865.68342571377</v>
      </c>
      <c r="AQ77" s="117">
        <f t="shared" si="99"/>
        <v>100865.68342571377</v>
      </c>
    </row>
    <row r="78" spans="1:43" s="39" customFormat="1" ht="45" x14ac:dyDescent="0.25">
      <c r="A78" s="116" t="str">
        <f t="shared" ref="A78:B78" si="103">A41</f>
        <v>3.8.</v>
      </c>
      <c r="B78" s="140" t="str">
        <f t="shared" si="103"/>
        <v>Договор на страхование гражданской ответственности третьих лиц при эксплуатации  Особо опасного объекта</v>
      </c>
      <c r="C78" s="116" t="s">
        <v>57</v>
      </c>
      <c r="D78" s="117">
        <f t="shared" si="93"/>
        <v>26062.5</v>
      </c>
      <c r="E78" s="117">
        <f t="shared" si="99"/>
        <v>26062.5</v>
      </c>
      <c r="F78" s="117">
        <f t="shared" si="99"/>
        <v>26062.5</v>
      </c>
      <c r="G78" s="117">
        <f t="shared" si="99"/>
        <v>26062.5</v>
      </c>
      <c r="H78" s="117">
        <f t="shared" si="99"/>
        <v>27105</v>
      </c>
      <c r="I78" s="117">
        <f t="shared" si="99"/>
        <v>27105</v>
      </c>
      <c r="J78" s="117">
        <f t="shared" si="99"/>
        <v>27105</v>
      </c>
      <c r="K78" s="117">
        <f t="shared" si="99"/>
        <v>27105</v>
      </c>
      <c r="L78" s="117">
        <f t="shared" si="99"/>
        <v>28189.200000000001</v>
      </c>
      <c r="M78" s="117">
        <f t="shared" si="99"/>
        <v>28189.200000000001</v>
      </c>
      <c r="N78" s="117">
        <f t="shared" si="99"/>
        <v>28189.200000000001</v>
      </c>
      <c r="O78" s="117">
        <f t="shared" si="99"/>
        <v>28189.200000000001</v>
      </c>
      <c r="P78" s="117">
        <f t="shared" si="99"/>
        <v>29316.768</v>
      </c>
      <c r="Q78" s="117">
        <f t="shared" si="99"/>
        <v>29316.768</v>
      </c>
      <c r="R78" s="117">
        <f t="shared" si="99"/>
        <v>29316.768</v>
      </c>
      <c r="S78" s="117">
        <f t="shared" si="99"/>
        <v>29316.768</v>
      </c>
      <c r="T78" s="117">
        <f t="shared" si="99"/>
        <v>30489.438720000002</v>
      </c>
      <c r="U78" s="117">
        <f t="shared" si="99"/>
        <v>30489.438720000002</v>
      </c>
      <c r="V78" s="117">
        <f t="shared" si="99"/>
        <v>30489.438720000002</v>
      </c>
      <c r="W78" s="117">
        <f t="shared" si="99"/>
        <v>30489.438720000002</v>
      </c>
      <c r="X78" s="117">
        <f t="shared" si="99"/>
        <v>31709.016268800002</v>
      </c>
      <c r="Y78" s="117">
        <f t="shared" si="99"/>
        <v>31709.016268800002</v>
      </c>
      <c r="Z78" s="117">
        <f t="shared" si="99"/>
        <v>31709.016268800002</v>
      </c>
      <c r="AA78" s="117">
        <f t="shared" si="99"/>
        <v>31709.016268800002</v>
      </c>
      <c r="AB78" s="117">
        <f t="shared" si="99"/>
        <v>32977.376919552007</v>
      </c>
      <c r="AC78" s="117">
        <f t="shared" si="99"/>
        <v>32977.376919552007</v>
      </c>
      <c r="AD78" s="117">
        <f t="shared" si="99"/>
        <v>32977.376919552007</v>
      </c>
      <c r="AE78" s="117">
        <f t="shared" si="99"/>
        <v>32977.376919552007</v>
      </c>
      <c r="AF78" s="117">
        <f t="shared" si="99"/>
        <v>34296.47199633409</v>
      </c>
      <c r="AG78" s="117">
        <f t="shared" si="99"/>
        <v>34296.47199633409</v>
      </c>
      <c r="AH78" s="117">
        <f t="shared" si="99"/>
        <v>34296.47199633409</v>
      </c>
      <c r="AI78" s="117">
        <f t="shared" si="99"/>
        <v>34296.47199633409</v>
      </c>
      <c r="AJ78" s="117">
        <f t="shared" si="99"/>
        <v>35668.33087618745</v>
      </c>
      <c r="AK78" s="117">
        <f t="shared" si="99"/>
        <v>35668.33087618745</v>
      </c>
      <c r="AL78" s="117">
        <f t="shared" si="99"/>
        <v>35668.33087618745</v>
      </c>
      <c r="AM78" s="117">
        <f t="shared" si="99"/>
        <v>35668.33087618745</v>
      </c>
      <c r="AN78" s="117">
        <f t="shared" si="99"/>
        <v>37095.064111234948</v>
      </c>
      <c r="AO78" s="117">
        <f t="shared" si="99"/>
        <v>37095.064111234948</v>
      </c>
      <c r="AP78" s="117">
        <f t="shared" si="99"/>
        <v>37095.064111234948</v>
      </c>
      <c r="AQ78" s="117">
        <f t="shared" si="99"/>
        <v>37095.064111234948</v>
      </c>
    </row>
    <row r="79" spans="1:43" s="39" customFormat="1" ht="45" x14ac:dyDescent="0.25">
      <c r="A79" s="116" t="str">
        <f t="shared" ref="A79:B79" si="104">A42</f>
        <v>3.9.</v>
      </c>
      <c r="B79" s="140" t="str">
        <f t="shared" si="104"/>
        <v>Договор на аварийно-спасательные работы при чрезвычайных ситуациях на особо опасном объекте (при необходимости)</v>
      </c>
      <c r="C79" s="116" t="s">
        <v>57</v>
      </c>
      <c r="D79" s="117">
        <f t="shared" si="93"/>
        <v>641537.125</v>
      </c>
      <c r="E79" s="117">
        <f t="shared" si="99"/>
        <v>641537.125</v>
      </c>
      <c r="F79" s="117">
        <f t="shared" si="99"/>
        <v>641537.125</v>
      </c>
      <c r="G79" s="117">
        <f t="shared" si="99"/>
        <v>641537.125</v>
      </c>
      <c r="H79" s="117">
        <f t="shared" si="99"/>
        <v>667198.61</v>
      </c>
      <c r="I79" s="117">
        <f t="shared" si="99"/>
        <v>667198.61</v>
      </c>
      <c r="J79" s="117">
        <f t="shared" si="99"/>
        <v>667198.61</v>
      </c>
      <c r="K79" s="117">
        <f t="shared" si="99"/>
        <v>667198.61</v>
      </c>
      <c r="L79" s="117">
        <f t="shared" si="99"/>
        <v>693886.55440000002</v>
      </c>
      <c r="M79" s="117">
        <f t="shared" si="99"/>
        <v>693886.55440000002</v>
      </c>
      <c r="N79" s="117">
        <f t="shared" si="99"/>
        <v>693886.55440000002</v>
      </c>
      <c r="O79" s="117">
        <f t="shared" si="99"/>
        <v>693886.55440000002</v>
      </c>
      <c r="P79" s="117">
        <f t="shared" si="99"/>
        <v>721642.01657600002</v>
      </c>
      <c r="Q79" s="117">
        <f t="shared" si="99"/>
        <v>721642.01657600002</v>
      </c>
      <c r="R79" s="117">
        <f t="shared" si="99"/>
        <v>721642.01657600002</v>
      </c>
      <c r="S79" s="117">
        <f t="shared" si="99"/>
        <v>721642.01657600002</v>
      </c>
      <c r="T79" s="117">
        <f t="shared" si="99"/>
        <v>750507.69723904016</v>
      </c>
      <c r="U79" s="117">
        <f t="shared" si="99"/>
        <v>750507.69723904016</v>
      </c>
      <c r="V79" s="117">
        <f t="shared" si="99"/>
        <v>750507.69723904016</v>
      </c>
      <c r="W79" s="117">
        <f t="shared" si="99"/>
        <v>750507.69723904016</v>
      </c>
      <c r="X79" s="117">
        <f t="shared" si="99"/>
        <v>780528.0051286018</v>
      </c>
      <c r="Y79" s="117">
        <f t="shared" si="99"/>
        <v>780528.0051286018</v>
      </c>
      <c r="Z79" s="117">
        <f t="shared" si="99"/>
        <v>780528.0051286018</v>
      </c>
      <c r="AA79" s="117">
        <f t="shared" si="99"/>
        <v>780528.0051286018</v>
      </c>
      <c r="AB79" s="117">
        <f t="shared" si="99"/>
        <v>811749.12533374596</v>
      </c>
      <c r="AC79" s="117">
        <f t="shared" si="99"/>
        <v>811749.12533374596</v>
      </c>
      <c r="AD79" s="117">
        <f t="shared" si="99"/>
        <v>811749.12533374596</v>
      </c>
      <c r="AE79" s="117">
        <f t="shared" si="99"/>
        <v>811749.12533374596</v>
      </c>
      <c r="AF79" s="117">
        <f t="shared" si="99"/>
        <v>844219.09034709574</v>
      </c>
      <c r="AG79" s="117">
        <f t="shared" si="99"/>
        <v>844219.09034709574</v>
      </c>
      <c r="AH79" s="117">
        <f t="shared" si="99"/>
        <v>844219.09034709574</v>
      </c>
      <c r="AI79" s="117">
        <f t="shared" si="99"/>
        <v>844219.09034709574</v>
      </c>
      <c r="AJ79" s="117">
        <f t="shared" si="99"/>
        <v>877987.85396097973</v>
      </c>
      <c r="AK79" s="117">
        <f t="shared" si="99"/>
        <v>877987.85396097973</v>
      </c>
      <c r="AL79" s="117">
        <f t="shared" si="99"/>
        <v>877987.85396097973</v>
      </c>
      <c r="AM79" s="117">
        <f t="shared" si="99"/>
        <v>877987.85396097973</v>
      </c>
      <c r="AN79" s="117">
        <f t="shared" si="99"/>
        <v>913107.36811941885</v>
      </c>
      <c r="AO79" s="117">
        <f t="shared" si="99"/>
        <v>913107.36811941885</v>
      </c>
      <c r="AP79" s="117">
        <f t="shared" si="99"/>
        <v>913107.36811941885</v>
      </c>
      <c r="AQ79" s="117">
        <f t="shared" si="99"/>
        <v>913107.36811941885</v>
      </c>
    </row>
    <row r="80" spans="1:43" s="39" customFormat="1" x14ac:dyDescent="0.25">
      <c r="A80" s="116">
        <f t="shared" ref="A80:B80" si="105">A43</f>
        <v>4</v>
      </c>
      <c r="B80" s="140" t="str">
        <f t="shared" si="105"/>
        <v>Юридические и бухгалтерские услуги</v>
      </c>
      <c r="C80" s="116" t="s">
        <v>57</v>
      </c>
      <c r="D80" s="117">
        <f t="shared" si="93"/>
        <v>1348499.8125000002</v>
      </c>
      <c r="E80" s="117">
        <f t="shared" si="99"/>
        <v>1348499.8125000002</v>
      </c>
      <c r="F80" s="117">
        <f t="shared" si="99"/>
        <v>1348499.8125000002</v>
      </c>
      <c r="G80" s="117">
        <f t="shared" si="99"/>
        <v>1348499.8125000002</v>
      </c>
      <c r="H80" s="117">
        <f t="shared" si="99"/>
        <v>1402439.8050000002</v>
      </c>
      <c r="I80" s="117">
        <f t="shared" si="99"/>
        <v>1402439.8050000002</v>
      </c>
      <c r="J80" s="117">
        <f t="shared" si="99"/>
        <v>1402439.8050000002</v>
      </c>
      <c r="K80" s="117">
        <f t="shared" si="99"/>
        <v>1402439.8050000002</v>
      </c>
      <c r="L80" s="117">
        <f t="shared" si="99"/>
        <v>1458537.3971999998</v>
      </c>
      <c r="M80" s="117">
        <f t="shared" si="99"/>
        <v>1458537.3971999998</v>
      </c>
      <c r="N80" s="117">
        <f t="shared" si="99"/>
        <v>1458537.3971999998</v>
      </c>
      <c r="O80" s="117">
        <f t="shared" si="99"/>
        <v>1458537.3971999998</v>
      </c>
      <c r="P80" s="117">
        <f t="shared" si="99"/>
        <v>1516878.8930880001</v>
      </c>
      <c r="Q80" s="117">
        <f t="shared" si="99"/>
        <v>1516878.8930880001</v>
      </c>
      <c r="R80" s="117">
        <f t="shared" si="99"/>
        <v>1516878.8930880001</v>
      </c>
      <c r="S80" s="117">
        <f t="shared" si="99"/>
        <v>1516878.8930880001</v>
      </c>
      <c r="T80" s="117">
        <f t="shared" si="99"/>
        <v>1577554.0488115202</v>
      </c>
      <c r="U80" s="117">
        <f t="shared" si="99"/>
        <v>1577554.0488115202</v>
      </c>
      <c r="V80" s="117">
        <f t="shared" si="99"/>
        <v>1577554.0488115202</v>
      </c>
      <c r="W80" s="117">
        <f t="shared" si="99"/>
        <v>1577554.0488115202</v>
      </c>
      <c r="X80" s="117">
        <f t="shared" si="99"/>
        <v>1640656.2107639806</v>
      </c>
      <c r="Y80" s="117">
        <f t="shared" si="99"/>
        <v>1640656.2107639806</v>
      </c>
      <c r="Z80" s="117">
        <f t="shared" si="99"/>
        <v>1640656.2107639806</v>
      </c>
      <c r="AA80" s="117">
        <f t="shared" si="99"/>
        <v>1640656.2107639806</v>
      </c>
      <c r="AB80" s="117">
        <f t="shared" si="99"/>
        <v>1706282.4591945405</v>
      </c>
      <c r="AC80" s="117">
        <f t="shared" si="99"/>
        <v>1706282.4591945405</v>
      </c>
      <c r="AD80" s="117">
        <f t="shared" si="99"/>
        <v>1706282.4591945405</v>
      </c>
      <c r="AE80" s="117">
        <f t="shared" si="99"/>
        <v>1706282.4591945405</v>
      </c>
      <c r="AF80" s="117">
        <f t="shared" si="99"/>
        <v>1774533.7575623221</v>
      </c>
      <c r="AG80" s="117">
        <f t="shared" si="99"/>
        <v>1774533.7575623221</v>
      </c>
      <c r="AH80" s="117">
        <f t="shared" si="99"/>
        <v>1774533.7575623221</v>
      </c>
      <c r="AI80" s="117">
        <f t="shared" si="99"/>
        <v>1774533.7575623221</v>
      </c>
      <c r="AJ80" s="117">
        <f t="shared" si="99"/>
        <v>1845515.1078648148</v>
      </c>
      <c r="AK80" s="117">
        <f t="shared" si="99"/>
        <v>1845515.1078648148</v>
      </c>
      <c r="AL80" s="117">
        <f t="shared" si="99"/>
        <v>1845515.1078648148</v>
      </c>
      <c r="AM80" s="117">
        <f t="shared" si="99"/>
        <v>1845515.1078648148</v>
      </c>
      <c r="AN80" s="117">
        <f t="shared" si="99"/>
        <v>1919335.7121794075</v>
      </c>
      <c r="AO80" s="117">
        <f t="shared" si="99"/>
        <v>1919335.7121794075</v>
      </c>
      <c r="AP80" s="117">
        <f t="shared" si="99"/>
        <v>1919335.7121794075</v>
      </c>
      <c r="AQ80" s="117">
        <f t="shared" si="99"/>
        <v>1919335.7121794075</v>
      </c>
    </row>
    <row r="81" spans="1:43" s="39" customFormat="1" ht="45" x14ac:dyDescent="0.25">
      <c r="A81" s="116" t="str">
        <f t="shared" ref="A81:B81" si="106">A44</f>
        <v>4.1.</v>
      </c>
      <c r="B81" s="140" t="str">
        <f t="shared" si="106"/>
        <v>Бухгалтерский учёт, аудиторское сопровождение, банковские издержки, официальные сборы</v>
      </c>
      <c r="C81" s="116" t="s">
        <v>57</v>
      </c>
      <c r="D81" s="117">
        <f t="shared" si="93"/>
        <v>962307.77250000008</v>
      </c>
      <c r="E81" s="117">
        <f t="shared" si="99"/>
        <v>962307.77250000008</v>
      </c>
      <c r="F81" s="117">
        <f t="shared" si="99"/>
        <v>962307.77250000008</v>
      </c>
      <c r="G81" s="117">
        <f t="shared" si="99"/>
        <v>962307.77250000008</v>
      </c>
      <c r="H81" s="117">
        <f t="shared" si="99"/>
        <v>1000800.0834</v>
      </c>
      <c r="I81" s="117">
        <f t="shared" si="99"/>
        <v>1000800.0834</v>
      </c>
      <c r="J81" s="117">
        <f t="shared" si="99"/>
        <v>1000800.0834</v>
      </c>
      <c r="K81" s="117">
        <f t="shared" si="99"/>
        <v>1000800.0834</v>
      </c>
      <c r="L81" s="117">
        <f t="shared" si="99"/>
        <v>1040832.086736</v>
      </c>
      <c r="M81" s="117">
        <f t="shared" si="99"/>
        <v>1040832.086736</v>
      </c>
      <c r="N81" s="117">
        <f t="shared" si="99"/>
        <v>1040832.086736</v>
      </c>
      <c r="O81" s="117">
        <f t="shared" si="99"/>
        <v>1040832.086736</v>
      </c>
      <c r="P81" s="117">
        <f t="shared" si="99"/>
        <v>1082465.3702054401</v>
      </c>
      <c r="Q81" s="117">
        <f t="shared" si="99"/>
        <v>1082465.3702054401</v>
      </c>
      <c r="R81" s="117">
        <f t="shared" si="99"/>
        <v>1082465.3702054401</v>
      </c>
      <c r="S81" s="117">
        <f t="shared" si="99"/>
        <v>1082465.3702054401</v>
      </c>
      <c r="T81" s="117">
        <f t="shared" si="99"/>
        <v>1125763.9850136577</v>
      </c>
      <c r="U81" s="117">
        <f t="shared" si="99"/>
        <v>1125763.9850136577</v>
      </c>
      <c r="V81" s="117">
        <f t="shared" si="99"/>
        <v>1125763.9850136577</v>
      </c>
      <c r="W81" s="117">
        <f t="shared" ref="E81:AQ87" si="107">W44*$C$63</f>
        <v>1125763.9850136577</v>
      </c>
      <c r="X81" s="117">
        <f t="shared" si="107"/>
        <v>1170794.5444142041</v>
      </c>
      <c r="Y81" s="117">
        <f t="shared" si="107"/>
        <v>1170794.5444142041</v>
      </c>
      <c r="Z81" s="117">
        <f t="shared" si="107"/>
        <v>1170794.5444142041</v>
      </c>
      <c r="AA81" s="117">
        <f t="shared" si="107"/>
        <v>1170794.5444142041</v>
      </c>
      <c r="AB81" s="117">
        <f t="shared" si="107"/>
        <v>1217626.3261907725</v>
      </c>
      <c r="AC81" s="117">
        <f t="shared" si="107"/>
        <v>1217626.3261907725</v>
      </c>
      <c r="AD81" s="117">
        <f t="shared" si="107"/>
        <v>1217626.3261907725</v>
      </c>
      <c r="AE81" s="117">
        <f t="shared" si="107"/>
        <v>1217626.3261907725</v>
      </c>
      <c r="AF81" s="117">
        <f t="shared" si="107"/>
        <v>1266331.3792384034</v>
      </c>
      <c r="AG81" s="117">
        <f t="shared" si="107"/>
        <v>1266331.3792384034</v>
      </c>
      <c r="AH81" s="117">
        <f t="shared" si="107"/>
        <v>1266331.3792384034</v>
      </c>
      <c r="AI81" s="117">
        <f t="shared" si="107"/>
        <v>1266331.3792384034</v>
      </c>
      <c r="AJ81" s="117">
        <f t="shared" si="107"/>
        <v>1316984.6344079394</v>
      </c>
      <c r="AK81" s="117">
        <f t="shared" si="107"/>
        <v>1316984.6344079394</v>
      </c>
      <c r="AL81" s="117">
        <f t="shared" si="107"/>
        <v>1316984.6344079394</v>
      </c>
      <c r="AM81" s="117">
        <f t="shared" si="107"/>
        <v>1316984.6344079394</v>
      </c>
      <c r="AN81" s="117">
        <f t="shared" si="107"/>
        <v>1369664.019784257</v>
      </c>
      <c r="AO81" s="117">
        <f t="shared" si="107"/>
        <v>1369664.019784257</v>
      </c>
      <c r="AP81" s="117">
        <f t="shared" si="107"/>
        <v>1369664.019784257</v>
      </c>
      <c r="AQ81" s="117">
        <f t="shared" si="107"/>
        <v>1369664.019784257</v>
      </c>
    </row>
    <row r="82" spans="1:43" s="39" customFormat="1" ht="120" x14ac:dyDescent="0.25">
      <c r="A82" s="116" t="str">
        <f t="shared" ref="A82:B82" si="108">A45</f>
        <v>4.2.</v>
      </c>
      <c r="B82" s="140" t="str">
        <f t="shared" si="108"/>
        <v xml:space="preserve">Обслуживание  системы контроля и доступа на канатную дорогус возможностью продажи билетов (пластиковых магнитных карточек), обеспечивающий проход расчетного количества посетителей, карточко-приемником, возможность продажи билетов через терминал, возможность считывания билетов, купленных через Интернет, кассовыми аппаратами </v>
      </c>
      <c r="C82" s="116" t="s">
        <v>57</v>
      </c>
      <c r="D82" s="117">
        <f t="shared" si="93"/>
        <v>86875</v>
      </c>
      <c r="E82" s="117">
        <f t="shared" si="107"/>
        <v>86875</v>
      </c>
      <c r="F82" s="117">
        <f t="shared" si="107"/>
        <v>86875</v>
      </c>
      <c r="G82" s="117">
        <f t="shared" si="107"/>
        <v>86875</v>
      </c>
      <c r="H82" s="117">
        <f t="shared" si="107"/>
        <v>90350</v>
      </c>
      <c r="I82" s="117">
        <f t="shared" si="107"/>
        <v>90350</v>
      </c>
      <c r="J82" s="117">
        <f t="shared" si="107"/>
        <v>90350</v>
      </c>
      <c r="K82" s="117">
        <f t="shared" si="107"/>
        <v>90350</v>
      </c>
      <c r="L82" s="117">
        <f t="shared" si="107"/>
        <v>93964</v>
      </c>
      <c r="M82" s="117">
        <f t="shared" si="107"/>
        <v>93964</v>
      </c>
      <c r="N82" s="117">
        <f t="shared" si="107"/>
        <v>93964</v>
      </c>
      <c r="O82" s="117">
        <f t="shared" si="107"/>
        <v>93964</v>
      </c>
      <c r="P82" s="117">
        <f t="shared" si="107"/>
        <v>97722.560000000012</v>
      </c>
      <c r="Q82" s="117">
        <f t="shared" si="107"/>
        <v>97722.560000000012</v>
      </c>
      <c r="R82" s="117">
        <f t="shared" si="107"/>
        <v>97722.560000000012</v>
      </c>
      <c r="S82" s="117">
        <f t="shared" si="107"/>
        <v>97722.560000000012</v>
      </c>
      <c r="T82" s="117">
        <f t="shared" si="107"/>
        <v>101631.46240000002</v>
      </c>
      <c r="U82" s="117">
        <f t="shared" si="107"/>
        <v>101631.46240000002</v>
      </c>
      <c r="V82" s="117">
        <f t="shared" si="107"/>
        <v>101631.46240000002</v>
      </c>
      <c r="W82" s="117">
        <f t="shared" si="107"/>
        <v>101631.46240000002</v>
      </c>
      <c r="X82" s="117">
        <f t="shared" si="107"/>
        <v>105696.72089600003</v>
      </c>
      <c r="Y82" s="117">
        <f t="shared" si="107"/>
        <v>105696.72089600003</v>
      </c>
      <c r="Z82" s="117">
        <f t="shared" si="107"/>
        <v>105696.72089600003</v>
      </c>
      <c r="AA82" s="117">
        <f t="shared" si="107"/>
        <v>105696.72089600003</v>
      </c>
      <c r="AB82" s="117">
        <f t="shared" si="107"/>
        <v>109924.58973184002</v>
      </c>
      <c r="AC82" s="117">
        <f t="shared" si="107"/>
        <v>109924.58973184002</v>
      </c>
      <c r="AD82" s="117">
        <f t="shared" si="107"/>
        <v>109924.58973184002</v>
      </c>
      <c r="AE82" s="117">
        <f t="shared" si="107"/>
        <v>109924.58973184002</v>
      </c>
      <c r="AF82" s="117">
        <f t="shared" si="107"/>
        <v>114321.57332111364</v>
      </c>
      <c r="AG82" s="117">
        <f t="shared" si="107"/>
        <v>114321.57332111364</v>
      </c>
      <c r="AH82" s="117">
        <f t="shared" si="107"/>
        <v>114321.57332111364</v>
      </c>
      <c r="AI82" s="117">
        <f t="shared" si="107"/>
        <v>114321.57332111364</v>
      </c>
      <c r="AJ82" s="117">
        <f t="shared" si="107"/>
        <v>118894.43625395819</v>
      </c>
      <c r="AK82" s="117">
        <f t="shared" si="107"/>
        <v>118894.43625395819</v>
      </c>
      <c r="AL82" s="117">
        <f t="shared" si="107"/>
        <v>118894.43625395819</v>
      </c>
      <c r="AM82" s="117">
        <f t="shared" si="107"/>
        <v>118894.43625395819</v>
      </c>
      <c r="AN82" s="117">
        <f t="shared" si="107"/>
        <v>123650.21370411653</v>
      </c>
      <c r="AO82" s="117">
        <f t="shared" si="107"/>
        <v>123650.21370411653</v>
      </c>
      <c r="AP82" s="117">
        <f t="shared" si="107"/>
        <v>123650.21370411653</v>
      </c>
      <c r="AQ82" s="117">
        <f t="shared" si="107"/>
        <v>123650.21370411653</v>
      </c>
    </row>
    <row r="83" spans="1:43" s="39" customFormat="1" ht="45" x14ac:dyDescent="0.25">
      <c r="A83" s="116" t="str">
        <f t="shared" ref="A83:B83" si="109">A46</f>
        <v>4.3.</v>
      </c>
      <c r="B83" s="140" t="str">
        <f t="shared" si="109"/>
        <v>Ежегодное обслуживание работы системы с возможностью дистанционного обслуживания, либо фактическим присутствием специалиста.</v>
      </c>
      <c r="C83" s="116" t="s">
        <v>57</v>
      </c>
      <c r="D83" s="117">
        <f t="shared" si="93"/>
        <v>189264.48500000002</v>
      </c>
      <c r="E83" s="117">
        <f t="shared" si="107"/>
        <v>189264.48500000002</v>
      </c>
      <c r="F83" s="117">
        <f t="shared" si="107"/>
        <v>189264.48500000002</v>
      </c>
      <c r="G83" s="117">
        <f t="shared" si="107"/>
        <v>189264.48500000002</v>
      </c>
      <c r="H83" s="117">
        <f t="shared" si="107"/>
        <v>196835.0644</v>
      </c>
      <c r="I83" s="117">
        <f t="shared" si="107"/>
        <v>196835.0644</v>
      </c>
      <c r="J83" s="117">
        <f t="shared" si="107"/>
        <v>196835.0644</v>
      </c>
      <c r="K83" s="117">
        <f t="shared" si="107"/>
        <v>196835.0644</v>
      </c>
      <c r="L83" s="117">
        <f t="shared" si="107"/>
        <v>204708.466976</v>
      </c>
      <c r="M83" s="117">
        <f t="shared" si="107"/>
        <v>204708.466976</v>
      </c>
      <c r="N83" s="117">
        <f t="shared" si="107"/>
        <v>204708.466976</v>
      </c>
      <c r="O83" s="117">
        <f t="shared" si="107"/>
        <v>204708.466976</v>
      </c>
      <c r="P83" s="117">
        <f t="shared" si="107"/>
        <v>212896.80565504002</v>
      </c>
      <c r="Q83" s="117">
        <f t="shared" si="107"/>
        <v>212896.80565504002</v>
      </c>
      <c r="R83" s="117">
        <f t="shared" si="107"/>
        <v>212896.80565504002</v>
      </c>
      <c r="S83" s="117">
        <f t="shared" si="107"/>
        <v>212896.80565504002</v>
      </c>
      <c r="T83" s="117">
        <f t="shared" si="107"/>
        <v>221412.6778812416</v>
      </c>
      <c r="U83" s="117">
        <f t="shared" si="107"/>
        <v>221412.6778812416</v>
      </c>
      <c r="V83" s="117">
        <f t="shared" si="107"/>
        <v>221412.6778812416</v>
      </c>
      <c r="W83" s="117">
        <f t="shared" si="107"/>
        <v>221412.6778812416</v>
      </c>
      <c r="X83" s="117">
        <f t="shared" si="107"/>
        <v>230269.18499649127</v>
      </c>
      <c r="Y83" s="117">
        <f t="shared" si="107"/>
        <v>230269.18499649127</v>
      </c>
      <c r="Z83" s="117">
        <f t="shared" si="107"/>
        <v>230269.18499649127</v>
      </c>
      <c r="AA83" s="117">
        <f t="shared" si="107"/>
        <v>230269.18499649127</v>
      </c>
      <c r="AB83" s="117">
        <f t="shared" si="107"/>
        <v>239479.95239635094</v>
      </c>
      <c r="AC83" s="117">
        <f t="shared" si="107"/>
        <v>239479.95239635094</v>
      </c>
      <c r="AD83" s="117">
        <f t="shared" si="107"/>
        <v>239479.95239635094</v>
      </c>
      <c r="AE83" s="117">
        <f t="shared" si="107"/>
        <v>239479.95239635094</v>
      </c>
      <c r="AF83" s="117">
        <f t="shared" si="107"/>
        <v>249059.15049220499</v>
      </c>
      <c r="AG83" s="117">
        <f t="shared" si="107"/>
        <v>249059.15049220499</v>
      </c>
      <c r="AH83" s="117">
        <f t="shared" si="107"/>
        <v>249059.15049220499</v>
      </c>
      <c r="AI83" s="117">
        <f t="shared" si="107"/>
        <v>249059.15049220499</v>
      </c>
      <c r="AJ83" s="117">
        <f t="shared" si="107"/>
        <v>259021.51651189319</v>
      </c>
      <c r="AK83" s="117">
        <f t="shared" si="107"/>
        <v>259021.51651189319</v>
      </c>
      <c r="AL83" s="117">
        <f t="shared" si="107"/>
        <v>259021.51651189319</v>
      </c>
      <c r="AM83" s="117">
        <f t="shared" si="107"/>
        <v>259021.51651189319</v>
      </c>
      <c r="AN83" s="117">
        <f t="shared" si="107"/>
        <v>269382.37717236893</v>
      </c>
      <c r="AO83" s="117">
        <f t="shared" si="107"/>
        <v>269382.37717236893</v>
      </c>
      <c r="AP83" s="117">
        <f t="shared" si="107"/>
        <v>269382.37717236893</v>
      </c>
      <c r="AQ83" s="117">
        <f t="shared" si="107"/>
        <v>269382.37717236893</v>
      </c>
    </row>
    <row r="84" spans="1:43" s="39" customFormat="1" x14ac:dyDescent="0.25">
      <c r="A84" s="116" t="str">
        <f t="shared" ref="A84:B84" si="110">A47</f>
        <v>4.4.</v>
      </c>
      <c r="B84" s="140" t="str">
        <f t="shared" si="110"/>
        <v>Оплата труда кассиров</v>
      </c>
      <c r="C84" s="116" t="s">
        <v>57</v>
      </c>
      <c r="D84" s="117">
        <f t="shared" si="93"/>
        <v>90539.040000000008</v>
      </c>
      <c r="E84" s="117">
        <f t="shared" si="107"/>
        <v>90539.040000000008</v>
      </c>
      <c r="F84" s="117">
        <f t="shared" si="107"/>
        <v>90539.040000000008</v>
      </c>
      <c r="G84" s="117">
        <f t="shared" si="107"/>
        <v>90539.040000000008</v>
      </c>
      <c r="H84" s="117">
        <f t="shared" si="107"/>
        <v>94160.601599999995</v>
      </c>
      <c r="I84" s="117">
        <f t="shared" si="107"/>
        <v>94160.601599999995</v>
      </c>
      <c r="J84" s="117">
        <f t="shared" si="107"/>
        <v>94160.601599999995</v>
      </c>
      <c r="K84" s="117">
        <f t="shared" si="107"/>
        <v>94160.601599999995</v>
      </c>
      <c r="L84" s="117">
        <f t="shared" si="107"/>
        <v>97927.025664000001</v>
      </c>
      <c r="M84" s="117">
        <f t="shared" si="107"/>
        <v>97927.025664000001</v>
      </c>
      <c r="N84" s="117">
        <f t="shared" si="107"/>
        <v>97927.025664000001</v>
      </c>
      <c r="O84" s="117">
        <f t="shared" si="107"/>
        <v>97927.025664000001</v>
      </c>
      <c r="P84" s="117">
        <f t="shared" si="107"/>
        <v>101844.10669056</v>
      </c>
      <c r="Q84" s="117">
        <f t="shared" si="107"/>
        <v>101844.10669056</v>
      </c>
      <c r="R84" s="117">
        <f t="shared" si="107"/>
        <v>101844.10669056</v>
      </c>
      <c r="S84" s="117">
        <f t="shared" si="107"/>
        <v>101844.10669056</v>
      </c>
      <c r="T84" s="117">
        <f t="shared" si="107"/>
        <v>105917.87095818241</v>
      </c>
      <c r="U84" s="117">
        <f t="shared" si="107"/>
        <v>105917.87095818241</v>
      </c>
      <c r="V84" s="117">
        <f t="shared" si="107"/>
        <v>105917.87095818241</v>
      </c>
      <c r="W84" s="117">
        <f t="shared" si="107"/>
        <v>105917.87095818241</v>
      </c>
      <c r="X84" s="117">
        <f t="shared" si="107"/>
        <v>110154.58579650969</v>
      </c>
      <c r="Y84" s="117">
        <f t="shared" si="107"/>
        <v>110154.58579650969</v>
      </c>
      <c r="Z84" s="117">
        <f t="shared" si="107"/>
        <v>110154.58579650969</v>
      </c>
      <c r="AA84" s="117">
        <f t="shared" si="107"/>
        <v>110154.58579650969</v>
      </c>
      <c r="AB84" s="117">
        <f t="shared" si="107"/>
        <v>114560.76922837009</v>
      </c>
      <c r="AC84" s="117">
        <f t="shared" si="107"/>
        <v>114560.76922837009</v>
      </c>
      <c r="AD84" s="117">
        <f t="shared" si="107"/>
        <v>114560.76922837009</v>
      </c>
      <c r="AE84" s="117">
        <f t="shared" si="107"/>
        <v>114560.76922837009</v>
      </c>
      <c r="AF84" s="117">
        <f t="shared" si="107"/>
        <v>119143.1999975049</v>
      </c>
      <c r="AG84" s="117">
        <f t="shared" si="107"/>
        <v>119143.1999975049</v>
      </c>
      <c r="AH84" s="117">
        <f t="shared" si="107"/>
        <v>119143.1999975049</v>
      </c>
      <c r="AI84" s="117">
        <f t="shared" si="107"/>
        <v>119143.1999975049</v>
      </c>
      <c r="AJ84" s="117">
        <f t="shared" si="107"/>
        <v>123908.92799740509</v>
      </c>
      <c r="AK84" s="117">
        <f t="shared" si="107"/>
        <v>123908.92799740509</v>
      </c>
      <c r="AL84" s="117">
        <f t="shared" si="107"/>
        <v>123908.92799740509</v>
      </c>
      <c r="AM84" s="117">
        <f t="shared" si="107"/>
        <v>123908.92799740509</v>
      </c>
      <c r="AN84" s="117">
        <f t="shared" si="107"/>
        <v>128865.2851173013</v>
      </c>
      <c r="AO84" s="117">
        <f t="shared" si="107"/>
        <v>128865.2851173013</v>
      </c>
      <c r="AP84" s="117">
        <f t="shared" si="107"/>
        <v>128865.2851173013</v>
      </c>
      <c r="AQ84" s="117">
        <f t="shared" si="107"/>
        <v>128865.2851173013</v>
      </c>
    </row>
    <row r="85" spans="1:43" s="39" customFormat="1" x14ac:dyDescent="0.25">
      <c r="A85" s="116" t="str">
        <f t="shared" ref="A85:B85" si="111">A48</f>
        <v>4.5.</v>
      </c>
      <c r="B85" s="140" t="str">
        <f t="shared" si="111"/>
        <v>Ежедневная инкассация</v>
      </c>
      <c r="C85" s="116" t="s">
        <v>57</v>
      </c>
      <c r="D85" s="117">
        <f t="shared" si="93"/>
        <v>19513.514999999999</v>
      </c>
      <c r="E85" s="117">
        <f t="shared" si="107"/>
        <v>19513.514999999999</v>
      </c>
      <c r="F85" s="117">
        <f t="shared" si="107"/>
        <v>19513.514999999999</v>
      </c>
      <c r="G85" s="117">
        <f t="shared" si="107"/>
        <v>19513.514999999999</v>
      </c>
      <c r="H85" s="117">
        <f t="shared" si="107"/>
        <v>20294.0556</v>
      </c>
      <c r="I85" s="117">
        <f t="shared" si="107"/>
        <v>20294.0556</v>
      </c>
      <c r="J85" s="117">
        <f t="shared" si="107"/>
        <v>20294.0556</v>
      </c>
      <c r="K85" s="117">
        <f t="shared" si="107"/>
        <v>20294.0556</v>
      </c>
      <c r="L85" s="117">
        <f t="shared" si="107"/>
        <v>21105.817823999998</v>
      </c>
      <c r="M85" s="117">
        <f t="shared" si="107"/>
        <v>21105.817823999998</v>
      </c>
      <c r="N85" s="117">
        <f t="shared" si="107"/>
        <v>21105.817823999998</v>
      </c>
      <c r="O85" s="117">
        <f t="shared" si="107"/>
        <v>21105.817823999998</v>
      </c>
      <c r="P85" s="117">
        <f t="shared" si="107"/>
        <v>21950.05053696</v>
      </c>
      <c r="Q85" s="117">
        <f t="shared" si="107"/>
        <v>21950.05053696</v>
      </c>
      <c r="R85" s="117">
        <f t="shared" si="107"/>
        <v>21950.05053696</v>
      </c>
      <c r="S85" s="117">
        <f t="shared" si="107"/>
        <v>21950.05053696</v>
      </c>
      <c r="T85" s="117">
        <f t="shared" si="107"/>
        <v>22828.052558438398</v>
      </c>
      <c r="U85" s="117">
        <f t="shared" si="107"/>
        <v>22828.052558438398</v>
      </c>
      <c r="V85" s="117">
        <f t="shared" si="107"/>
        <v>22828.052558438398</v>
      </c>
      <c r="W85" s="117">
        <f t="shared" si="107"/>
        <v>22828.052558438398</v>
      </c>
      <c r="X85" s="117">
        <f t="shared" si="107"/>
        <v>23741.174660775934</v>
      </c>
      <c r="Y85" s="117">
        <f t="shared" si="107"/>
        <v>23741.174660775934</v>
      </c>
      <c r="Z85" s="117">
        <f t="shared" si="107"/>
        <v>23741.174660775934</v>
      </c>
      <c r="AA85" s="117">
        <f t="shared" si="107"/>
        <v>23741.174660775934</v>
      </c>
      <c r="AB85" s="117">
        <f t="shared" si="107"/>
        <v>24690.821647206973</v>
      </c>
      <c r="AC85" s="117">
        <f t="shared" si="107"/>
        <v>24690.821647206973</v>
      </c>
      <c r="AD85" s="117">
        <f t="shared" si="107"/>
        <v>24690.821647206973</v>
      </c>
      <c r="AE85" s="117">
        <f t="shared" si="107"/>
        <v>24690.821647206973</v>
      </c>
      <c r="AF85" s="117">
        <f t="shared" si="107"/>
        <v>25678.454513095254</v>
      </c>
      <c r="AG85" s="117">
        <f t="shared" si="107"/>
        <v>25678.454513095254</v>
      </c>
      <c r="AH85" s="117">
        <f t="shared" si="107"/>
        <v>25678.454513095254</v>
      </c>
      <c r="AI85" s="117">
        <f t="shared" si="107"/>
        <v>25678.454513095254</v>
      </c>
      <c r="AJ85" s="117">
        <f t="shared" si="107"/>
        <v>26705.592693619063</v>
      </c>
      <c r="AK85" s="117">
        <f t="shared" si="107"/>
        <v>26705.592693619063</v>
      </c>
      <c r="AL85" s="117">
        <f t="shared" si="107"/>
        <v>26705.592693619063</v>
      </c>
      <c r="AM85" s="117">
        <f t="shared" si="107"/>
        <v>26705.592693619063</v>
      </c>
      <c r="AN85" s="117">
        <f t="shared" si="107"/>
        <v>27773.816401363827</v>
      </c>
      <c r="AO85" s="117">
        <f t="shared" si="107"/>
        <v>27773.816401363827</v>
      </c>
      <c r="AP85" s="117">
        <f t="shared" si="107"/>
        <v>27773.816401363827</v>
      </c>
      <c r="AQ85" s="117">
        <f t="shared" si="107"/>
        <v>27773.816401363827</v>
      </c>
    </row>
    <row r="86" spans="1:43" s="39" customFormat="1" x14ac:dyDescent="0.25">
      <c r="A86" s="116">
        <f t="shared" ref="A86:B86" si="112">A49</f>
        <v>5</v>
      </c>
      <c r="B86" s="140" t="str">
        <f t="shared" si="112"/>
        <v>Внешний сервис</v>
      </c>
      <c r="C86" s="116" t="s">
        <v>57</v>
      </c>
      <c r="D86" s="117">
        <f t="shared" si="93"/>
        <v>781298.15</v>
      </c>
      <c r="E86" s="117">
        <f t="shared" si="107"/>
        <v>781298.15</v>
      </c>
      <c r="F86" s="117">
        <f t="shared" si="107"/>
        <v>781298.15</v>
      </c>
      <c r="G86" s="117">
        <f t="shared" si="107"/>
        <v>781298.15</v>
      </c>
      <c r="H86" s="117">
        <f t="shared" si="107"/>
        <v>812550.076</v>
      </c>
      <c r="I86" s="117">
        <f t="shared" si="107"/>
        <v>812550.076</v>
      </c>
      <c r="J86" s="117">
        <f t="shared" si="107"/>
        <v>812550.076</v>
      </c>
      <c r="K86" s="117">
        <f t="shared" si="107"/>
        <v>812550.076</v>
      </c>
      <c r="L86" s="117">
        <f t="shared" si="107"/>
        <v>845052.07903999998</v>
      </c>
      <c r="M86" s="117">
        <f t="shared" si="107"/>
        <v>845052.07903999998</v>
      </c>
      <c r="N86" s="117">
        <f t="shared" si="107"/>
        <v>845052.07903999998</v>
      </c>
      <c r="O86" s="117">
        <f t="shared" si="107"/>
        <v>845052.07903999998</v>
      </c>
      <c r="P86" s="117">
        <f t="shared" si="107"/>
        <v>878854.16220160003</v>
      </c>
      <c r="Q86" s="117">
        <f t="shared" si="107"/>
        <v>878854.16220160003</v>
      </c>
      <c r="R86" s="117">
        <f t="shared" si="107"/>
        <v>878854.16220160003</v>
      </c>
      <c r="S86" s="117">
        <f t="shared" si="107"/>
        <v>878854.16220160003</v>
      </c>
      <c r="T86" s="117">
        <f t="shared" si="107"/>
        <v>914008.32868966414</v>
      </c>
      <c r="U86" s="117">
        <f t="shared" si="107"/>
        <v>914008.32868966414</v>
      </c>
      <c r="V86" s="117">
        <f t="shared" si="107"/>
        <v>914008.32868966414</v>
      </c>
      <c r="W86" s="117">
        <f t="shared" si="107"/>
        <v>914008.32868966414</v>
      </c>
      <c r="X86" s="117">
        <f t="shared" si="107"/>
        <v>950568.66183725058</v>
      </c>
      <c r="Y86" s="117">
        <f t="shared" si="107"/>
        <v>950568.66183725058</v>
      </c>
      <c r="Z86" s="117">
        <f t="shared" si="107"/>
        <v>950568.66183725058</v>
      </c>
      <c r="AA86" s="117">
        <f t="shared" si="107"/>
        <v>950568.66183725058</v>
      </c>
      <c r="AB86" s="117">
        <f t="shared" si="107"/>
        <v>988591.40831074084</v>
      </c>
      <c r="AC86" s="117">
        <f t="shared" si="107"/>
        <v>988591.40831074084</v>
      </c>
      <c r="AD86" s="117">
        <f t="shared" si="107"/>
        <v>988591.40831074084</v>
      </c>
      <c r="AE86" s="117">
        <f t="shared" si="107"/>
        <v>988591.40831074084</v>
      </c>
      <c r="AF86" s="117">
        <f t="shared" si="107"/>
        <v>1028135.0646431705</v>
      </c>
      <c r="AG86" s="117">
        <f t="shared" si="107"/>
        <v>1028135.0646431705</v>
      </c>
      <c r="AH86" s="117">
        <f t="shared" si="107"/>
        <v>1028135.0646431705</v>
      </c>
      <c r="AI86" s="117">
        <f t="shared" si="107"/>
        <v>1028135.0646431705</v>
      </c>
      <c r="AJ86" s="117">
        <f t="shared" si="107"/>
        <v>1069260.4672288974</v>
      </c>
      <c r="AK86" s="117">
        <f t="shared" si="107"/>
        <v>1069260.4672288974</v>
      </c>
      <c r="AL86" s="117">
        <f t="shared" si="107"/>
        <v>1069260.4672288974</v>
      </c>
      <c r="AM86" s="117">
        <f t="shared" si="107"/>
        <v>1069260.4672288974</v>
      </c>
      <c r="AN86" s="117">
        <f t="shared" si="107"/>
        <v>1112030.8859180531</v>
      </c>
      <c r="AO86" s="117">
        <f t="shared" si="107"/>
        <v>1112030.8859180531</v>
      </c>
      <c r="AP86" s="117">
        <f t="shared" si="107"/>
        <v>1112030.8859180531</v>
      </c>
      <c r="AQ86" s="117">
        <f t="shared" si="107"/>
        <v>1112030.8859180531</v>
      </c>
    </row>
    <row r="87" spans="1:43" s="39" customFormat="1" ht="45" x14ac:dyDescent="0.25">
      <c r="A87" s="116" t="str">
        <f t="shared" ref="A87:B87" si="113">A50</f>
        <v>5.1.</v>
      </c>
      <c r="B87" s="140" t="str">
        <f t="shared" si="113"/>
        <v>Уборочные работы (разовые, постоянные, утро-вечер, закупка уборочного инвентаря и закупка моющих средств)</v>
      </c>
      <c r="C87" s="116" t="s">
        <v>57</v>
      </c>
      <c r="D87" s="117">
        <f t="shared" si="93"/>
        <v>254641.05000000002</v>
      </c>
      <c r="E87" s="117">
        <f t="shared" si="107"/>
        <v>254641.05000000002</v>
      </c>
      <c r="F87" s="117">
        <f t="shared" si="107"/>
        <v>254641.05000000002</v>
      </c>
      <c r="G87" s="117">
        <f t="shared" si="107"/>
        <v>254641.05000000002</v>
      </c>
      <c r="H87" s="117">
        <f t="shared" si="107"/>
        <v>264826.69199999998</v>
      </c>
      <c r="I87" s="117">
        <f t="shared" si="107"/>
        <v>264826.69199999998</v>
      </c>
      <c r="J87" s="117">
        <f t="shared" si="107"/>
        <v>264826.69199999998</v>
      </c>
      <c r="K87" s="117">
        <f t="shared" si="107"/>
        <v>264826.69199999998</v>
      </c>
      <c r="L87" s="117">
        <f t="shared" si="107"/>
        <v>275419.75968000002</v>
      </c>
      <c r="M87" s="117">
        <f t="shared" si="107"/>
        <v>275419.75968000002</v>
      </c>
      <c r="N87" s="117">
        <f t="shared" si="107"/>
        <v>275419.75968000002</v>
      </c>
      <c r="O87" s="117">
        <f t="shared" si="107"/>
        <v>275419.75968000002</v>
      </c>
      <c r="P87" s="117">
        <f t="shared" si="107"/>
        <v>286436.55006719998</v>
      </c>
      <c r="Q87" s="117">
        <f t="shared" si="107"/>
        <v>286436.55006719998</v>
      </c>
      <c r="R87" s="117">
        <f t="shared" si="107"/>
        <v>286436.55006719998</v>
      </c>
      <c r="S87" s="117">
        <f t="shared" si="107"/>
        <v>286436.55006719998</v>
      </c>
      <c r="T87" s="117">
        <f t="shared" si="107"/>
        <v>297894.01206988801</v>
      </c>
      <c r="U87" s="117">
        <f t="shared" si="107"/>
        <v>297894.01206988801</v>
      </c>
      <c r="V87" s="117">
        <f t="shared" si="107"/>
        <v>297894.01206988801</v>
      </c>
      <c r="W87" s="117">
        <f t="shared" si="107"/>
        <v>297894.01206988801</v>
      </c>
      <c r="X87" s="117">
        <f t="shared" si="107"/>
        <v>309809.77255268354</v>
      </c>
      <c r="Y87" s="117">
        <f t="shared" si="107"/>
        <v>309809.77255268354</v>
      </c>
      <c r="Z87" s="117">
        <f t="shared" si="107"/>
        <v>309809.77255268354</v>
      </c>
      <c r="AA87" s="117">
        <f t="shared" si="107"/>
        <v>309809.77255268354</v>
      </c>
      <c r="AB87" s="117">
        <f t="shared" si="107"/>
        <v>322202.16345479089</v>
      </c>
      <c r="AC87" s="117">
        <f t="shared" si="107"/>
        <v>322202.16345479089</v>
      </c>
      <c r="AD87" s="117">
        <f t="shared" si="107"/>
        <v>322202.16345479089</v>
      </c>
      <c r="AE87" s="117">
        <f t="shared" si="107"/>
        <v>322202.16345479089</v>
      </c>
      <c r="AF87" s="117">
        <f t="shared" si="107"/>
        <v>335090.24999298254</v>
      </c>
      <c r="AG87" s="117">
        <f t="shared" si="107"/>
        <v>335090.24999298254</v>
      </c>
      <c r="AH87" s="117">
        <f t="shared" si="107"/>
        <v>335090.24999298254</v>
      </c>
      <c r="AI87" s="117">
        <f t="shared" si="107"/>
        <v>335090.24999298254</v>
      </c>
      <c r="AJ87" s="117">
        <f t="shared" si="107"/>
        <v>348493.85999270185</v>
      </c>
      <c r="AK87" s="117">
        <f t="shared" si="107"/>
        <v>348493.85999270185</v>
      </c>
      <c r="AL87" s="117">
        <f t="shared" si="107"/>
        <v>348493.85999270185</v>
      </c>
      <c r="AM87" s="117">
        <f t="shared" si="107"/>
        <v>348493.85999270185</v>
      </c>
      <c r="AN87" s="117">
        <f t="shared" si="107"/>
        <v>362433.61439240992</v>
      </c>
      <c r="AO87" s="117">
        <f t="shared" si="107"/>
        <v>362433.61439240992</v>
      </c>
      <c r="AP87" s="117">
        <f t="shared" si="107"/>
        <v>362433.61439240992</v>
      </c>
      <c r="AQ87" s="117">
        <f t="shared" si="107"/>
        <v>362433.61439240992</v>
      </c>
    </row>
    <row r="88" spans="1:43" s="39" customFormat="1" ht="60" x14ac:dyDescent="0.25">
      <c r="A88" s="116" t="str">
        <f t="shared" ref="A88:B88" si="114">A51</f>
        <v>5.2.</v>
      </c>
      <c r="B88" s="140" t="str">
        <f t="shared" si="114"/>
        <v>Охрана (круглосуточная охрана с количеством постов, обеспечивающих сохранность имущества и безопасность посетителей на объекте "Канатная дорога"</v>
      </c>
      <c r="C88" s="116" t="s">
        <v>57</v>
      </c>
      <c r="D88" s="117">
        <f t="shared" si="93"/>
        <v>509282.10000000003</v>
      </c>
      <c r="E88" s="117">
        <f t="shared" ref="E88:AQ94" si="115">E51*$C$63</f>
        <v>509282.10000000003</v>
      </c>
      <c r="F88" s="117">
        <f t="shared" si="115"/>
        <v>509282.10000000003</v>
      </c>
      <c r="G88" s="117">
        <f t="shared" si="115"/>
        <v>509282.10000000003</v>
      </c>
      <c r="H88" s="117">
        <f t="shared" si="115"/>
        <v>529653.38399999996</v>
      </c>
      <c r="I88" s="117">
        <f t="shared" si="115"/>
        <v>529653.38399999996</v>
      </c>
      <c r="J88" s="117">
        <f t="shared" si="115"/>
        <v>529653.38399999996</v>
      </c>
      <c r="K88" s="117">
        <f t="shared" si="115"/>
        <v>529653.38399999996</v>
      </c>
      <c r="L88" s="117">
        <f t="shared" si="115"/>
        <v>550839.51936000003</v>
      </c>
      <c r="M88" s="117">
        <f t="shared" si="115"/>
        <v>550839.51936000003</v>
      </c>
      <c r="N88" s="117">
        <f t="shared" si="115"/>
        <v>550839.51936000003</v>
      </c>
      <c r="O88" s="117">
        <f t="shared" si="115"/>
        <v>550839.51936000003</v>
      </c>
      <c r="P88" s="117">
        <f t="shared" si="115"/>
        <v>572873.10013439995</v>
      </c>
      <c r="Q88" s="117">
        <f t="shared" si="115"/>
        <v>572873.10013439995</v>
      </c>
      <c r="R88" s="117">
        <f t="shared" si="115"/>
        <v>572873.10013439995</v>
      </c>
      <c r="S88" s="117">
        <f t="shared" si="115"/>
        <v>572873.10013439995</v>
      </c>
      <c r="T88" s="117">
        <f t="shared" si="115"/>
        <v>595788.02413977601</v>
      </c>
      <c r="U88" s="117">
        <f t="shared" si="115"/>
        <v>595788.02413977601</v>
      </c>
      <c r="V88" s="117">
        <f t="shared" si="115"/>
        <v>595788.02413977601</v>
      </c>
      <c r="W88" s="117">
        <f t="shared" si="115"/>
        <v>595788.02413977601</v>
      </c>
      <c r="X88" s="117">
        <f t="shared" si="115"/>
        <v>619619.54510536708</v>
      </c>
      <c r="Y88" s="117">
        <f t="shared" si="115"/>
        <v>619619.54510536708</v>
      </c>
      <c r="Z88" s="117">
        <f t="shared" si="115"/>
        <v>619619.54510536708</v>
      </c>
      <c r="AA88" s="117">
        <f t="shared" si="115"/>
        <v>619619.54510536708</v>
      </c>
      <c r="AB88" s="117">
        <f t="shared" si="115"/>
        <v>644404.32690958178</v>
      </c>
      <c r="AC88" s="117">
        <f t="shared" si="115"/>
        <v>644404.32690958178</v>
      </c>
      <c r="AD88" s="117">
        <f t="shared" si="115"/>
        <v>644404.32690958178</v>
      </c>
      <c r="AE88" s="117">
        <f t="shared" si="115"/>
        <v>644404.32690958178</v>
      </c>
      <c r="AF88" s="117">
        <f t="shared" si="115"/>
        <v>670180.49998596509</v>
      </c>
      <c r="AG88" s="117">
        <f t="shared" si="115"/>
        <v>670180.49998596509</v>
      </c>
      <c r="AH88" s="117">
        <f t="shared" si="115"/>
        <v>670180.49998596509</v>
      </c>
      <c r="AI88" s="117">
        <f t="shared" si="115"/>
        <v>670180.49998596509</v>
      </c>
      <c r="AJ88" s="117">
        <f t="shared" si="115"/>
        <v>696987.7199854037</v>
      </c>
      <c r="AK88" s="117">
        <f t="shared" si="115"/>
        <v>696987.7199854037</v>
      </c>
      <c r="AL88" s="117">
        <f t="shared" si="115"/>
        <v>696987.7199854037</v>
      </c>
      <c r="AM88" s="117">
        <f t="shared" si="115"/>
        <v>696987.7199854037</v>
      </c>
      <c r="AN88" s="117">
        <f t="shared" si="115"/>
        <v>724867.22878481983</v>
      </c>
      <c r="AO88" s="117">
        <f t="shared" si="115"/>
        <v>724867.22878481983</v>
      </c>
      <c r="AP88" s="117">
        <f t="shared" si="115"/>
        <v>724867.22878481983</v>
      </c>
      <c r="AQ88" s="117">
        <f t="shared" si="115"/>
        <v>724867.22878481983</v>
      </c>
    </row>
    <row r="89" spans="1:43" s="39" customFormat="1" x14ac:dyDescent="0.25">
      <c r="A89" s="116" t="str">
        <f t="shared" ref="A89:B89" si="116">A52</f>
        <v>5.3.</v>
      </c>
      <c r="B89" s="140" t="str">
        <f t="shared" si="116"/>
        <v xml:space="preserve">Затраты на электроэнергию </v>
      </c>
      <c r="C89" s="116" t="s">
        <v>57</v>
      </c>
      <c r="D89" s="117">
        <f t="shared" si="93"/>
        <v>17375</v>
      </c>
      <c r="E89" s="117">
        <f t="shared" si="115"/>
        <v>17375</v>
      </c>
      <c r="F89" s="117">
        <f t="shared" si="115"/>
        <v>17375</v>
      </c>
      <c r="G89" s="117">
        <f t="shared" si="115"/>
        <v>17375</v>
      </c>
      <c r="H89" s="117">
        <f t="shared" si="115"/>
        <v>18070</v>
      </c>
      <c r="I89" s="117">
        <f t="shared" si="115"/>
        <v>18070</v>
      </c>
      <c r="J89" s="117">
        <f t="shared" si="115"/>
        <v>18070</v>
      </c>
      <c r="K89" s="117">
        <f t="shared" si="115"/>
        <v>18070</v>
      </c>
      <c r="L89" s="117">
        <f t="shared" si="115"/>
        <v>18792.800000000003</v>
      </c>
      <c r="M89" s="117">
        <f t="shared" si="115"/>
        <v>18792.800000000003</v>
      </c>
      <c r="N89" s="117">
        <f t="shared" si="115"/>
        <v>18792.800000000003</v>
      </c>
      <c r="O89" s="117">
        <f t="shared" si="115"/>
        <v>18792.800000000003</v>
      </c>
      <c r="P89" s="117">
        <f t="shared" si="115"/>
        <v>19544.512000000006</v>
      </c>
      <c r="Q89" s="117">
        <f t="shared" si="115"/>
        <v>19544.512000000006</v>
      </c>
      <c r="R89" s="117">
        <f t="shared" si="115"/>
        <v>19544.512000000006</v>
      </c>
      <c r="S89" s="117">
        <f t="shared" si="115"/>
        <v>19544.512000000006</v>
      </c>
      <c r="T89" s="117">
        <f t="shared" si="115"/>
        <v>20326.292480000007</v>
      </c>
      <c r="U89" s="117">
        <f t="shared" si="115"/>
        <v>20326.292480000007</v>
      </c>
      <c r="V89" s="117">
        <f t="shared" si="115"/>
        <v>20326.292480000007</v>
      </c>
      <c r="W89" s="117">
        <f t="shared" si="115"/>
        <v>20326.292480000007</v>
      </c>
      <c r="X89" s="117">
        <f t="shared" si="115"/>
        <v>21139.344179200005</v>
      </c>
      <c r="Y89" s="117">
        <f t="shared" si="115"/>
        <v>21139.344179200005</v>
      </c>
      <c r="Z89" s="117">
        <f t="shared" si="115"/>
        <v>21139.344179200005</v>
      </c>
      <c r="AA89" s="117">
        <f t="shared" si="115"/>
        <v>21139.344179200005</v>
      </c>
      <c r="AB89" s="117">
        <f t="shared" si="115"/>
        <v>21984.917946368005</v>
      </c>
      <c r="AC89" s="117">
        <f t="shared" si="115"/>
        <v>21984.917946368005</v>
      </c>
      <c r="AD89" s="117">
        <f t="shared" si="115"/>
        <v>21984.917946368005</v>
      </c>
      <c r="AE89" s="117">
        <f t="shared" si="115"/>
        <v>21984.917946368005</v>
      </c>
      <c r="AF89" s="117">
        <f t="shared" si="115"/>
        <v>22864.314664222726</v>
      </c>
      <c r="AG89" s="117">
        <f t="shared" si="115"/>
        <v>22864.314664222726</v>
      </c>
      <c r="AH89" s="117">
        <f t="shared" si="115"/>
        <v>22864.314664222726</v>
      </c>
      <c r="AI89" s="117">
        <f t="shared" si="115"/>
        <v>22864.314664222726</v>
      </c>
      <c r="AJ89" s="117">
        <f t="shared" si="115"/>
        <v>23778.887250791639</v>
      </c>
      <c r="AK89" s="117">
        <f t="shared" si="115"/>
        <v>23778.887250791639</v>
      </c>
      <c r="AL89" s="117">
        <f t="shared" si="115"/>
        <v>23778.887250791639</v>
      </c>
      <c r="AM89" s="117">
        <f t="shared" si="115"/>
        <v>23778.887250791639</v>
      </c>
      <c r="AN89" s="117">
        <f t="shared" si="115"/>
        <v>24730.042740823301</v>
      </c>
      <c r="AO89" s="117">
        <f t="shared" si="115"/>
        <v>24730.042740823301</v>
      </c>
      <c r="AP89" s="117">
        <f t="shared" si="115"/>
        <v>24730.042740823301</v>
      </c>
      <c r="AQ89" s="117">
        <f t="shared" si="115"/>
        <v>24730.042740823301</v>
      </c>
    </row>
    <row r="90" spans="1:43" s="39" customFormat="1" x14ac:dyDescent="0.25">
      <c r="A90" s="116">
        <f t="shared" ref="A90:B90" si="117">A53</f>
        <v>6</v>
      </c>
      <c r="B90" s="140" t="str">
        <f t="shared" si="117"/>
        <v>Кадры и прочее</v>
      </c>
      <c r="C90" s="116" t="s">
        <v>57</v>
      </c>
      <c r="D90" s="117">
        <f t="shared" si="93"/>
        <v>1151151.11375</v>
      </c>
      <c r="E90" s="117">
        <f t="shared" si="115"/>
        <v>1151151.11375</v>
      </c>
      <c r="F90" s="117">
        <f t="shared" si="115"/>
        <v>1151151.11375</v>
      </c>
      <c r="G90" s="117">
        <f t="shared" si="115"/>
        <v>1151151.11375</v>
      </c>
      <c r="H90" s="117">
        <f t="shared" si="115"/>
        <v>1197197.1583</v>
      </c>
      <c r="I90" s="117">
        <f t="shared" si="115"/>
        <v>1197197.1583</v>
      </c>
      <c r="J90" s="117">
        <f t="shared" si="115"/>
        <v>1197197.1583</v>
      </c>
      <c r="K90" s="117">
        <f t="shared" si="115"/>
        <v>1197197.1583</v>
      </c>
      <c r="L90" s="117">
        <f t="shared" si="115"/>
        <v>1245085.0446319999</v>
      </c>
      <c r="M90" s="117">
        <f t="shared" si="115"/>
        <v>1245085.0446319999</v>
      </c>
      <c r="N90" s="117">
        <f t="shared" si="115"/>
        <v>1245085.0446319999</v>
      </c>
      <c r="O90" s="117">
        <f t="shared" si="115"/>
        <v>1245085.0446319999</v>
      </c>
      <c r="P90" s="117">
        <f t="shared" si="115"/>
        <v>1294888.4464172802</v>
      </c>
      <c r="Q90" s="117">
        <f t="shared" si="115"/>
        <v>1294888.4464172802</v>
      </c>
      <c r="R90" s="117">
        <f t="shared" si="115"/>
        <v>1294888.4464172802</v>
      </c>
      <c r="S90" s="117">
        <f t="shared" si="115"/>
        <v>1294888.4464172802</v>
      </c>
      <c r="T90" s="117">
        <f t="shared" si="115"/>
        <v>1346683.9842739715</v>
      </c>
      <c r="U90" s="117">
        <f t="shared" si="115"/>
        <v>1346683.9842739715</v>
      </c>
      <c r="V90" s="117">
        <f t="shared" si="115"/>
        <v>1346683.9842739715</v>
      </c>
      <c r="W90" s="117">
        <f t="shared" si="115"/>
        <v>1346683.9842739715</v>
      </c>
      <c r="X90" s="117">
        <f t="shared" si="115"/>
        <v>1400551.3436449305</v>
      </c>
      <c r="Y90" s="117">
        <f t="shared" si="115"/>
        <v>1400551.3436449305</v>
      </c>
      <c r="Z90" s="117">
        <f t="shared" si="115"/>
        <v>1400551.3436449305</v>
      </c>
      <c r="AA90" s="117">
        <f t="shared" si="115"/>
        <v>1400551.3436449305</v>
      </c>
      <c r="AB90" s="117">
        <f t="shared" si="115"/>
        <v>1456573.3973907277</v>
      </c>
      <c r="AC90" s="117">
        <f t="shared" si="115"/>
        <v>1456573.3973907277</v>
      </c>
      <c r="AD90" s="117">
        <f t="shared" si="115"/>
        <v>1456573.3973907277</v>
      </c>
      <c r="AE90" s="117">
        <f t="shared" si="115"/>
        <v>1456573.3973907277</v>
      </c>
      <c r="AF90" s="117">
        <f t="shared" si="115"/>
        <v>1514836.3332863569</v>
      </c>
      <c r="AG90" s="117">
        <f t="shared" si="115"/>
        <v>1514836.3332863569</v>
      </c>
      <c r="AH90" s="117">
        <f t="shared" si="115"/>
        <v>1514836.3332863569</v>
      </c>
      <c r="AI90" s="117">
        <f t="shared" si="115"/>
        <v>1514836.3332863569</v>
      </c>
      <c r="AJ90" s="117">
        <f t="shared" si="115"/>
        <v>1575429.7866178113</v>
      </c>
      <c r="AK90" s="117">
        <f t="shared" si="115"/>
        <v>1575429.7866178113</v>
      </c>
      <c r="AL90" s="117">
        <f t="shared" si="115"/>
        <v>1575429.7866178113</v>
      </c>
      <c r="AM90" s="117">
        <f t="shared" si="115"/>
        <v>1575429.7866178113</v>
      </c>
      <c r="AN90" s="117">
        <f t="shared" si="115"/>
        <v>1638446.9780825237</v>
      </c>
      <c r="AO90" s="117">
        <f t="shared" si="115"/>
        <v>1638446.9780825237</v>
      </c>
      <c r="AP90" s="117">
        <f t="shared" si="115"/>
        <v>1638446.9780825237</v>
      </c>
      <c r="AQ90" s="117">
        <f t="shared" si="115"/>
        <v>1638446.9780825237</v>
      </c>
    </row>
    <row r="91" spans="1:43" s="39" customFormat="1" ht="45" x14ac:dyDescent="0.25">
      <c r="A91" s="116" t="str">
        <f t="shared" ref="A91:B91" si="118">A54</f>
        <v>6.1.</v>
      </c>
      <c r="B91" s="140" t="str">
        <f t="shared" si="118"/>
        <v>Годовые затраты по кадрам, поиск кадров, контракты по наёму персонала и т.п., представительские расходы, прочее</v>
      </c>
      <c r="C91" s="116" t="s">
        <v>57</v>
      </c>
      <c r="D91" s="117">
        <f t="shared" si="93"/>
        <v>17375</v>
      </c>
      <c r="E91" s="117">
        <f t="shared" si="115"/>
        <v>17375</v>
      </c>
      <c r="F91" s="117">
        <f t="shared" si="115"/>
        <v>17375</v>
      </c>
      <c r="G91" s="117">
        <f t="shared" si="115"/>
        <v>17375</v>
      </c>
      <c r="H91" s="117">
        <f t="shared" si="115"/>
        <v>18070</v>
      </c>
      <c r="I91" s="117">
        <f t="shared" si="115"/>
        <v>18070</v>
      </c>
      <c r="J91" s="117">
        <f t="shared" si="115"/>
        <v>18070</v>
      </c>
      <c r="K91" s="117">
        <f t="shared" si="115"/>
        <v>18070</v>
      </c>
      <c r="L91" s="117">
        <f t="shared" si="115"/>
        <v>18792.800000000003</v>
      </c>
      <c r="M91" s="117">
        <f t="shared" si="115"/>
        <v>18792.800000000003</v>
      </c>
      <c r="N91" s="117">
        <f t="shared" si="115"/>
        <v>18792.800000000003</v>
      </c>
      <c r="O91" s="117">
        <f t="shared" si="115"/>
        <v>18792.800000000003</v>
      </c>
      <c r="P91" s="117">
        <f t="shared" si="115"/>
        <v>19544.512000000006</v>
      </c>
      <c r="Q91" s="117">
        <f t="shared" si="115"/>
        <v>19544.512000000006</v>
      </c>
      <c r="R91" s="117">
        <f t="shared" si="115"/>
        <v>19544.512000000006</v>
      </c>
      <c r="S91" s="117">
        <f t="shared" si="115"/>
        <v>19544.512000000006</v>
      </c>
      <c r="T91" s="117">
        <f t="shared" si="115"/>
        <v>20326.292480000007</v>
      </c>
      <c r="U91" s="117">
        <f t="shared" si="115"/>
        <v>20326.292480000007</v>
      </c>
      <c r="V91" s="117">
        <f t="shared" si="115"/>
        <v>20326.292480000007</v>
      </c>
      <c r="W91" s="117">
        <f t="shared" si="115"/>
        <v>20326.292480000007</v>
      </c>
      <c r="X91" s="117">
        <f t="shared" si="115"/>
        <v>21139.344179200005</v>
      </c>
      <c r="Y91" s="117">
        <f t="shared" si="115"/>
        <v>21139.344179200005</v>
      </c>
      <c r="Z91" s="117">
        <f t="shared" si="115"/>
        <v>21139.344179200005</v>
      </c>
      <c r="AA91" s="117">
        <f t="shared" si="115"/>
        <v>21139.344179200005</v>
      </c>
      <c r="AB91" s="117">
        <f t="shared" si="115"/>
        <v>21984.917946368005</v>
      </c>
      <c r="AC91" s="117">
        <f t="shared" si="115"/>
        <v>21984.917946368005</v>
      </c>
      <c r="AD91" s="117">
        <f t="shared" si="115"/>
        <v>21984.917946368005</v>
      </c>
      <c r="AE91" s="117">
        <f t="shared" si="115"/>
        <v>21984.917946368005</v>
      </c>
      <c r="AF91" s="117">
        <f t="shared" si="115"/>
        <v>22864.314664222726</v>
      </c>
      <c r="AG91" s="117">
        <f t="shared" si="115"/>
        <v>22864.314664222726</v>
      </c>
      <c r="AH91" s="117">
        <f t="shared" si="115"/>
        <v>22864.314664222726</v>
      </c>
      <c r="AI91" s="117">
        <f t="shared" si="115"/>
        <v>22864.314664222726</v>
      </c>
      <c r="AJ91" s="117">
        <f t="shared" si="115"/>
        <v>23778.887250791639</v>
      </c>
      <c r="AK91" s="117">
        <f t="shared" si="115"/>
        <v>23778.887250791639</v>
      </c>
      <c r="AL91" s="117">
        <f t="shared" si="115"/>
        <v>23778.887250791639</v>
      </c>
      <c r="AM91" s="117">
        <f t="shared" si="115"/>
        <v>23778.887250791639</v>
      </c>
      <c r="AN91" s="117">
        <f t="shared" si="115"/>
        <v>24730.042740823301</v>
      </c>
      <c r="AO91" s="117">
        <f t="shared" si="115"/>
        <v>24730.042740823301</v>
      </c>
      <c r="AP91" s="117">
        <f t="shared" si="115"/>
        <v>24730.042740823301</v>
      </c>
      <c r="AQ91" s="117">
        <f t="shared" si="115"/>
        <v>24730.042740823301</v>
      </c>
    </row>
    <row r="92" spans="1:43" s="39" customFormat="1" ht="45" x14ac:dyDescent="0.25">
      <c r="A92" s="116" t="str">
        <f t="shared" ref="A92:B92" si="119">A55</f>
        <v>6.2.</v>
      </c>
      <c r="B92" s="140" t="str">
        <f t="shared" si="119"/>
        <v>Спецодежда, экипировка (на персонал канатной дороги, кассиров, уборщиц, сотрудников охраны)</v>
      </c>
      <c r="C92" s="116" t="s">
        <v>57</v>
      </c>
      <c r="D92" s="117">
        <f t="shared" si="93"/>
        <v>40096.113750000004</v>
      </c>
      <c r="E92" s="117">
        <f t="shared" si="115"/>
        <v>40096.113750000004</v>
      </c>
      <c r="F92" s="117">
        <f t="shared" si="115"/>
        <v>40096.113750000004</v>
      </c>
      <c r="G92" s="117">
        <f t="shared" si="115"/>
        <v>40096.113750000004</v>
      </c>
      <c r="H92" s="117">
        <f t="shared" si="115"/>
        <v>41699.958300000006</v>
      </c>
      <c r="I92" s="117">
        <f t="shared" si="115"/>
        <v>41699.958300000006</v>
      </c>
      <c r="J92" s="117">
        <f t="shared" si="115"/>
        <v>41699.958300000006</v>
      </c>
      <c r="K92" s="117">
        <f t="shared" si="115"/>
        <v>41699.958300000006</v>
      </c>
      <c r="L92" s="117">
        <f t="shared" si="115"/>
        <v>43367.956632000009</v>
      </c>
      <c r="M92" s="117">
        <f t="shared" si="115"/>
        <v>43367.956632000009</v>
      </c>
      <c r="N92" s="117">
        <f t="shared" si="115"/>
        <v>43367.956632000009</v>
      </c>
      <c r="O92" s="117">
        <f t="shared" si="115"/>
        <v>43367.956632000009</v>
      </c>
      <c r="P92" s="117">
        <f t="shared" si="115"/>
        <v>45102.674897280005</v>
      </c>
      <c r="Q92" s="117">
        <f t="shared" si="115"/>
        <v>45102.674897280005</v>
      </c>
      <c r="R92" s="117">
        <f t="shared" si="115"/>
        <v>45102.674897280005</v>
      </c>
      <c r="S92" s="117">
        <f t="shared" si="115"/>
        <v>45102.674897280005</v>
      </c>
      <c r="T92" s="117">
        <f t="shared" si="115"/>
        <v>46906.78189317121</v>
      </c>
      <c r="U92" s="117">
        <f t="shared" si="115"/>
        <v>46906.78189317121</v>
      </c>
      <c r="V92" s="117">
        <f t="shared" si="115"/>
        <v>46906.78189317121</v>
      </c>
      <c r="W92" s="117">
        <f t="shared" si="115"/>
        <v>46906.78189317121</v>
      </c>
      <c r="X92" s="117">
        <f t="shared" si="115"/>
        <v>48783.053168898063</v>
      </c>
      <c r="Y92" s="117">
        <f t="shared" si="115"/>
        <v>48783.053168898063</v>
      </c>
      <c r="Z92" s="117">
        <f t="shared" si="115"/>
        <v>48783.053168898063</v>
      </c>
      <c r="AA92" s="117">
        <f t="shared" si="115"/>
        <v>48783.053168898063</v>
      </c>
      <c r="AB92" s="117">
        <f t="shared" si="115"/>
        <v>50734.375295653983</v>
      </c>
      <c r="AC92" s="117">
        <f t="shared" si="115"/>
        <v>50734.375295653983</v>
      </c>
      <c r="AD92" s="117">
        <f t="shared" si="115"/>
        <v>50734.375295653983</v>
      </c>
      <c r="AE92" s="117">
        <f t="shared" si="115"/>
        <v>50734.375295653983</v>
      </c>
      <c r="AF92" s="117">
        <f t="shared" si="115"/>
        <v>52763.750307480143</v>
      </c>
      <c r="AG92" s="117">
        <f t="shared" si="115"/>
        <v>52763.750307480143</v>
      </c>
      <c r="AH92" s="117">
        <f t="shared" si="115"/>
        <v>52763.750307480143</v>
      </c>
      <c r="AI92" s="117">
        <f t="shared" si="115"/>
        <v>52763.750307480143</v>
      </c>
      <c r="AJ92" s="117">
        <f t="shared" si="115"/>
        <v>54874.300319779351</v>
      </c>
      <c r="AK92" s="117">
        <f t="shared" si="115"/>
        <v>54874.300319779351</v>
      </c>
      <c r="AL92" s="117">
        <f t="shared" si="115"/>
        <v>54874.300319779351</v>
      </c>
      <c r="AM92" s="117">
        <f t="shared" si="115"/>
        <v>54874.300319779351</v>
      </c>
      <c r="AN92" s="117">
        <f t="shared" si="115"/>
        <v>57069.272332570523</v>
      </c>
      <c r="AO92" s="117">
        <f t="shared" si="115"/>
        <v>57069.272332570523</v>
      </c>
      <c r="AP92" s="117">
        <f t="shared" si="115"/>
        <v>57069.272332570523</v>
      </c>
      <c r="AQ92" s="117">
        <f t="shared" si="115"/>
        <v>57069.272332570523</v>
      </c>
    </row>
    <row r="93" spans="1:43" s="39" customFormat="1" x14ac:dyDescent="0.25">
      <c r="A93" s="116" t="str">
        <f t="shared" ref="A93:B93" si="120">A56</f>
        <v>6.3.</v>
      </c>
      <c r="B93" s="140" t="str">
        <f t="shared" si="120"/>
        <v>ФОТ</v>
      </c>
      <c r="C93" s="116" t="s">
        <v>57</v>
      </c>
      <c r="D93" s="117">
        <f t="shared" si="93"/>
        <v>840000</v>
      </c>
      <c r="E93" s="117">
        <f t="shared" si="115"/>
        <v>840000</v>
      </c>
      <c r="F93" s="117">
        <f t="shared" si="115"/>
        <v>840000</v>
      </c>
      <c r="G93" s="117">
        <f t="shared" si="115"/>
        <v>840000</v>
      </c>
      <c r="H93" s="117">
        <f t="shared" si="115"/>
        <v>873600.00000000012</v>
      </c>
      <c r="I93" s="117">
        <f t="shared" si="115"/>
        <v>873600.00000000012</v>
      </c>
      <c r="J93" s="117">
        <f t="shared" si="115"/>
        <v>873600.00000000012</v>
      </c>
      <c r="K93" s="117">
        <f t="shared" si="115"/>
        <v>873600.00000000012</v>
      </c>
      <c r="L93" s="117">
        <f t="shared" si="115"/>
        <v>908544.00000000012</v>
      </c>
      <c r="M93" s="117">
        <f t="shared" si="115"/>
        <v>908544.00000000012</v>
      </c>
      <c r="N93" s="117">
        <f t="shared" si="115"/>
        <v>908544.00000000012</v>
      </c>
      <c r="O93" s="117">
        <f t="shared" si="115"/>
        <v>908544.00000000012</v>
      </c>
      <c r="P93" s="117">
        <f t="shared" si="115"/>
        <v>944885.76000000013</v>
      </c>
      <c r="Q93" s="117">
        <f t="shared" si="115"/>
        <v>944885.76000000013</v>
      </c>
      <c r="R93" s="117">
        <f t="shared" si="115"/>
        <v>944885.76000000013</v>
      </c>
      <c r="S93" s="117">
        <f t="shared" si="115"/>
        <v>944885.76000000013</v>
      </c>
      <c r="T93" s="117">
        <f t="shared" si="115"/>
        <v>982681.1904000002</v>
      </c>
      <c r="U93" s="117">
        <f t="shared" si="115"/>
        <v>982681.1904000002</v>
      </c>
      <c r="V93" s="117">
        <f t="shared" si="115"/>
        <v>982681.1904000002</v>
      </c>
      <c r="W93" s="117">
        <f t="shared" si="115"/>
        <v>982681.1904000002</v>
      </c>
      <c r="X93" s="117">
        <f t="shared" si="115"/>
        <v>1021988.4380160002</v>
      </c>
      <c r="Y93" s="117">
        <f t="shared" si="115"/>
        <v>1021988.4380160002</v>
      </c>
      <c r="Z93" s="117">
        <f t="shared" si="115"/>
        <v>1021988.4380160002</v>
      </c>
      <c r="AA93" s="117">
        <f t="shared" si="115"/>
        <v>1021988.4380160002</v>
      </c>
      <c r="AB93" s="117">
        <f t="shared" si="115"/>
        <v>1062867.9755366403</v>
      </c>
      <c r="AC93" s="117">
        <f t="shared" si="115"/>
        <v>1062867.9755366403</v>
      </c>
      <c r="AD93" s="117">
        <f t="shared" si="115"/>
        <v>1062867.9755366403</v>
      </c>
      <c r="AE93" s="117">
        <f t="shared" si="115"/>
        <v>1062867.9755366403</v>
      </c>
      <c r="AF93" s="117">
        <f t="shared" si="115"/>
        <v>1105382.6945581059</v>
      </c>
      <c r="AG93" s="117">
        <f t="shared" si="115"/>
        <v>1105382.6945581059</v>
      </c>
      <c r="AH93" s="117">
        <f t="shared" si="115"/>
        <v>1105382.6945581059</v>
      </c>
      <c r="AI93" s="117">
        <f t="shared" si="115"/>
        <v>1105382.6945581059</v>
      </c>
      <c r="AJ93" s="117">
        <f t="shared" si="115"/>
        <v>1149598.0023404302</v>
      </c>
      <c r="AK93" s="117">
        <f t="shared" si="115"/>
        <v>1149598.0023404302</v>
      </c>
      <c r="AL93" s="117">
        <f t="shared" si="115"/>
        <v>1149598.0023404302</v>
      </c>
      <c r="AM93" s="117">
        <f t="shared" si="115"/>
        <v>1149598.0023404302</v>
      </c>
      <c r="AN93" s="117">
        <f t="shared" si="115"/>
        <v>1195581.9224340476</v>
      </c>
      <c r="AO93" s="117">
        <f t="shared" si="115"/>
        <v>1195581.9224340476</v>
      </c>
      <c r="AP93" s="117">
        <f t="shared" si="115"/>
        <v>1195581.9224340476</v>
      </c>
      <c r="AQ93" s="117">
        <f t="shared" si="115"/>
        <v>1195581.9224340476</v>
      </c>
    </row>
    <row r="94" spans="1:43" x14ac:dyDescent="0.25">
      <c r="A94" s="116" t="str">
        <f t="shared" ref="A94:B94" si="121">A57</f>
        <v>6.5.</v>
      </c>
      <c r="B94" s="140" t="str">
        <f t="shared" si="121"/>
        <v>Страховые взносы с ФОТ</v>
      </c>
      <c r="C94" s="116" t="s">
        <v>57</v>
      </c>
      <c r="D94" s="117">
        <f t="shared" si="93"/>
        <v>253680</v>
      </c>
      <c r="E94" s="117">
        <f t="shared" si="115"/>
        <v>253680</v>
      </c>
      <c r="F94" s="117">
        <f t="shared" si="115"/>
        <v>253680</v>
      </c>
      <c r="G94" s="117">
        <f t="shared" si="115"/>
        <v>253680</v>
      </c>
      <c r="H94" s="117">
        <f t="shared" si="115"/>
        <v>263827.20000000001</v>
      </c>
      <c r="I94" s="117">
        <f t="shared" si="115"/>
        <v>263827.20000000001</v>
      </c>
      <c r="J94" s="117">
        <f t="shared" si="115"/>
        <v>263827.20000000001</v>
      </c>
      <c r="K94" s="117">
        <f t="shared" si="115"/>
        <v>263827.20000000001</v>
      </c>
      <c r="L94" s="117">
        <f t="shared" si="115"/>
        <v>274380.288</v>
      </c>
      <c r="M94" s="117">
        <f t="shared" si="115"/>
        <v>274380.288</v>
      </c>
      <c r="N94" s="117">
        <f t="shared" si="115"/>
        <v>274380.288</v>
      </c>
      <c r="O94" s="117">
        <f t="shared" si="115"/>
        <v>274380.288</v>
      </c>
      <c r="P94" s="117">
        <f t="shared" si="115"/>
        <v>285355.49952000007</v>
      </c>
      <c r="Q94" s="117">
        <f t="shared" si="115"/>
        <v>285355.49952000007</v>
      </c>
      <c r="R94" s="117">
        <f t="shared" si="115"/>
        <v>285355.49952000007</v>
      </c>
      <c r="S94" s="117">
        <f t="shared" si="115"/>
        <v>285355.49952000007</v>
      </c>
      <c r="T94" s="117">
        <f t="shared" si="115"/>
        <v>296769.71950080007</v>
      </c>
      <c r="U94" s="117">
        <f t="shared" si="115"/>
        <v>296769.71950080007</v>
      </c>
      <c r="V94" s="117">
        <f t="shared" si="115"/>
        <v>296769.71950080007</v>
      </c>
      <c r="W94" s="117">
        <f t="shared" si="115"/>
        <v>296769.71950080007</v>
      </c>
      <c r="X94" s="117">
        <f t="shared" si="115"/>
        <v>308640.50828083209</v>
      </c>
      <c r="Y94" s="117">
        <f t="shared" si="115"/>
        <v>308640.50828083209</v>
      </c>
      <c r="Z94" s="117">
        <f t="shared" ref="Z94:AQ94" si="122">Z57*$C$63</f>
        <v>308640.50828083209</v>
      </c>
      <c r="AA94" s="117">
        <f t="shared" si="122"/>
        <v>308640.50828083209</v>
      </c>
      <c r="AB94" s="117">
        <f t="shared" si="122"/>
        <v>320986.1286120654</v>
      </c>
      <c r="AC94" s="117">
        <f t="shared" si="122"/>
        <v>320986.1286120654</v>
      </c>
      <c r="AD94" s="117">
        <f t="shared" si="122"/>
        <v>320986.1286120654</v>
      </c>
      <c r="AE94" s="117">
        <f t="shared" si="122"/>
        <v>320986.1286120654</v>
      </c>
      <c r="AF94" s="117">
        <f t="shared" si="122"/>
        <v>333825.57375654799</v>
      </c>
      <c r="AG94" s="117">
        <f t="shared" si="122"/>
        <v>333825.57375654799</v>
      </c>
      <c r="AH94" s="117">
        <f t="shared" si="122"/>
        <v>333825.57375654799</v>
      </c>
      <c r="AI94" s="117">
        <f t="shared" si="122"/>
        <v>333825.57375654799</v>
      </c>
      <c r="AJ94" s="117">
        <f t="shared" si="122"/>
        <v>347178.59670680994</v>
      </c>
      <c r="AK94" s="117">
        <f t="shared" si="122"/>
        <v>347178.59670680994</v>
      </c>
      <c r="AL94" s="117">
        <f t="shared" si="122"/>
        <v>347178.59670680994</v>
      </c>
      <c r="AM94" s="117">
        <f t="shared" si="122"/>
        <v>347178.59670680994</v>
      </c>
      <c r="AN94" s="117">
        <f t="shared" si="122"/>
        <v>361065.74057508237</v>
      </c>
      <c r="AO94" s="117">
        <f t="shared" si="122"/>
        <v>361065.74057508237</v>
      </c>
      <c r="AP94" s="117">
        <f t="shared" si="122"/>
        <v>361065.74057508237</v>
      </c>
      <c r="AQ94" s="117">
        <f t="shared" si="122"/>
        <v>361065.74057508237</v>
      </c>
    </row>
    <row r="95" spans="1:43" x14ac:dyDescent="0.25">
      <c r="A95" s="116"/>
      <c r="B95" s="140" t="str">
        <f t="shared" ref="B95" si="123">B58</f>
        <v>ИТОГО</v>
      </c>
      <c r="C95" s="116" t="s">
        <v>57</v>
      </c>
      <c r="D95" s="117">
        <f>D58*$C$63</f>
        <v>6554445.6674999995</v>
      </c>
      <c r="E95" s="117">
        <f t="shared" ref="E95:AQ95" si="124">E58*$C$63</f>
        <v>6180214.5774999997</v>
      </c>
      <c r="F95" s="117">
        <f t="shared" si="124"/>
        <v>6180214.5774999997</v>
      </c>
      <c r="G95" s="117">
        <f t="shared" si="124"/>
        <v>6795883.107499999</v>
      </c>
      <c r="H95" s="117">
        <f t="shared" si="124"/>
        <v>8690209.4147999994</v>
      </c>
      <c r="I95" s="117">
        <f t="shared" si="124"/>
        <v>6540013.2161999997</v>
      </c>
      <c r="J95" s="117">
        <f t="shared" si="124"/>
        <v>6540013.2161999997</v>
      </c>
      <c r="K95" s="117">
        <f t="shared" si="124"/>
        <v>7164663.286799999</v>
      </c>
      <c r="L95" s="117">
        <f t="shared" si="124"/>
        <v>7164459.6917920001</v>
      </c>
      <c r="M95" s="117">
        <f t="shared" si="124"/>
        <v>6801613.7448480008</v>
      </c>
      <c r="N95" s="117">
        <f t="shared" si="124"/>
        <v>6801613.7448480008</v>
      </c>
      <c r="O95" s="117">
        <f t="shared" si="124"/>
        <v>7435604.6176720001</v>
      </c>
      <c r="P95" s="117">
        <f t="shared" si="124"/>
        <v>7451038.0794636793</v>
      </c>
      <c r="Q95" s="117">
        <f t="shared" si="124"/>
        <v>7073678.2946419213</v>
      </c>
      <c r="R95" s="117">
        <f t="shared" si="124"/>
        <v>7073678.2946419213</v>
      </c>
      <c r="S95" s="117">
        <f t="shared" si="124"/>
        <v>7749977.711778881</v>
      </c>
      <c r="T95" s="117">
        <f t="shared" si="124"/>
        <v>7749079.6026422288</v>
      </c>
      <c r="U95" s="117">
        <f t="shared" si="124"/>
        <v>7356625.426427599</v>
      </c>
      <c r="V95" s="117">
        <f t="shared" si="124"/>
        <v>7356625.426427599</v>
      </c>
      <c r="W95" s="117">
        <f t="shared" si="124"/>
        <v>8960179.0452500377</v>
      </c>
      <c r="X95" s="117">
        <f t="shared" si="124"/>
        <v>8059042.7867479185</v>
      </c>
      <c r="Y95" s="117">
        <f t="shared" si="124"/>
        <v>7650890.4434847021</v>
      </c>
      <c r="Z95" s="117">
        <f t="shared" si="124"/>
        <v>7650890.4434847021</v>
      </c>
      <c r="AA95" s="117">
        <f t="shared" si="124"/>
        <v>8347800.0044600386</v>
      </c>
      <c r="AB95" s="117">
        <f t="shared" si="124"/>
        <v>8381404.4982178351</v>
      </c>
      <c r="AC95" s="117">
        <f t="shared" si="124"/>
        <v>7956926.0612240909</v>
      </c>
      <c r="AD95" s="117">
        <f t="shared" si="124"/>
        <v>7956926.0612240909</v>
      </c>
      <c r="AE95" s="117">
        <f t="shared" si="124"/>
        <v>9581914.2296384424</v>
      </c>
      <c r="AF95" s="117">
        <f t="shared" si="124"/>
        <v>8716660.6781465486</v>
      </c>
      <c r="AG95" s="117">
        <f t="shared" si="124"/>
        <v>8275203.1036730558</v>
      </c>
      <c r="AH95" s="117">
        <f t="shared" si="124"/>
        <v>8275203.1036730558</v>
      </c>
      <c r="AI95" s="117">
        <f t="shared" si="124"/>
        <v>8994404.5962239783</v>
      </c>
      <c r="AJ95" s="117">
        <f t="shared" si="124"/>
        <v>9065327.1052724123</v>
      </c>
      <c r="AK95" s="117">
        <f t="shared" si="124"/>
        <v>8606211.2278199773</v>
      </c>
      <c r="AL95" s="117">
        <f t="shared" si="124"/>
        <v>8606211.2278199773</v>
      </c>
      <c r="AM95" s="117">
        <f t="shared" si="124"/>
        <v>9337231.8150729369</v>
      </c>
      <c r="AN95" s="117">
        <f t="shared" si="124"/>
        <v>9427940.1894833092</v>
      </c>
      <c r="AO95" s="117">
        <f t="shared" si="124"/>
        <v>8950459.6769327763</v>
      </c>
      <c r="AP95" s="117">
        <f t="shared" si="124"/>
        <v>8950459.6769327763</v>
      </c>
      <c r="AQ95" s="117">
        <f t="shared" si="124"/>
        <v>10610923.312675854</v>
      </c>
    </row>
    <row r="96" spans="1:43" x14ac:dyDescent="0.25">
      <c r="D96" s="152">
        <f>D90-D93-D94</f>
        <v>57471.113750000019</v>
      </c>
      <c r="E96" s="152">
        <f t="shared" ref="E96:AQ96" si="125">E90-E93-E94</f>
        <v>57471.113750000019</v>
      </c>
      <c r="F96" s="152">
        <f t="shared" si="125"/>
        <v>57471.113750000019</v>
      </c>
      <c r="G96" s="152">
        <f t="shared" si="125"/>
        <v>57471.113750000019</v>
      </c>
      <c r="H96" s="152">
        <f t="shared" si="125"/>
        <v>59769.958299999882</v>
      </c>
      <c r="I96" s="152">
        <f t="shared" si="125"/>
        <v>59769.958299999882</v>
      </c>
      <c r="J96" s="152">
        <f t="shared" si="125"/>
        <v>59769.958299999882</v>
      </c>
      <c r="K96" s="152">
        <f t="shared" si="125"/>
        <v>59769.958299999882</v>
      </c>
      <c r="L96" s="152">
        <f t="shared" si="125"/>
        <v>62160.7566319998</v>
      </c>
      <c r="M96" s="152">
        <f t="shared" si="125"/>
        <v>62160.7566319998</v>
      </c>
      <c r="N96" s="152">
        <f t="shared" si="125"/>
        <v>62160.7566319998</v>
      </c>
      <c r="O96" s="152">
        <f t="shared" si="125"/>
        <v>62160.7566319998</v>
      </c>
      <c r="P96" s="152">
        <f t="shared" si="125"/>
        <v>64647.186897280044</v>
      </c>
      <c r="Q96" s="152">
        <f t="shared" si="125"/>
        <v>64647.186897280044</v>
      </c>
      <c r="R96" s="152">
        <f t="shared" si="125"/>
        <v>64647.186897280044</v>
      </c>
      <c r="S96" s="152">
        <f t="shared" si="125"/>
        <v>64647.186897280044</v>
      </c>
      <c r="T96" s="152">
        <f t="shared" si="125"/>
        <v>67233.074373171257</v>
      </c>
      <c r="U96" s="152">
        <f t="shared" si="125"/>
        <v>67233.074373171257</v>
      </c>
      <c r="V96" s="152">
        <f t="shared" si="125"/>
        <v>67233.074373171257</v>
      </c>
      <c r="W96" s="152">
        <f t="shared" si="125"/>
        <v>67233.074373171257</v>
      </c>
      <c r="X96" s="152">
        <f t="shared" si="125"/>
        <v>69922.397348098224</v>
      </c>
      <c r="Y96" s="152">
        <f t="shared" si="125"/>
        <v>69922.397348098224</v>
      </c>
      <c r="Z96" s="152">
        <f t="shared" si="125"/>
        <v>69922.397348098224</v>
      </c>
      <c r="AA96" s="152">
        <f t="shared" si="125"/>
        <v>69922.397348098224</v>
      </c>
      <c r="AB96" s="152">
        <f t="shared" si="125"/>
        <v>72719.293242021988</v>
      </c>
      <c r="AC96" s="152">
        <f t="shared" si="125"/>
        <v>72719.293242021988</v>
      </c>
      <c r="AD96" s="152">
        <f t="shared" si="125"/>
        <v>72719.293242021988</v>
      </c>
      <c r="AE96" s="152">
        <f t="shared" si="125"/>
        <v>72719.293242021988</v>
      </c>
      <c r="AF96" s="152">
        <f t="shared" si="125"/>
        <v>75628.064971702988</v>
      </c>
      <c r="AG96" s="152">
        <f t="shared" si="125"/>
        <v>75628.064971702988</v>
      </c>
      <c r="AH96" s="152">
        <f t="shared" si="125"/>
        <v>75628.064971702988</v>
      </c>
      <c r="AI96" s="152">
        <f t="shared" si="125"/>
        <v>75628.064971702988</v>
      </c>
      <c r="AJ96" s="152">
        <f t="shared" si="125"/>
        <v>78653.187570571201</v>
      </c>
      <c r="AK96" s="152">
        <f t="shared" si="125"/>
        <v>78653.187570571201</v>
      </c>
      <c r="AL96" s="152">
        <f t="shared" si="125"/>
        <v>78653.187570571201</v>
      </c>
      <c r="AM96" s="152">
        <f t="shared" si="125"/>
        <v>78653.187570571201</v>
      </c>
      <c r="AN96" s="152">
        <f t="shared" si="125"/>
        <v>81799.315073393751</v>
      </c>
      <c r="AO96" s="152">
        <f t="shared" si="125"/>
        <v>81799.315073393751</v>
      </c>
      <c r="AP96" s="152">
        <f t="shared" si="125"/>
        <v>81799.315073393751</v>
      </c>
      <c r="AQ96" s="152">
        <f t="shared" si="125"/>
        <v>81799.315073393751</v>
      </c>
    </row>
    <row r="98" spans="2:5" x14ac:dyDescent="0.25">
      <c r="B98" s="48" t="s">
        <v>110</v>
      </c>
      <c r="C98" s="238" t="s">
        <v>112</v>
      </c>
      <c r="D98" s="239"/>
      <c r="E98" s="240"/>
    </row>
    <row r="99" spans="2:5" x14ac:dyDescent="0.25">
      <c r="B99" s="48" t="s">
        <v>246</v>
      </c>
      <c r="C99" s="241"/>
      <c r="D99" s="241"/>
      <c r="E99" s="241"/>
    </row>
    <row r="100" spans="2:5" hidden="1" x14ac:dyDescent="0.25">
      <c r="B100" s="49"/>
      <c r="C100" s="50"/>
      <c r="D100" s="51"/>
      <c r="E100" s="51"/>
    </row>
    <row r="101" spans="2:5" hidden="1" x14ac:dyDescent="0.25">
      <c r="B101" s="49"/>
      <c r="C101" s="50"/>
      <c r="D101" s="51"/>
      <c r="E101" s="51"/>
    </row>
    <row r="102" spans="2:5" hidden="1" x14ac:dyDescent="0.25">
      <c r="B102" s="49"/>
      <c r="C102" s="50"/>
      <c r="D102" s="51"/>
      <c r="E102" s="51"/>
    </row>
    <row r="103" spans="2:5" hidden="1" x14ac:dyDescent="0.25">
      <c r="B103" s="49"/>
      <c r="C103" s="50"/>
      <c r="D103" s="51"/>
      <c r="E103" s="51"/>
    </row>
    <row r="104" spans="2:5" hidden="1" x14ac:dyDescent="0.25">
      <c r="B104" s="49"/>
      <c r="C104" s="50"/>
      <c r="D104" s="51"/>
      <c r="E104" s="51"/>
    </row>
    <row r="105" spans="2:5" x14ac:dyDescent="0.25">
      <c r="B105" s="141" t="s">
        <v>245</v>
      </c>
      <c r="C105" s="142">
        <v>1</v>
      </c>
      <c r="D105" s="51">
        <v>30000</v>
      </c>
      <c r="E105" s="51">
        <f t="shared" ref="E105:E108" si="126">D105*C105</f>
        <v>30000</v>
      </c>
    </row>
    <row r="106" spans="2:5" x14ac:dyDescent="0.25">
      <c r="B106" s="141" t="s">
        <v>111</v>
      </c>
      <c r="C106" s="142">
        <v>3</v>
      </c>
      <c r="D106" s="51">
        <v>25000</v>
      </c>
      <c r="E106" s="51">
        <f t="shared" si="126"/>
        <v>75000</v>
      </c>
    </row>
    <row r="107" spans="2:5" x14ac:dyDescent="0.25">
      <c r="B107" s="141" t="s">
        <v>244</v>
      </c>
      <c r="C107" s="142">
        <v>3</v>
      </c>
      <c r="D107" s="51">
        <v>25000</v>
      </c>
      <c r="E107" s="51">
        <f t="shared" si="126"/>
        <v>75000</v>
      </c>
    </row>
    <row r="108" spans="2:5" ht="15.75" thickBot="1" x14ac:dyDescent="0.3">
      <c r="B108" s="141" t="s">
        <v>243</v>
      </c>
      <c r="C108" s="142">
        <v>4</v>
      </c>
      <c r="D108" s="51">
        <v>25000</v>
      </c>
      <c r="E108" s="51">
        <f t="shared" si="126"/>
        <v>100000</v>
      </c>
    </row>
    <row r="109" spans="2:5" hidden="1" x14ac:dyDescent="0.25">
      <c r="B109" s="48"/>
      <c r="C109" s="242"/>
      <c r="D109" s="243"/>
      <c r="E109" s="244"/>
    </row>
    <row r="110" spans="2:5" hidden="1" x14ac:dyDescent="0.25">
      <c r="B110" s="52"/>
      <c r="C110" s="50"/>
      <c r="D110" s="51"/>
      <c r="E110" s="51"/>
    </row>
    <row r="111" spans="2:5" hidden="1" x14ac:dyDescent="0.25">
      <c r="B111" s="52"/>
      <c r="C111" s="50"/>
      <c r="D111" s="51"/>
      <c r="E111" s="51"/>
    </row>
    <row r="112" spans="2:5" hidden="1" x14ac:dyDescent="0.25">
      <c r="B112" s="52"/>
      <c r="C112" s="50"/>
      <c r="D112" s="51"/>
      <c r="E112" s="51"/>
    </row>
    <row r="113" spans="2:5" ht="15.75" hidden="1" thickBot="1" x14ac:dyDescent="0.3">
      <c r="B113" s="49"/>
      <c r="C113" s="50"/>
      <c r="D113" s="51"/>
      <c r="E113" s="53"/>
    </row>
    <row r="114" spans="2:5" ht="15.75" thickBot="1" x14ac:dyDescent="0.3">
      <c r="B114" s="54" t="s">
        <v>347</v>
      </c>
      <c r="C114" s="55">
        <f>SUM(C98:C113)</f>
        <v>11</v>
      </c>
      <c r="D114" s="56"/>
      <c r="E114" s="143">
        <f>SUM(E100:E113)</f>
        <v>280000</v>
      </c>
    </row>
  </sheetData>
  <mergeCells count="6">
    <mergeCell ref="A1:K1"/>
    <mergeCell ref="A28:K28"/>
    <mergeCell ref="C98:E98"/>
    <mergeCell ref="C99:E99"/>
    <mergeCell ref="C109:E109"/>
    <mergeCell ref="A65:K6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C32" sqref="C32"/>
    </sheetView>
  </sheetViews>
  <sheetFormatPr defaultRowHeight="15" x14ac:dyDescent="0.25"/>
  <cols>
    <col min="2" max="2" width="56.140625" customWidth="1"/>
    <col min="3" max="8" width="12" bestFit="1" customWidth="1"/>
    <col min="9" max="12" width="13.140625" bestFit="1" customWidth="1"/>
    <col min="14" max="16" width="0" hidden="1" customWidth="1"/>
  </cols>
  <sheetData>
    <row r="1" spans="1:16" x14ac:dyDescent="0.25">
      <c r="A1" t="str">
        <f>'доп. РАСХОДЫ по годам'!A1</f>
        <v>№, п/п</v>
      </c>
      <c r="B1" t="str">
        <f>'доп. РАСХОДЫ по годам'!B1</f>
        <v xml:space="preserve">Показатель </v>
      </c>
      <c r="C1">
        <f>'доп. РАСХОДЫ по годам'!C1</f>
        <v>2020</v>
      </c>
      <c r="D1">
        <f>'доп. РАСХОДЫ по годам'!D1</f>
        <v>2021</v>
      </c>
      <c r="E1">
        <f>'доп. РАСХОДЫ по годам'!E1</f>
        <v>2022</v>
      </c>
      <c r="F1">
        <f>'доп. РАСХОДЫ по годам'!F1</f>
        <v>2023</v>
      </c>
      <c r="G1">
        <f>'доп. РАСХОДЫ по годам'!G1</f>
        <v>2024</v>
      </c>
      <c r="H1">
        <f>'доп. РАСХОДЫ по годам'!H1</f>
        <v>2025</v>
      </c>
      <c r="I1">
        <f>'доп. РАСХОДЫ по годам'!I1</f>
        <v>2026</v>
      </c>
      <c r="J1">
        <f>'доп. РАСХОДЫ по годам'!J1</f>
        <v>2027</v>
      </c>
      <c r="K1">
        <f>'доп. РАСХОДЫ по годам'!K1</f>
        <v>2028</v>
      </c>
      <c r="L1">
        <f>'доп. РАСХОДЫ по годам'!L1</f>
        <v>2029</v>
      </c>
      <c r="M1" t="str">
        <f>'доп. РАСХОДЫ по годам'!M1</f>
        <v>ИТОГО</v>
      </c>
      <c r="N1">
        <f>'доп. РАСХОДЫ по годам'!N1</f>
        <v>0</v>
      </c>
      <c r="O1">
        <f>'доп. РАСХОДЫ по годам'!O1</f>
        <v>0</v>
      </c>
      <c r="P1">
        <f>'доп. РАСХОДЫ по годам'!P1</f>
        <v>0</v>
      </c>
    </row>
    <row r="2" spans="1:16" x14ac:dyDescent="0.25">
      <c r="A2">
        <f>'доп. РАСХОДЫ по годам'!A2</f>
        <v>1</v>
      </c>
      <c r="B2" s="185" t="str">
        <f>'доп. РАСХОДЫ по годам'!B2</f>
        <v>Mатериал для проведения регламентных работ</v>
      </c>
      <c r="C2" s="186">
        <f>'доп. РАСХОДЫ по годам'!C2/'ПРОГНОЗ ДОХОДОВ И РАСХОДОВ НДС'!$C$63</f>
        <v>44840</v>
      </c>
      <c r="D2" s="186">
        <f>'доп. РАСХОДЫ по годам'!D2/'ПРОГНОЗ ДОХОДОВ И РАСХОДОВ НДС'!$C$63</f>
        <v>46633.599999999999</v>
      </c>
      <c r="E2" s="186">
        <f>'доп. РАСХОДЫ по годам'!E2/'ПРОГНОЗ ДОХОДОВ И РАСХОДОВ НДС'!$C$63</f>
        <v>48498.944000000003</v>
      </c>
      <c r="F2" s="186">
        <f>'доп. РАСХОДЫ по годам'!F2/'ПРОГНОЗ ДОХОДОВ И РАСХОДОВ НДС'!$C$63</f>
        <v>50438.901760000008</v>
      </c>
      <c r="G2" s="186">
        <f>'доп. РАСХОДЫ по годам'!G2/'ПРОГНОЗ ДОХОДОВ И РАСХОДОВ НДС'!$C$63</f>
        <v>52456.45783040001</v>
      </c>
      <c r="H2" s="186">
        <f>'доп. РАСХОДЫ по годам'!H2/'ПРОГНОЗ ДОХОДОВ И РАСХОДОВ НДС'!$C$63</f>
        <v>54554.71614361601</v>
      </c>
      <c r="I2" s="186">
        <f>'доп. РАСХОДЫ по годам'!I2/'ПРОГНОЗ ДОХОДОВ И РАСХОДОВ НДС'!$C$63</f>
        <v>56736.904789360655</v>
      </c>
      <c r="J2" s="186">
        <f>'доп. РАСХОДЫ по годам'!J2/'ПРОГНОЗ ДОХОДОВ И РАСХОДОВ НДС'!$C$63</f>
        <v>59006.380980935086</v>
      </c>
      <c r="K2" s="186">
        <f>'доп. РАСХОДЫ по годам'!K2/'ПРОГНОЗ ДОХОДОВ И РАСХОДОВ НДС'!$C$63</f>
        <v>61366.636220172491</v>
      </c>
      <c r="L2" s="186">
        <f>'доп. РАСХОДЫ по годам'!L2/'ПРОГНОЗ ДОХОДОВ И РАСХОДОВ НДС'!$C$63</f>
        <v>63821.301668979388</v>
      </c>
    </row>
    <row r="3" spans="1:16" x14ac:dyDescent="0.25">
      <c r="A3">
        <f>'доп. РАСХОДЫ по годам'!A3</f>
        <v>2</v>
      </c>
      <c r="B3" s="185" t="str">
        <f>'доп. РАСХОДЫ по годам'!B3</f>
        <v>Офисные затраты</v>
      </c>
      <c r="C3" s="186">
        <f>'доп. РАСХОДЫ по годам'!C3/'ПРОГНОЗ ДОХОДОВ И РАСХОДОВ НДС'!$C$63</f>
        <v>11076.92</v>
      </c>
      <c r="D3" s="186">
        <f>'доп. РАСХОДЫ по годам'!D3/'ПРОГНОЗ ДОХОДОВ И РАСХОДОВ НДС'!$C$63</f>
        <v>18000</v>
      </c>
      <c r="E3" s="186">
        <f>'доп. РАСХОДЫ по годам'!E3/'ПРОГНОЗ ДОХОДОВ И РАСХОДОВ НДС'!$C$63</f>
        <v>18720</v>
      </c>
      <c r="F3" s="186">
        <f>'доп. РАСХОДЫ по годам'!F3/'ПРОГНОЗ ДОХОДОВ И РАСХОДОВ НДС'!$C$63</f>
        <v>19468.8</v>
      </c>
      <c r="G3" s="186">
        <f>'доп. РАСХОДЫ по годам'!G3/'ПРОГНОЗ ДОХОДОВ И РАСХОДОВ НДС'!$C$63</f>
        <v>20247.552</v>
      </c>
      <c r="H3" s="186">
        <f>'доп. РАСХОДЫ по годам'!H3/'ПРОГНОЗ ДОХОДОВ И РАСХОДОВ НДС'!$C$63</f>
        <v>21057.45408</v>
      </c>
      <c r="I3" s="186">
        <f>'доп. РАСХОДЫ по годам'!I3/'ПРОГНОЗ ДОХОДОВ И РАСХОДОВ НДС'!$C$63</f>
        <v>21899.752243200001</v>
      </c>
      <c r="J3" s="186">
        <f>'доп. РАСХОДЫ по годам'!J3/'ПРОГНОЗ ДОХОДОВ И РАСХОДОВ НДС'!$C$63</f>
        <v>22775.742332928003</v>
      </c>
      <c r="K3" s="186">
        <f>'доп. РАСХОДЫ по годам'!K3/'ПРОГНОЗ ДОХОДОВ И РАСХОДОВ НДС'!$C$63</f>
        <v>23686.772026245122</v>
      </c>
      <c r="L3" s="186">
        <f>'доп. РАСХОДЫ по годам'!L3/'ПРОГНОЗ ДОХОДОВ И РАСХОДОВ НДС'!$C$63</f>
        <v>24634.242907294927</v>
      </c>
    </row>
    <row r="4" spans="1:16" x14ac:dyDescent="0.25">
      <c r="A4">
        <f>'доп. РАСХОДЫ по годам'!A4</f>
        <v>3</v>
      </c>
      <c r="B4" s="185" t="str">
        <f>'доп. РАСХОДЫ по годам'!B4</f>
        <v>Техническая поддержка, обучение, программы</v>
      </c>
      <c r="C4" s="186">
        <f>'доп. РАСХОДЫ по годам'!C4/'ПРОГНОЗ ДОХОДОВ И РАСХОДОВ НДС'!$C$63</f>
        <v>62244.830000000009</v>
      </c>
      <c r="D4" s="186">
        <f>'доп. РАСХОДЫ по годам'!D4/'ПРОГНОЗ ДОХОДОВ И РАСХОДОВ НДС'!$C$63</f>
        <v>89847.58239999997</v>
      </c>
      <c r="E4" s="186">
        <f>'доп. РАСХОДЫ по годам'!E4/'ПРОГНОЗ ДОХОДОВ И РАСХОДОВ НДС'!$C$63</f>
        <v>66261.582095999998</v>
      </c>
      <c r="F4" s="186">
        <f>'доп. РАСХОДЫ по годам'!F4/'ПРОГНОЗ ДОХОДОВ И РАСХОДОВ НДС'!$C$63</f>
        <v>69155.914579839999</v>
      </c>
      <c r="G4" s="186">
        <f>'доп. РАСХОДЫ по годам'!G4/'ПРОГНОЗ ДОХОДОВ И РАСХОДОВ НДС'!$C$63</f>
        <v>84874.70116303362</v>
      </c>
      <c r="H4" s="186">
        <f>'доп. РАСХОДЫ по годам'!H4/'ПРОГНОЗ ДОХОДОВ И РАСХОДОВ НДС'!$C$63</f>
        <v>74301.542409554953</v>
      </c>
      <c r="I4" s="186">
        <f>'доп. РАСХОДЫ по годам'!I4/'ПРОГНОЗ ДОХОДОВ И РАСХОДОВ НДС'!$C$63</f>
        <v>90226.154105937152</v>
      </c>
      <c r="J4" s="186">
        <f>'доп. РАСХОДЫ по годам'!J4/'ПРОГНОЗ ДОХОДОВ И РАСХОДОВ НДС'!$C$63</f>
        <v>79867.053470174636</v>
      </c>
      <c r="K4" s="186">
        <f>'доп. РАСХОДЫ по годам'!K4/'ПРОГНОЗ ДОХОДОВ И РАСХОДОВ НДС'!$C$63</f>
        <v>82817.865608981636</v>
      </c>
      <c r="L4" s="186">
        <f>'доп. РАСХОДЫ по годам'!L4/'ПРОГНОЗ ДОХОДОВ И РАСХОДОВ НДС'!$C$63</f>
        <v>99083.130233340897</v>
      </c>
    </row>
    <row r="5" spans="1:16" ht="30" x14ac:dyDescent="0.25">
      <c r="A5" t="str">
        <f>'доп. РАСХОДЫ по годам'!A5</f>
        <v>3.1.</v>
      </c>
      <c r="B5" s="185" t="str">
        <f>'доп. РАСХОДЫ по годам'!B5</f>
        <v>Стоимость первой пересчалки каната силами и оборудованием эксплуатирующей организации</v>
      </c>
      <c r="C5" s="186">
        <f>'доп. РАСХОДЫ по годам'!C5/'ПРОГНОЗ ДОХОДОВ И РАСХОДОВ НДС'!$C$63</f>
        <v>0</v>
      </c>
      <c r="D5" s="186">
        <f>'доп. РАСХОДЫ по годам'!D5/'ПРОГНОЗ ДОХОДОВ И РАСХОДОВ НДС'!$C$63</f>
        <v>25918.07</v>
      </c>
      <c r="E5" s="186">
        <f>'доп. РАСХОДЫ по годам'!E5/'ПРОГНОЗ ДОХОДОВ И РАСХОДОВ НДС'!$C$63</f>
        <v>0</v>
      </c>
      <c r="F5" s="186">
        <f>'доп. РАСХОДЫ по годам'!F5/'ПРОГНОЗ ДОХОДОВ И РАСХОДОВ НДС'!$C$63</f>
        <v>0</v>
      </c>
      <c r="G5" s="186">
        <f>'доп. РАСХОДЫ по годам'!G5/'ПРОГНОЗ ДОХОДОВ И РАСХОДОВ НДС'!$C$63</f>
        <v>0</v>
      </c>
      <c r="H5" s="186">
        <f>'доп. РАСХОДЫ по годам'!H5/'ПРОГНОЗ ДОХОДОВ И РАСХОДОВ НДС'!$C$63</f>
        <v>0</v>
      </c>
      <c r="I5" s="186">
        <f>'доп. РАСХОДЫ по годам'!I5/'ПРОГНОЗ ДОХОДОВ И РАСХОДОВ НДС'!$C$63</f>
        <v>0</v>
      </c>
      <c r="J5" s="186">
        <f>'доп. РАСХОДЫ по годам'!J5/'ПРОГНОЗ ДОХОДОВ И РАСХОДОВ НДС'!$C$63</f>
        <v>0</v>
      </c>
      <c r="K5" s="186">
        <f>'доп. РАСХОДЫ по годам'!K5/'ПРОГНОЗ ДОХОДОВ И РАСХОДОВ НДС'!$C$63</f>
        <v>0</v>
      </c>
      <c r="L5" s="186">
        <f>'доп. РАСХОДЫ по годам'!L5/'ПРОГНОЗ ДОХОДОВ И РАСХОДОВ НДС'!$C$63</f>
        <v>0</v>
      </c>
    </row>
    <row r="6" spans="1:16" x14ac:dyDescent="0.25">
      <c r="A6" t="str">
        <f>'доп. РАСХОДЫ по годам'!A6</f>
        <v>3.2.</v>
      </c>
      <c r="B6" s="185" t="str">
        <f>'доп. РАСХОДЫ по годам'!B6</f>
        <v>Годовое Техобслуживание специалистами из России</v>
      </c>
      <c r="C6" s="186">
        <f>'доп. РАСХОДЫ по годам'!C6/'ПРОГНОЗ ДОХОДОВ И РАСХОДОВ НДС'!$C$63</f>
        <v>5627.77</v>
      </c>
      <c r="D6" s="186">
        <f>'доп. РАСХОДЫ по годам'!D6/'ПРОГНОЗ ДОХОДОВ И РАСХОДОВ НДС'!$C$63</f>
        <v>5627.77</v>
      </c>
      <c r="E6" s="186">
        <f>'доп. РАСХОДЫ по годам'!E6/'ПРОГНОЗ ДОХОДОВ И РАСХОДОВ НДС'!$C$63</f>
        <v>5627.77</v>
      </c>
      <c r="F6" s="186">
        <f>'доп. РАСХОДЫ по годам'!F6/'ПРОГНОЗ ДОХОДОВ И РАСХОДОВ НДС'!$C$63</f>
        <v>6096.75</v>
      </c>
      <c r="G6" s="186">
        <f>'доп. РАСХОДЫ по годам'!G6/'ПРОГНОЗ ДОХОДОВ И РАСХОДОВ НДС'!$C$63</f>
        <v>19293.169999999998</v>
      </c>
      <c r="H6" s="186">
        <f>'доп. РАСХОДЫ по годам'!H6/'ПРОГНОЗ ДОХОДОВ И РАСХОДОВ НДС'!$C$63</f>
        <v>6096.75</v>
      </c>
      <c r="I6" s="186">
        <f>'доп. РАСХОДЫ по годам'!I6/'ПРОГНОЗ ДОХОДОВ И РАСХОДОВ НДС'!$C$63</f>
        <v>19293.169999999998</v>
      </c>
      <c r="J6" s="186">
        <f>'доп. РАСХОДЫ по годам'!J6/'ПРОГНОЗ ДОХОДОВ И РАСХОДОВ НДС'!$C$63</f>
        <v>6096.75</v>
      </c>
      <c r="K6" s="186">
        <f>'доп. РАСХОДЫ по годам'!K6/'ПРОГНОЗ ДОХОДОВ И РАСХОДОВ НДС'!$C$63</f>
        <v>6096.75</v>
      </c>
      <c r="L6" s="186">
        <f>'доп. РАСХОДЫ по годам'!L6/'ПРОГНОЗ ДОХОДОВ И РАСХОДОВ НДС'!$C$63</f>
        <v>19293.169999999998</v>
      </c>
    </row>
    <row r="7" spans="1:16" ht="45" x14ac:dyDescent="0.25">
      <c r="A7" t="str">
        <f>'доп. РАСХОДЫ по годам'!A7</f>
        <v>3.1.</v>
      </c>
      <c r="B7" s="185" t="str">
        <f>'доп. РАСХОДЫ по годам'!B7</f>
        <v>Возможные затраты на текущий ремонт внутреннего интерьера пассажирских кабин на канатной дороге (при необходимости - капитальный)</v>
      </c>
      <c r="C7" s="186">
        <f>'доп. РАСХОДЫ по годам'!C7/'ПРОГНОЗ ДОХОДОВ И РАСХОДОВ НДС'!$C$63</f>
        <v>2000</v>
      </c>
      <c r="D7" s="186">
        <f>'доп. РАСХОДЫ по годам'!D7/'ПРОГНОЗ ДОХОДОВ И РАСХОДОВ НДС'!$C$63</f>
        <v>2080</v>
      </c>
      <c r="E7" s="186">
        <f>'доп. РАСХОДЫ по годам'!E7/'ПРОГНОЗ ДОХОДОВ И РАСХОДОВ НДС'!$C$63</f>
        <v>2163.2000000000003</v>
      </c>
      <c r="F7" s="186">
        <f>'доп. РАСХОДЫ по годам'!F7/'ПРОГНОЗ ДОХОДОВ И РАСХОДОВ НДС'!$C$63</f>
        <v>2249.7280000000005</v>
      </c>
      <c r="G7" s="186">
        <f>'доп. РАСХОДЫ по годам'!G7/'ПРОГНОЗ ДОХОДОВ И РАСХОДОВ НДС'!$C$63</f>
        <v>2339.7171200000007</v>
      </c>
      <c r="H7" s="186">
        <f>'доп. РАСХОДЫ по годам'!H7/'ПРОГНОЗ ДОХОДОВ И РАСХОДОВ НДС'!$C$63</f>
        <v>2433.3058048000007</v>
      </c>
      <c r="I7" s="186">
        <f>'доп. РАСХОДЫ по годам'!I7/'ПРОГНОЗ ДОХОДОВ И РАСХОДОВ НДС'!$C$63</f>
        <v>2530.6380369920007</v>
      </c>
      <c r="J7" s="186">
        <f>'доп. РАСХОДЫ по годам'!J7/'ПРОГНОЗ ДОХОДОВ И РАСХОДОВ НДС'!$C$63</f>
        <v>2631.8635584716808</v>
      </c>
      <c r="K7" s="186">
        <f>'доп. РАСХОДЫ по годам'!K7/'ПРОГНОЗ ДОХОДОВ И РАСХОДОВ НДС'!$C$63</f>
        <v>2737.1381008105482</v>
      </c>
      <c r="L7" s="186">
        <f>'доп. РАСХОДЫ по годам'!L7/'ПРОГНОЗ ДОХОДОВ И РАСХОДОВ НДС'!$C$63</f>
        <v>2846.62362484297</v>
      </c>
    </row>
    <row r="8" spans="1:16" ht="45" x14ac:dyDescent="0.25">
      <c r="A8" t="str">
        <f>'доп. РАСХОДЫ по годам'!A8</f>
        <v>3.3.</v>
      </c>
      <c r="B8" s="185" t="str">
        <f>'доп. РАСХОДЫ по годам'!B8</f>
        <v>Программное обеспечение, Обучение по обслуживанию, по эксплуатации, по управлению, по технике безопасности.</v>
      </c>
      <c r="C8" s="186">
        <f>'доп. РАСХОДЫ по годам'!C8/'ПРОГНОЗ ДОХОДОВ И РАСХОДОВ НДС'!$C$63</f>
        <v>3500</v>
      </c>
      <c r="D8" s="186">
        <f>'доп. РАСХОДЫ по годам'!D8/'ПРОГНОЗ ДОХОДОВ И РАСХОДОВ НДС'!$C$63</f>
        <v>3640</v>
      </c>
      <c r="E8" s="186">
        <f>'доп. РАСХОДЫ по годам'!E8/'ПРОГНОЗ ДОХОДОВ И РАСХОДОВ НДС'!$C$63</f>
        <v>3785.6000000000004</v>
      </c>
      <c r="F8" s="186">
        <f>'доп. РАСХОДЫ по годам'!F8/'ПРОГНОЗ ДОХОДОВ И РАСХОДОВ НДС'!$C$63</f>
        <v>3937.0239999999999</v>
      </c>
      <c r="G8" s="186">
        <f>'доп. РАСХОДЫ по годам'!G8/'ПРОГНОЗ ДОХОДОВ И РАСХОДОВ НДС'!$C$63</f>
        <v>4094.5049599999998</v>
      </c>
      <c r="H8" s="186">
        <f>'доп. РАСХОДЫ по годам'!H8/'ПРОГНОЗ ДОХОДОВ И РАСХОДОВ НДС'!$C$63</f>
        <v>4258.2851584</v>
      </c>
      <c r="I8" s="186">
        <f>'доп. РАСХОДЫ по годам'!I8/'ПРОГНОЗ ДОХОДОВ И РАСХОДОВ НДС'!$C$63</f>
        <v>4428.6165647360003</v>
      </c>
      <c r="J8" s="186">
        <f>'доп. РАСХОДЫ по годам'!J8/'ПРОГНОЗ ДОХОДОВ И РАСХОДОВ НДС'!$C$63</f>
        <v>4605.7612273254408</v>
      </c>
      <c r="K8" s="186">
        <f>'доп. РАСХОДЫ по годам'!K8/'ПРОГНОЗ ДОХОДОВ И РАСХОДОВ НДС'!$C$63</f>
        <v>4789.9916764184582</v>
      </c>
      <c r="L8" s="186">
        <f>'доп. РАСХОДЫ по годам'!L8/'ПРОГНОЗ ДОХОДОВ И РАСХОДОВ НДС'!$C$63</f>
        <v>4981.5913434751965</v>
      </c>
    </row>
    <row r="9" spans="1:16" ht="135" x14ac:dyDescent="0.25">
      <c r="A9" t="str">
        <f>'доп. РАСХОДЫ по годам'!A9</f>
        <v>3.4.</v>
      </c>
      <c r="B9" s="185" t="str">
        <f>'доп. РАСХОДЫ по годам'!B9</f>
        <v>Обучение в Ростехнадзоре специалистов канатной дороги по специальностям: начальник дороги, машинист-оператор, электромеханик, обучение по верхолазным работам, обучение по охране труда при эксплуатации канатной дороги и иные виды обучения с получением дипломов и удостоверений с возможностью регистрации канатной дороги в Ростехнадзоре, ежегодная переаттестация с подтверждением обучения в соответсвии с российским законодательством</v>
      </c>
      <c r="C9" s="186">
        <f>'доп. РАСХОДЫ по годам'!C9/'ПРОГНОЗ ДОХОДОВ И РАСХОДОВ НДС'!$C$63</f>
        <v>2000</v>
      </c>
      <c r="D9" s="186">
        <f>'доп. РАСХОДЫ по годам'!D9/'ПРОГНОЗ ДОХОДОВ И РАСХОДОВ НДС'!$C$63</f>
        <v>1500</v>
      </c>
      <c r="E9" s="186">
        <f>'доп. РАСХОДЫ по годам'!E9/'ПРОГНОЗ ДОХОДОВ И РАСХОДОВ НДС'!$C$63</f>
        <v>1560</v>
      </c>
      <c r="F9" s="186">
        <f>'доп. РАСХОДЫ по годам'!F9/'ПРОГНОЗ ДОХОДОВ И РАСХОДОВ НДС'!$C$63</f>
        <v>1622.4</v>
      </c>
      <c r="G9" s="186">
        <f>'доп. РАСХОДЫ по годам'!G9/'ПРОГНОЗ ДОХОДОВ И РАСХОДОВ НДС'!$C$63</f>
        <v>1687.296</v>
      </c>
      <c r="H9" s="186">
        <f>'доп. РАСХОДЫ по годам'!H9/'ПРОГНОЗ ДОХОДОВ И РАСХОДОВ НДС'!$C$63</f>
        <v>1754.7878400000002</v>
      </c>
      <c r="I9" s="186">
        <f>'доп. РАСХОДЫ по годам'!I9/'ПРОГНОЗ ДОХОДОВ И РАСХОДОВ НДС'!$C$63</f>
        <v>1824.9793536000002</v>
      </c>
      <c r="J9" s="186">
        <f>'доп. РАСХОДЫ по годам'!J9/'ПРОГНОЗ ДОХОДОВ И РАСХОДОВ НДС'!$C$63</f>
        <v>1897.9785277440003</v>
      </c>
      <c r="K9" s="186">
        <f>'доп. РАСХОДЫ по годам'!K9/'ПРОГНОЗ ДОХОДОВ И РАСХОДОВ НДС'!$C$63</f>
        <v>1973.8976688537607</v>
      </c>
      <c r="L9" s="186">
        <f>'доп. РАСХОДЫ по годам'!L9/'ПРОГНОЗ ДОХОДОВ И РАСХОДОВ НДС'!$C$63</f>
        <v>2052.8535756079109</v>
      </c>
    </row>
    <row r="10" spans="1:16" ht="30" x14ac:dyDescent="0.25">
      <c r="A10" t="str">
        <f>'доп. РАСХОДЫ по годам'!A10</f>
        <v>3.5.</v>
      </c>
      <c r="B10" s="185" t="str">
        <f>'доп. РАСХОДЫ по годам'!B10</f>
        <v>Ежегодное техническое освидетельствование канатной дороги лицензированной организацией от Ростехнадзора</v>
      </c>
      <c r="C10" s="186">
        <f>'доп. РАСХОДЫ по годам'!C10/'ПРОГНОЗ ДОХОДОВ И РАСХОДОВ НДС'!$C$63</f>
        <v>3384.62</v>
      </c>
      <c r="D10" s="186">
        <f>'доп. РАСХОДЫ по годам'!D10/'ПРОГНОЗ ДОХОДОВ И РАСХОДОВ НДС'!$C$63</f>
        <v>3520.0048000000002</v>
      </c>
      <c r="E10" s="186">
        <f>'доп. РАСХОДЫ по годам'!E10/'ПРОГНОЗ ДОХОДОВ И РАСХОДОВ НДС'!$C$63</f>
        <v>3660.8049920000003</v>
      </c>
      <c r="F10" s="186">
        <f>'доп. РАСХОДЫ по годам'!F10/'ПРОГНОЗ ДОХОДОВ И РАСХОДОВ НДС'!$C$63</f>
        <v>3807.2371916800007</v>
      </c>
      <c r="G10" s="186">
        <f>'доп. РАСХОДЫ по годам'!G10/'ПРОГНОЗ ДОХОДОВ И РАСХОДОВ НДС'!$C$63</f>
        <v>3959.5266793472006</v>
      </c>
      <c r="H10" s="186">
        <f>'доп. РАСХОДЫ по годам'!H10/'ПРОГНОЗ ДОХОДОВ И РАСХОДОВ НДС'!$C$63</f>
        <v>4117.9077465210885</v>
      </c>
      <c r="I10" s="186">
        <f>'доп. РАСХОДЫ по годам'!I10/'ПРОГНОЗ ДОХОДОВ И РАСХОДОВ НДС'!$C$63</f>
        <v>4282.624056381932</v>
      </c>
      <c r="J10" s="186">
        <f>'доп. РАСХОДЫ по годам'!J10/'ПРОГНОЗ ДОХОДОВ И РАСХОДОВ НДС'!$C$63</f>
        <v>4453.9290186372091</v>
      </c>
      <c r="K10" s="186">
        <f>'доп. РАСХОДЫ по годам'!K10/'ПРОГНОЗ ДОХОДОВ И РАСХОДОВ НДС'!$C$63</f>
        <v>4632.086179382698</v>
      </c>
      <c r="L10" s="186">
        <f>'доп. РАСХОДЫ по годам'!L10/'ПРОГНОЗ ДОХОДОВ И РАСХОДОВ НДС'!$C$63</f>
        <v>4817.3696265580065</v>
      </c>
    </row>
    <row r="11" spans="1:16" ht="30" x14ac:dyDescent="0.25">
      <c r="A11" t="str">
        <f>'доп. РАСХОДЫ по годам'!A11</f>
        <v>3.6.</v>
      </c>
      <c r="B11" s="185" t="str">
        <f>'доп. РАСХОДЫ по годам'!B11</f>
        <v>Магнитная дефектоскопия несущего каната лицензированной организацией от Ростехнадзора</v>
      </c>
      <c r="C11" s="186">
        <f>'доп. РАСХОДЫ по годам'!C11/'ПРОГНОЗ ДОХОДОВ И РАСХОДОВ НДС'!$C$63</f>
        <v>3230.77</v>
      </c>
      <c r="D11" s="186">
        <f>'доп. РАСХОДЫ по годам'!D11/'ПРОГНОЗ ДОХОДОВ И РАСХОДОВ НДС'!$C$63</f>
        <v>3360.0008000000003</v>
      </c>
      <c r="E11" s="186">
        <f>'доп. РАСХОДЫ по годам'!E11/'ПРОГНОЗ ДОХОДОВ И РАСХОДОВ НДС'!$C$63</f>
        <v>3494.4008320000003</v>
      </c>
      <c r="F11" s="186">
        <f>'доп. РАСХОДЫ по годам'!F11/'ПРОГНОЗ ДОХОДОВ И РАСХОДОВ НДС'!$C$63</f>
        <v>3634.1768652800006</v>
      </c>
      <c r="G11" s="186">
        <f>'доп. РАСХОДЫ по годам'!G11/'ПРОГНОЗ ДОХОДОВ И РАСХОДОВ НДС'!$C$63</f>
        <v>3779.5439398912008</v>
      </c>
      <c r="H11" s="186">
        <f>'доп. РАСХОДЫ по годам'!H11/'ПРОГНОЗ ДОХОДОВ И РАСХОДОВ НДС'!$C$63</f>
        <v>3930.7256974868492</v>
      </c>
      <c r="I11" s="186">
        <f>'доп. РАСХОДЫ по годам'!I11/'ПРОГНОЗ ДОХОДОВ И РАСХОДОВ НДС'!$C$63</f>
        <v>4087.9547253863234</v>
      </c>
      <c r="J11" s="186">
        <f>'доп. РАСХОДЫ по годам'!J11/'ПРОГНОЗ ДОХОДОВ И РАСХОДОВ НДС'!$C$63</f>
        <v>4251.4729144017765</v>
      </c>
      <c r="K11" s="186">
        <f>'доп. РАСХОДЫ по годам'!K11/'ПРОГНОЗ ДОХОДОВ И РАСХОДОВ НДС'!$C$63</f>
        <v>4421.5318309778477</v>
      </c>
      <c r="L11" s="186">
        <f>'доп. РАСХОДЫ по годам'!L11/'ПРОГНОЗ ДОХОДОВ И РАСХОДОВ НДС'!$C$63</f>
        <v>4598.3931042169615</v>
      </c>
    </row>
    <row r="12" spans="1:16" ht="30" x14ac:dyDescent="0.25">
      <c r="A12" t="str">
        <f>'доп. РАСХОДЫ по годам'!A12</f>
        <v>3.7.</v>
      </c>
      <c r="B12" s="185" t="str">
        <f>'доп. РАСХОДЫ по годам'!B12</f>
        <v xml:space="preserve">Договор с электроизмерительной лабораторией для составления технического отчета </v>
      </c>
      <c r="C12" s="186">
        <f>'доп. РАСХОДЫ по годам'!C12/'ПРОГНОЗ ДОХОДОВ И РАСХОДОВ НДС'!$C$63</f>
        <v>4078.67</v>
      </c>
      <c r="D12" s="186">
        <f>'доп. РАСХОДЫ по годам'!D12/'ПРОГНОЗ ДОХОДОВ И РАСХОДОВ НДС'!$C$63</f>
        <v>4241.8168000000005</v>
      </c>
      <c r="E12" s="186">
        <f>'доп. РАСХОДЫ по годам'!E12/'ПРОГНОЗ ДОХОДОВ И РАСХОДОВ НДС'!$C$63</f>
        <v>4411.4894720000011</v>
      </c>
      <c r="F12" s="186">
        <f>'доп. РАСХОДЫ по годам'!F12/'ПРОГНОЗ ДОХОДОВ И РАСХОДОВ НДС'!$C$63</f>
        <v>4587.9490508800009</v>
      </c>
      <c r="G12" s="186">
        <f>'доп. РАСХОДЫ по годам'!G12/'ПРОГНОЗ ДОХОДОВ И РАСХОДОВ НДС'!$C$63</f>
        <v>4771.4670129152009</v>
      </c>
      <c r="H12" s="186">
        <f>'доп. РАСХОДЫ по годам'!H12/'ПРОГНОЗ ДОХОДОВ И РАСХОДОВ НДС'!$C$63</f>
        <v>4962.3256934318088</v>
      </c>
      <c r="I12" s="186">
        <f>'доп. РАСХОДЫ по годам'!I12/'ПРОГНОЗ ДОХОДОВ И РАСХОДОВ НДС'!$C$63</f>
        <v>5160.8187211690811</v>
      </c>
      <c r="J12" s="186">
        <f>'доп. РАСХОДЫ по годам'!J12/'ПРОГНОЗ ДОХОДОВ И РАСХОДОВ НДС'!$C$63</f>
        <v>5367.2514700158445</v>
      </c>
      <c r="K12" s="186">
        <f>'доп. РАСХОДЫ по годам'!K12/'ПРОГНОЗ ДОХОДОВ И РАСХОДОВ НДС'!$C$63</f>
        <v>5581.9415288164782</v>
      </c>
      <c r="L12" s="186">
        <f>'доп. РАСХОДЫ по годам'!L12/'ПРОГНОЗ ДОХОДОВ И РАСХОДОВ НДС'!$C$63</f>
        <v>5805.2191899691379</v>
      </c>
    </row>
    <row r="13" spans="1:16" ht="30" x14ac:dyDescent="0.25">
      <c r="A13" t="str">
        <f>'доп. РАСХОДЫ по годам'!A13</f>
        <v>3.8.</v>
      </c>
      <c r="B13" s="185" t="str">
        <f>'доп. РАСХОДЫ по годам'!B13</f>
        <v>Договор на страхование гражданской ответственности третьих лиц при эксплуатации  Особо опасного объекта</v>
      </c>
      <c r="C13" s="186">
        <f>'доп. РАСХОДЫ по годам'!C13/'ПРОГНОЗ ДОХОДОВ И РАСХОДОВ НДС'!$C$63</f>
        <v>1500</v>
      </c>
      <c r="D13" s="186">
        <f>'доп. РАСХОДЫ по годам'!D13/'ПРОГНОЗ ДОХОДОВ И РАСХОДОВ НДС'!$C$63</f>
        <v>1560</v>
      </c>
      <c r="E13" s="186">
        <f>'доп. РАСХОДЫ по годам'!E13/'ПРОГНОЗ ДОХОДОВ И РАСХОДОВ НДС'!$C$63</f>
        <v>1622.4</v>
      </c>
      <c r="F13" s="186">
        <f>'доп. РАСХОДЫ по годам'!F13/'ПРОГНОЗ ДОХОДОВ И РАСХОДОВ НДС'!$C$63</f>
        <v>1687.296</v>
      </c>
      <c r="G13" s="186">
        <f>'доп. РАСХОДЫ по годам'!G13/'ПРОГНОЗ ДОХОДОВ И РАСХОДОВ НДС'!$C$63</f>
        <v>1754.7878400000002</v>
      </c>
      <c r="H13" s="186">
        <f>'доп. РАСХОДЫ по годам'!H13/'ПРОГНОЗ ДОХОДОВ И РАСХОДОВ НДС'!$C$63</f>
        <v>1824.9793536000002</v>
      </c>
      <c r="I13" s="186">
        <f>'доп. РАСХОДЫ по годам'!I13/'ПРОГНОЗ ДОХОДОВ И РАСХОДОВ НДС'!$C$63</f>
        <v>1897.9785277440003</v>
      </c>
      <c r="J13" s="186">
        <f>'доп. РАСХОДЫ по годам'!J13/'ПРОГНОЗ ДОХОДОВ И РАСХОДОВ НДС'!$C$63</f>
        <v>1973.8976688537607</v>
      </c>
      <c r="K13" s="186">
        <f>'доп. РАСХОДЫ по годам'!K13/'ПРОГНОЗ ДОХОДОВ И РАСХОДОВ НДС'!$C$63</f>
        <v>2052.8535756079109</v>
      </c>
      <c r="L13" s="186">
        <f>'доп. РАСХОДЫ по годам'!L13/'ПРОГНОЗ ДОХОДОВ И РАСХОДОВ НДС'!$C$63</f>
        <v>2134.9677186322274</v>
      </c>
    </row>
    <row r="14" spans="1:16" ht="45" x14ac:dyDescent="0.25">
      <c r="A14" t="str">
        <f>'доп. РАСХОДЫ по годам'!A14</f>
        <v>3.9.</v>
      </c>
      <c r="B14" s="185" t="str">
        <f>'доп. РАСХОДЫ по годам'!B14</f>
        <v>Договор на аварийно-спасательные работы при чрезвычайных ситуациях на особо опасном объекте (при необходимости)</v>
      </c>
      <c r="C14" s="186">
        <f>'доп. РАСХОДЫ по годам'!C14/'ПРОГНОЗ ДОХОДОВ И РАСХОДОВ НДС'!$C$63</f>
        <v>36923</v>
      </c>
      <c r="D14" s="186">
        <f>'доп. РАСХОДЫ по годам'!D14/'ПРОГНОЗ ДОХОДОВ И РАСХОДОВ НДС'!$C$63</f>
        <v>38399.919999999998</v>
      </c>
      <c r="E14" s="186">
        <f>'доп. РАСХОДЫ по годам'!E14/'ПРОГНОЗ ДОХОДОВ И РАСХОДОВ НДС'!$C$63</f>
        <v>39935.916799999999</v>
      </c>
      <c r="F14" s="186">
        <f>'доп. РАСХОДЫ по годам'!F14/'ПРОГНОЗ ДОХОДОВ И РАСХОДОВ НДС'!$C$63</f>
        <v>41533.353472000003</v>
      </c>
      <c r="G14" s="186">
        <f>'доп. РАСХОДЫ по годам'!G14/'ПРОГНОЗ ДОХОДОВ И РАСХОДОВ НДС'!$C$63</f>
        <v>43194.687610880006</v>
      </c>
      <c r="H14" s="186">
        <f>'доп. РАСХОДЫ по годам'!H14/'ПРОГНОЗ ДОХОДОВ И РАСХОДОВ НДС'!$C$63</f>
        <v>44922.47511531521</v>
      </c>
      <c r="I14" s="186">
        <f>'доп. РАСХОДЫ по годам'!I14/'ПРОГНОЗ ДОХОДОВ И РАСХОДОВ НДС'!$C$63</f>
        <v>46719.374119927823</v>
      </c>
      <c r="J14" s="186">
        <f>'доп. РАСХОДЫ по годам'!J14/'ПРОГНОЗ ДОХОДОВ И РАСХОДОВ НДС'!$C$63</f>
        <v>48588.149084724937</v>
      </c>
      <c r="K14" s="186">
        <f>'доп. РАСХОДЫ по годам'!K14/'ПРОГНОЗ ДОХОДОВ И РАСХОДОВ НДС'!$C$63</f>
        <v>50531.675048113939</v>
      </c>
      <c r="L14" s="186">
        <f>'доп. РАСХОДЫ по годам'!L14/'ПРОГНОЗ ДОХОДОВ И РАСХОДОВ НДС'!$C$63</f>
        <v>52552.942050038495</v>
      </c>
    </row>
    <row r="15" spans="1:16" x14ac:dyDescent="0.25">
      <c r="A15">
        <f>'доп. РАСХОДЫ по годам'!A15</f>
        <v>4</v>
      </c>
      <c r="B15" s="185" t="str">
        <f>'доп. РАСХОДЫ по годам'!B15</f>
        <v>Юридические и бухгалтерские услуги</v>
      </c>
      <c r="C15" s="186">
        <f>'доп. РАСХОДЫ по годам'!C15/'ПРОГНОЗ ДОХОДОВ И РАСХОДОВ НДС'!$C$63</f>
        <v>77611.500000000015</v>
      </c>
      <c r="D15" s="186">
        <f>'доп. РАСХОДЫ по годам'!D15/'ПРОГНОЗ ДОХОДОВ И РАСХОДОВ НДС'!$C$63</f>
        <v>80715.960000000006</v>
      </c>
      <c r="E15" s="186">
        <f>'доп. РАСХОДЫ по годам'!E15/'ПРОГНОЗ ДОХОДОВ И РАСХОДОВ НДС'!$C$63</f>
        <v>83944.598399999988</v>
      </c>
      <c r="F15" s="186">
        <f>'доп. РАСХОДЫ по годам'!F15/'ПРОГНОЗ ДОХОДОВ И РАСХОДОВ НДС'!$C$63</f>
        <v>87302.38233600001</v>
      </c>
      <c r="G15" s="186">
        <f>'доп. РАСХОДЫ по годам'!G15/'ПРОГНОЗ ДОХОДОВ И РАСХОДОВ НДС'!$C$63</f>
        <v>90794.477629440007</v>
      </c>
      <c r="H15" s="186">
        <f>'доп. РАСХОДЫ по годам'!H15/'ПРОГНОЗ ДОХОДОВ И РАСХОДОВ НДС'!$C$63</f>
        <v>94426.256734617593</v>
      </c>
      <c r="I15" s="186">
        <f>'доп. РАСХОДЫ по годам'!I15/'ПРОГНОЗ ДОХОДОВ И РАСХОДОВ НДС'!$C$63</f>
        <v>98203.30700400233</v>
      </c>
      <c r="J15" s="186">
        <f>'доп. РАСХОДЫ по годам'!J15/'ПРОГНОЗ ДОХОДОВ И РАСХОДОВ НДС'!$C$63</f>
        <v>102131.43928416242</v>
      </c>
      <c r="K15" s="186">
        <f>'доп. РАСХОДЫ по годам'!K15/'ПРОГНОЗ ДОХОДОВ И РАСХОДОВ НДС'!$C$63</f>
        <v>106216.69685552891</v>
      </c>
      <c r="L15" s="186">
        <f>'доп. РАСХОДЫ по годам'!L15/'ПРОГНОЗ ДОХОДОВ И РАСХОДОВ НДС'!$C$63</f>
        <v>110465.36472975007</v>
      </c>
    </row>
    <row r="16" spans="1:16" ht="30" x14ac:dyDescent="0.25">
      <c r="A16" t="str">
        <f>'доп. РАСХОДЫ по годам'!A16</f>
        <v>4.1.</v>
      </c>
      <c r="B16" s="185" t="str">
        <f>'доп. РАСХОДЫ по годам'!B16</f>
        <v>Бухгалтерский учёт, аудиторское сопровождение, банковские издержки, официальные сборы</v>
      </c>
      <c r="C16" s="186">
        <f>'доп. РАСХОДЫ по годам'!C16/'ПРОГНОЗ ДОХОДОВ И РАСХОДОВ НДС'!$C$63</f>
        <v>55384.62</v>
      </c>
      <c r="D16" s="186">
        <f>'доп. РАСХОДЫ по годам'!D16/'ПРОГНОЗ ДОХОДОВ И РАСХОДОВ НДС'!$C$63</f>
        <v>57600.004800000002</v>
      </c>
      <c r="E16" s="186">
        <f>'доп. РАСХОДЫ по годам'!E16/'ПРОГНОЗ ДОХОДОВ И РАСХОДОВ НДС'!$C$63</f>
        <v>59904.004992000002</v>
      </c>
      <c r="F16" s="186">
        <f>'доп. РАСХОДЫ по годам'!F16/'ПРОГНОЗ ДОХОДОВ И РАСХОДОВ НДС'!$C$63</f>
        <v>62300.165191680004</v>
      </c>
      <c r="G16" s="186">
        <f>'доп. РАСХОДЫ по годам'!G16/'ПРОГНОЗ ДОХОДОВ И РАСХОДОВ НДС'!$C$63</f>
        <v>64792.171799347205</v>
      </c>
      <c r="H16" s="186">
        <f>'доп. РАСХОДЫ по годам'!H16/'ПРОГНОЗ ДОХОДОВ И РАСХОДОВ НДС'!$C$63</f>
        <v>67383.858671321097</v>
      </c>
      <c r="I16" s="186">
        <f>'доп. РАСХОДЫ по годам'!I16/'ПРОГНОЗ ДОХОДОВ И РАСХОДОВ НДС'!$C$63</f>
        <v>70079.213018173949</v>
      </c>
      <c r="J16" s="186">
        <f>'доп. РАСХОДЫ по годам'!J16/'ПРОГНОЗ ДОХОДОВ И РАСХОДОВ НДС'!$C$63</f>
        <v>72882.381538900911</v>
      </c>
      <c r="K16" s="186">
        <f>'доп. РАСХОДЫ по годам'!K16/'ПРОГНОЗ ДОХОДОВ И РАСХОДОВ НДС'!$C$63</f>
        <v>75797.676800456946</v>
      </c>
      <c r="L16" s="186">
        <f>'доп. РАСХОДЫ по годам'!L16/'ПРОГНОЗ ДОХОДОВ И РАСХОДОВ НДС'!$C$63</f>
        <v>78829.583872475225</v>
      </c>
    </row>
    <row r="17" spans="1:12" ht="105" x14ac:dyDescent="0.25">
      <c r="A17" t="str">
        <f>'доп. РАСХОДЫ по годам'!A17</f>
        <v>4.2.</v>
      </c>
      <c r="B17" s="185" t="str">
        <f>'доп. РАСХОДЫ по годам'!B17</f>
        <v xml:space="preserve">Обслуживание  системы контроля и доступа на канатную дорогус возможностью продажи билетов (пластиковых магнитных карточек), обеспечивающий проход расчетного количества посетителей, карточко-приемником, возможность продажи билетов через терминал, возможность считывания билетов, купленных через Интернет, кассовыми аппаратами </v>
      </c>
      <c r="C17" s="186">
        <f>'доп. РАСХОДЫ по годам'!C17/'ПРОГНОЗ ДОХОДОВ И РАСХОДОВ НДС'!$C$63</f>
        <v>5000</v>
      </c>
      <c r="D17" s="186">
        <f>'доп. РАСХОДЫ по годам'!D17/'ПРОГНОЗ ДОХОДОВ И РАСХОДОВ НДС'!$C$63</f>
        <v>5200</v>
      </c>
      <c r="E17" s="186">
        <f>'доп. РАСХОДЫ по годам'!E17/'ПРОГНОЗ ДОХОДОВ И РАСХОДОВ НДС'!$C$63</f>
        <v>5408</v>
      </c>
      <c r="F17" s="186">
        <f>'доп. РАСХОДЫ по годам'!F17/'ПРОГНОЗ ДОХОДОВ И РАСХОДОВ НДС'!$C$63</f>
        <v>5624.3200000000006</v>
      </c>
      <c r="G17" s="186">
        <f>'доп. РАСХОДЫ по годам'!G17/'ПРОГНОЗ ДОХОДОВ И РАСХОДОВ НДС'!$C$63</f>
        <v>5849.2928000000011</v>
      </c>
      <c r="H17" s="186">
        <f>'доп. РАСХОДЫ по годам'!H17/'ПРОГНОЗ ДОХОДОВ И РАСХОДОВ НДС'!$C$63</f>
        <v>6083.2645120000016</v>
      </c>
      <c r="I17" s="186">
        <f>'доп. РАСХОДЫ по годам'!I17/'ПРОГНОЗ ДОХОДОВ И РАСХОДОВ НДС'!$C$63</f>
        <v>6326.5950924800018</v>
      </c>
      <c r="J17" s="186">
        <f>'доп. РАСХОДЫ по годам'!J17/'ПРОГНОЗ ДОХОДОВ И РАСХОДОВ НДС'!$C$63</f>
        <v>6579.6588961792022</v>
      </c>
      <c r="K17" s="186">
        <f>'доп. РАСХОДЫ по годам'!K17/'ПРОГНОЗ ДОХОДОВ И РАСХОДОВ НДС'!$C$63</f>
        <v>6842.8452520263709</v>
      </c>
      <c r="L17" s="186">
        <f>'доп. РАСХОДЫ по годам'!L17/'ПРОГНОЗ ДОХОДОВ И РАСХОДОВ НДС'!$C$63</f>
        <v>7116.5590621074261</v>
      </c>
    </row>
    <row r="18" spans="1:12" ht="45" x14ac:dyDescent="0.25">
      <c r="A18" t="str">
        <f>'доп. РАСХОДЫ по годам'!A18</f>
        <v>4.3.</v>
      </c>
      <c r="B18" s="185" t="str">
        <f>'доп. РАСХОДЫ по годам'!B18</f>
        <v>Ежегодное обслуживание работы системы с возможностью дистанционного обслуживания, либо фактическим присутствием специалиста.</v>
      </c>
      <c r="C18" s="186">
        <f>'доп. РАСХОДЫ по годам'!C18/'ПРОГНОЗ ДОХОДОВ И РАСХОДОВ НДС'!$C$63</f>
        <v>10892.92</v>
      </c>
      <c r="D18" s="186">
        <f>'доп. РАСХОДЫ по годам'!D18/'ПРОГНОЗ ДОХОДОВ И РАСХОДОВ НДС'!$C$63</f>
        <v>11328.6368</v>
      </c>
      <c r="E18" s="186">
        <f>'доп. РАСХОДЫ по годам'!E18/'ПРОГНОЗ ДОХОДОВ И РАСХОДОВ НДС'!$C$63</f>
        <v>11781.782272</v>
      </c>
      <c r="F18" s="186">
        <f>'доп. РАСХОДЫ по годам'!F18/'ПРОГНОЗ ДОХОДОВ И РАСХОДОВ НДС'!$C$63</f>
        <v>12253.053562880001</v>
      </c>
      <c r="G18" s="186">
        <f>'доп. РАСХОДЫ по годам'!G18/'ПРОГНОЗ ДОХОДОВ И РАСХОДОВ НДС'!$C$63</f>
        <v>12743.175705395201</v>
      </c>
      <c r="H18" s="186">
        <f>'доп. РАСХОДЫ по годам'!H18/'ПРОГНОЗ ДОХОДОВ И РАСХОДОВ НДС'!$C$63</f>
        <v>13252.902733611008</v>
      </c>
      <c r="I18" s="186">
        <f>'доп. РАСХОДЫ по годам'!I18/'ПРОГНОЗ ДОХОДОВ И РАСХОДОВ НДС'!$C$63</f>
        <v>13783.018842955449</v>
      </c>
      <c r="J18" s="186">
        <f>'доп. РАСХОДЫ по годам'!J18/'ПРОГНОЗ ДОХОДОВ И РАСХОДОВ НДС'!$C$63</f>
        <v>14334.339596673668</v>
      </c>
      <c r="K18" s="186">
        <f>'доп. РАСХОДЫ по годам'!K18/'ПРОГНОЗ ДОХОДОВ И РАСХОДОВ НДС'!$C$63</f>
        <v>14907.713180540615</v>
      </c>
      <c r="L18" s="186">
        <f>'доп. РАСХОДЫ по годам'!L18/'ПРОГНОЗ ДОХОДОВ И РАСХОДОВ НДС'!$C$63</f>
        <v>15504.02170776224</v>
      </c>
    </row>
    <row r="19" spans="1:12" x14ac:dyDescent="0.25">
      <c r="A19" t="str">
        <f>'доп. РАСХОДЫ по годам'!A19</f>
        <v>4.4.</v>
      </c>
      <c r="B19" s="185" t="str">
        <f>'доп. РАСХОДЫ по годам'!B19</f>
        <v>Оплата труда кассиров</v>
      </c>
      <c r="C19" s="186">
        <f>'доп. РАСХОДЫ по годам'!C19/'ПРОГНОЗ ДОХОДОВ И РАСХОДОВ НДС'!$C$63</f>
        <v>5210.88</v>
      </c>
      <c r="D19" s="186">
        <f>'доп. РАСХОДЫ по годам'!D19/'ПРОГНОЗ ДОХОДОВ И РАСХОДОВ НДС'!$C$63</f>
        <v>5419.3152</v>
      </c>
      <c r="E19" s="186">
        <f>'доп. РАСХОДЫ по годам'!E19/'ПРОГНОЗ ДОХОДОВ И РАСХОДОВ НДС'!$C$63</f>
        <v>5636.0878080000002</v>
      </c>
      <c r="F19" s="186">
        <f>'доп. РАСХОДЫ по годам'!F19/'ПРОГНОЗ ДОХОДОВ И РАСХОДОВ НДС'!$C$63</f>
        <v>5861.5313203200003</v>
      </c>
      <c r="G19" s="186">
        <f>'доп. РАСХОДЫ по годам'!G19/'ПРОГНОЗ ДОХОДОВ И РАСХОДОВ НДС'!$C$63</f>
        <v>6095.9925731328003</v>
      </c>
      <c r="H19" s="186">
        <f>'доп. РАСХОДЫ по годам'!H19/'ПРОГНОЗ ДОХОДОВ И РАСХОДОВ НДС'!$C$63</f>
        <v>6339.8322760581123</v>
      </c>
      <c r="I19" s="186">
        <f>'доп. РАСХОДЫ по годам'!I19/'ПРОГНОЗ ДОХОДОВ И РАСХОДОВ НДС'!$C$63</f>
        <v>6593.4255671004366</v>
      </c>
      <c r="J19" s="186">
        <f>'доп. РАСХОДЫ по годам'!J19/'ПРОГНОЗ ДОХОДОВ И РАСХОДОВ НДС'!$C$63</f>
        <v>6857.1625897844542</v>
      </c>
      <c r="K19" s="186">
        <f>'доп. РАСХОДЫ по годам'!K19/'ПРОГНОЗ ДОХОДОВ И РАСХОДОВ НДС'!$C$63</f>
        <v>7131.4490933758325</v>
      </c>
      <c r="L19" s="186">
        <f>'доп. РАСХОДЫ по годам'!L19/'ПРОГНОЗ ДОХОДОВ И РАСХОДОВ НДС'!$C$63</f>
        <v>7416.7070571108661</v>
      </c>
    </row>
    <row r="20" spans="1:12" x14ac:dyDescent="0.25">
      <c r="A20" t="str">
        <f>'доп. РАСХОДЫ по годам'!A20</f>
        <v>4.5.</v>
      </c>
      <c r="B20" s="185" t="str">
        <f>'доп. РАСХОДЫ по годам'!B20</f>
        <v>Ежедневная инкассация</v>
      </c>
      <c r="C20" s="186">
        <f>'доп. РАСХОДЫ по годам'!C20/'ПРОГНОЗ ДОХОДОВ И РАСХОДОВ НДС'!$C$63</f>
        <v>1123.08</v>
      </c>
      <c r="D20" s="186">
        <f>'доп. РАСХОДЫ по годам'!D20/'ПРОГНОЗ ДОХОДОВ И РАСХОДОВ НДС'!$C$63</f>
        <v>1168.0031999999999</v>
      </c>
      <c r="E20" s="186">
        <f>'доп. РАСХОДЫ по годам'!E20/'ПРОГНОЗ ДОХОДОВ И РАСХОДОВ НДС'!$C$63</f>
        <v>1214.7233279999998</v>
      </c>
      <c r="F20" s="186">
        <f>'доп. РАСХОДЫ по годам'!F20/'ПРОГНОЗ ДОХОДОВ И РАСХОДОВ НДС'!$C$63</f>
        <v>1263.3122611199999</v>
      </c>
      <c r="G20" s="186">
        <f>'доп. РАСХОДЫ по годам'!G20/'ПРОГНОЗ ДОХОДОВ И РАСХОДОВ НДС'!$C$63</f>
        <v>1313.8447515647999</v>
      </c>
      <c r="H20" s="186">
        <f>'доп. РАСХОДЫ по годам'!H20/'ПРОГНОЗ ДОХОДОВ И РАСХОДОВ НДС'!$C$63</f>
        <v>1366.398541627392</v>
      </c>
      <c r="I20" s="186">
        <f>'доп. РАСХОДЫ по годам'!I20/'ПРОГНОЗ ДОХОДОВ И РАСХОДОВ НДС'!$C$63</f>
        <v>1421.0544832924877</v>
      </c>
      <c r="J20" s="186">
        <f>'доп. РАСХОДЫ по годам'!J20/'ПРОГНОЗ ДОХОДОВ И РАСХОДОВ НДС'!$C$63</f>
        <v>1477.8966626241872</v>
      </c>
      <c r="K20" s="186">
        <f>'доп. РАСХОДЫ по годам'!K20/'ПРОГНОЗ ДОХОДОВ И РАСХОДОВ НДС'!$C$63</f>
        <v>1537.0125291291547</v>
      </c>
      <c r="L20" s="186">
        <f>'доп. РАСХОДЫ по годам'!L20/'ПРОГНОЗ ДОХОДОВ И РАСХОДОВ НДС'!$C$63</f>
        <v>1598.493030294321</v>
      </c>
    </row>
    <row r="21" spans="1:12" x14ac:dyDescent="0.25">
      <c r="A21">
        <f>'доп. РАСХОДЫ по годам'!A21</f>
        <v>5</v>
      </c>
      <c r="B21" s="185" t="str">
        <f>'доп. РАСХОДЫ по годам'!B21</f>
        <v>Внешний сервис</v>
      </c>
      <c r="C21" s="186">
        <f>'доп. РАСХОДЫ по годам'!C21/'ПРОГНОЗ ДОХОДОВ И РАСХОДОВ НДС'!$C$63</f>
        <v>44966.8</v>
      </c>
      <c r="D21" s="186">
        <f>'доп. РАСХОДЫ по годам'!D21/'ПРОГНОЗ ДОХОДОВ И РАСХОДОВ НДС'!$C$63</f>
        <v>46765.472000000002</v>
      </c>
      <c r="E21" s="186">
        <f>'доп. РАСХОДЫ по годам'!E21/'ПРОГНОЗ ДОХОДОВ И РАСХОДОВ НДС'!$C$63</f>
        <v>48636.090879999996</v>
      </c>
      <c r="F21" s="186">
        <f>'доп. РАСХОДЫ по годам'!F21/'ПРОГНОЗ ДОХОДОВ И РАСХОДОВ НДС'!$C$63</f>
        <v>50581.534515200001</v>
      </c>
      <c r="G21" s="186">
        <f>'доп. РАСХОДЫ по годам'!G21/'ПРОГНОЗ ДОХОДОВ И РАСХОДОВ НДС'!$C$63</f>
        <v>52604.795895808005</v>
      </c>
      <c r="H21" s="186">
        <f>'доп. РАСХОДЫ по годам'!H21/'ПРОГНОЗ ДОХОДОВ И РАСХОДОВ НДС'!$C$63</f>
        <v>54708.987731640322</v>
      </c>
      <c r="I21" s="186">
        <f>'доп. РАСХОДЫ по годам'!I21/'ПРОГНОЗ ДОХОДОВ И РАСХОДОВ НДС'!$C$63</f>
        <v>56897.347240905947</v>
      </c>
      <c r="J21" s="186">
        <f>'доп. РАСХОДЫ по годам'!J21/'ПРОГНОЗ ДОХОДОВ И РАСХОДОВ НДС'!$C$63</f>
        <v>59173.241130542185</v>
      </c>
      <c r="K21" s="186">
        <f>'доп. РАСХОДЫ по годам'!K21/'ПРОГНОЗ ДОХОДОВ И РАСХОДОВ НДС'!$C$63</f>
        <v>61540.17077576388</v>
      </c>
      <c r="L21" s="186">
        <f>'доп. РАСХОДЫ по годам'!L21/'ПРОГНОЗ ДОХОДОВ И РАСХОДОВ НДС'!$C$63</f>
        <v>64001.777606794421</v>
      </c>
    </row>
    <row r="22" spans="1:12" ht="30" x14ac:dyDescent="0.25">
      <c r="A22" t="str">
        <f>'доп. РАСХОДЫ по годам'!A22</f>
        <v>5.1.</v>
      </c>
      <c r="B22" s="185" t="str">
        <f>'доп. РАСХОДЫ по годам'!B22</f>
        <v>Уборочные работы (разовые, постоянные, утро-вечер, закупка уборочного инвентаря и закупка моющих средств)</v>
      </c>
      <c r="C22" s="186">
        <f>'доп. РАСХОДЫ по годам'!C22/'ПРОГНОЗ ДОХОДОВ И РАСХОДОВ НДС'!$C$63</f>
        <v>14655.6</v>
      </c>
      <c r="D22" s="186">
        <f>'доп. РАСХОДЫ по годам'!D22/'ПРОГНОЗ ДОХОДОВ И РАСХОДОВ НДС'!$C$63</f>
        <v>15241.823999999999</v>
      </c>
      <c r="E22" s="186">
        <f>'доп. РАСХОДЫ по годам'!E22/'ПРОГНОЗ ДОХОДОВ И РАСХОДОВ НДС'!$C$63</f>
        <v>15851.49696</v>
      </c>
      <c r="F22" s="186">
        <f>'доп. РАСХОДЫ по годам'!F22/'ПРОГНОЗ ДОХОДОВ И РАСХОДОВ НДС'!$C$63</f>
        <v>16485.5568384</v>
      </c>
      <c r="G22" s="186">
        <f>'доп. РАСХОДЫ по годам'!G22/'ПРОГНОЗ ДОХОДОВ И РАСХОДОВ НДС'!$C$63</f>
        <v>17144.979111936002</v>
      </c>
      <c r="H22" s="186">
        <f>'доп. РАСХОДЫ по годам'!H22/'ПРОГНОЗ ДОХОДОВ И РАСХОДОВ НДС'!$C$63</f>
        <v>17830.778276413443</v>
      </c>
      <c r="I22" s="186">
        <f>'доп. РАСХОДЫ по годам'!I22/'ПРОГНОЗ ДОХОДОВ И РАСХОДОВ НДС'!$C$63</f>
        <v>18544.009407469981</v>
      </c>
      <c r="J22" s="186">
        <f>'доп. РАСХОДЫ по годам'!J22/'ПРОГНОЗ ДОХОДОВ И РАСХОДОВ НДС'!$C$63</f>
        <v>19285.769783768781</v>
      </c>
      <c r="K22" s="186">
        <f>'доп. РАСХОДЫ по годам'!K22/'ПРОГНОЗ ДОХОДОВ И РАСХОДОВ НДС'!$C$63</f>
        <v>20057.200575119532</v>
      </c>
      <c r="L22" s="186">
        <f>'доп. РАСХОДЫ по годам'!L22/'ПРОГНОЗ ДОХОДОВ И РАСХОДОВ НДС'!$C$63</f>
        <v>20859.488598124313</v>
      </c>
    </row>
    <row r="23" spans="1:12" ht="45" x14ac:dyDescent="0.25">
      <c r="A23" t="str">
        <f>'доп. РАСХОДЫ по годам'!A23</f>
        <v>5.2.</v>
      </c>
      <c r="B23" s="185" t="str">
        <f>'доп. РАСХОДЫ по годам'!B23</f>
        <v>Охрана (круглосуточная охрана с количеством постов, обеспечивающих сохранность имущества и безопасность посетителей на объекте "Канатная дорога"</v>
      </c>
      <c r="C23" s="186">
        <f>'доп. РАСХОДЫ по годам'!C23/'ПРОГНОЗ ДОХОДОВ И РАСХОДОВ НДС'!$C$63</f>
        <v>29311.200000000001</v>
      </c>
      <c r="D23" s="186">
        <f>'доп. РАСХОДЫ по годам'!D23/'ПРОГНОЗ ДОХОДОВ И РАСХОДОВ НДС'!$C$63</f>
        <v>30483.647999999997</v>
      </c>
      <c r="E23" s="186">
        <f>'доп. РАСХОДЫ по годам'!E23/'ПРОГНОЗ ДОХОДОВ И РАСХОДОВ НДС'!$C$63</f>
        <v>31702.993920000001</v>
      </c>
      <c r="F23" s="186">
        <f>'доп. РАСХОДЫ по годам'!F23/'ПРОГНОЗ ДОХОДОВ И РАСХОДОВ НДС'!$C$63</f>
        <v>32971.1136768</v>
      </c>
      <c r="G23" s="186">
        <f>'доп. РАСХОДЫ по годам'!G23/'ПРОГНОЗ ДОХОДОВ И РАСХОДОВ НДС'!$C$63</f>
        <v>34289.958223872003</v>
      </c>
      <c r="H23" s="186">
        <f>'доп. РАСХОДЫ по годам'!H23/'ПРОГНОЗ ДОХОДОВ И РАСХОДОВ НДС'!$C$63</f>
        <v>35661.556552826885</v>
      </c>
      <c r="I23" s="186">
        <f>'доп. РАСХОДЫ по годам'!I23/'ПРОГНОЗ ДОХОДОВ И РАСХОДОВ НДС'!$C$63</f>
        <v>37088.018814939962</v>
      </c>
      <c r="J23" s="186">
        <f>'доп. РАСХОДЫ по годам'!J23/'ПРОГНОЗ ДОХОДОВ И РАСХОДОВ НДС'!$C$63</f>
        <v>38571.539567537562</v>
      </c>
      <c r="K23" s="186">
        <f>'доп. РАСХОДЫ по годам'!K23/'ПРОГНОЗ ДОХОДОВ И РАСХОДОВ НДС'!$C$63</f>
        <v>40114.401150239064</v>
      </c>
      <c r="L23" s="186">
        <f>'доп. РАСХОДЫ по годам'!L23/'ПРОГНОЗ ДОХОДОВ И РАСХОДОВ НДС'!$C$63</f>
        <v>41718.977196248627</v>
      </c>
    </row>
    <row r="24" spans="1:12" x14ac:dyDescent="0.25">
      <c r="A24" t="str">
        <f>'доп. РАСХОДЫ по годам'!A24</f>
        <v>5.3.</v>
      </c>
      <c r="B24" s="185" t="str">
        <f>'доп. РАСХОДЫ по годам'!B24</f>
        <v xml:space="preserve">Затраты на электроэнергию </v>
      </c>
      <c r="C24" s="186">
        <f>'доп. РАСХОДЫ по годам'!C24/'ПРОГНОЗ ДОХОДОВ И РАСХОДОВ НДС'!$C$63</f>
        <v>1000</v>
      </c>
      <c r="D24" s="186">
        <f>'доп. РАСХОДЫ по годам'!D24/'ПРОГНОЗ ДОХОДОВ И РАСХОДОВ НДС'!$C$63</f>
        <v>1040</v>
      </c>
      <c r="E24" s="186">
        <f>'доп. РАСХОДЫ по годам'!E24/'ПРОГНОЗ ДОХОДОВ И РАСХОДОВ НДС'!$C$63</f>
        <v>1081.6000000000001</v>
      </c>
      <c r="F24" s="186">
        <f>'доп. РАСХОДЫ по годам'!F24/'ПРОГНОЗ ДОХОДОВ И РАСХОДОВ НДС'!$C$63</f>
        <v>1124.8640000000003</v>
      </c>
      <c r="G24" s="186">
        <f>'доп. РАСХОДЫ по годам'!G24/'ПРОГНОЗ ДОХОДОВ И РАСХОДОВ НДС'!$C$63</f>
        <v>1169.8585600000004</v>
      </c>
      <c r="H24" s="186">
        <f>'доп. РАСХОДЫ по годам'!H24/'ПРОГНОЗ ДОХОДОВ И РАСХОДОВ НДС'!$C$63</f>
        <v>1216.6529024000004</v>
      </c>
      <c r="I24" s="186">
        <f>'доп. РАСХОДЫ по годам'!I24/'ПРОГНОЗ ДОХОДОВ И РАСХОДОВ НДС'!$C$63</f>
        <v>1265.3190184960004</v>
      </c>
      <c r="J24" s="186">
        <f>'доп. РАСХОДЫ по годам'!J24/'ПРОГНОЗ ДОХОДОВ И РАСХОДОВ НДС'!$C$63</f>
        <v>1315.9317792358404</v>
      </c>
      <c r="K24" s="186">
        <f>'доп. РАСХОДЫ по годам'!K24/'ПРОГНОЗ ДОХОДОВ И РАСХОДОВ НДС'!$C$63</f>
        <v>1368.5690504052741</v>
      </c>
      <c r="L24" s="186">
        <f>'доп. РАСХОДЫ по годам'!L24/'ПРОГНОЗ ДОХОДОВ И РАСХОДОВ НДС'!$C$63</f>
        <v>1423.311812421485</v>
      </c>
    </row>
    <row r="25" spans="1:12" x14ac:dyDescent="0.25">
      <c r="A25">
        <f>'доп. РАСХОДЫ по годам'!A25</f>
        <v>6</v>
      </c>
      <c r="B25" s="185" t="str">
        <f>'доп. РАСХОДЫ по годам'!B25</f>
        <v>Кадры и прочее</v>
      </c>
      <c r="C25" s="186">
        <f>'доп. РАСХОДЫ по годам'!C25/'ПРОГНОЗ ДОХОДОВ И РАСХОДОВ НДС'!$C$63</f>
        <v>66253.301510791367</v>
      </c>
      <c r="D25" s="186">
        <f>'доп. РАСХОДЫ по годам'!D25/'ПРОГНОЗ ДОХОДОВ И РАСХОДОВ НДС'!$C$63</f>
        <v>68903.433571223024</v>
      </c>
      <c r="E25" s="186">
        <f>'доп. РАСХОДЫ по годам'!E25/'ПРОГНОЗ ДОХОДОВ И РАСХОДОВ НДС'!$C$63</f>
        <v>71659.570914071941</v>
      </c>
      <c r="F25" s="186">
        <f>'доп. РАСХОДЫ по годам'!F25/'ПРОГНОЗ ДОХОДОВ И РАСХОДОВ НДС'!$C$63</f>
        <v>74525.953750634828</v>
      </c>
      <c r="G25" s="186">
        <f>'доп. РАСХОДЫ по годам'!G25/'ПРОГНОЗ ДОХОДОВ И РАСХОДОВ НДС'!$C$63</f>
        <v>77506.991900660229</v>
      </c>
      <c r="H25" s="186">
        <f>'доп. РАСХОДЫ по годам'!H25/'ПРОГНОЗ ДОХОДОВ И РАСХОДОВ НДС'!$C$63</f>
        <v>80607.271576686646</v>
      </c>
      <c r="I25" s="186">
        <f>'доп. РАСХОДЫ по годам'!I25/'ПРОГНОЗ ДОХОДОВ И РАСХОДОВ НДС'!$C$63</f>
        <v>83831.562439754111</v>
      </c>
      <c r="J25" s="186">
        <f>'доп. РАСХОДЫ по годам'!J25/'ПРОГНОЗ ДОХОДОВ И РАСХОДОВ НДС'!$C$63</f>
        <v>87184.824937344281</v>
      </c>
      <c r="K25" s="186">
        <f>'доп. РАСХОДЫ по годам'!K25/'ПРОГНОЗ ДОХОДОВ И РАСХОДОВ НДС'!$C$63</f>
        <v>90672.21793483806</v>
      </c>
      <c r="L25" s="186">
        <f>'доп. РАСХОДЫ по годам'!L25/'ПРОГНОЗ ДОХОДОВ И РАСХОДОВ НДС'!$C$63</f>
        <v>94299.106652231581</v>
      </c>
    </row>
    <row r="26" spans="1:12" ht="45" x14ac:dyDescent="0.25">
      <c r="A26" t="str">
        <f>'доп. РАСХОДЫ по годам'!A26</f>
        <v>6.1.</v>
      </c>
      <c r="B26" s="185" t="str">
        <f>'доп. РАСХОДЫ по годам'!B26</f>
        <v>Годовые затраты по кадрам, поиск кадров, контракты по наёму персонала и т.п., представительские расходы, прочее</v>
      </c>
      <c r="C26" s="186">
        <f>'доп. РАСХОДЫ по годам'!C26/'ПРОГНОЗ ДОХОДОВ И РАСХОДОВ НДС'!$C$63</f>
        <v>1000</v>
      </c>
      <c r="D26" s="186">
        <f>'доп. РАСХОДЫ по годам'!D26/'ПРОГНОЗ ДОХОДОВ И РАСХОДОВ НДС'!$C$63</f>
        <v>1040</v>
      </c>
      <c r="E26" s="186">
        <f>'доп. РАСХОДЫ по годам'!E26/'ПРОГНОЗ ДОХОДОВ И РАСХОДОВ НДС'!$C$63</f>
        <v>1081.6000000000001</v>
      </c>
      <c r="F26" s="186">
        <f>'доп. РАСХОДЫ по годам'!F26/'ПРОГНОЗ ДОХОДОВ И РАСХОДОВ НДС'!$C$63</f>
        <v>1124.8640000000003</v>
      </c>
      <c r="G26" s="186">
        <f>'доп. РАСХОДЫ по годам'!G26/'ПРОГНОЗ ДОХОДОВ И РАСХОДОВ НДС'!$C$63</f>
        <v>1169.8585600000004</v>
      </c>
      <c r="H26" s="186">
        <f>'доп. РАСХОДЫ по годам'!H26/'ПРОГНОЗ ДОХОДОВ И РАСХОДОВ НДС'!$C$63</f>
        <v>1216.6529024000004</v>
      </c>
      <c r="I26" s="186">
        <f>'доп. РАСХОДЫ по годам'!I26/'ПРОГНОЗ ДОХОДОВ И РАСХОДОВ НДС'!$C$63</f>
        <v>1265.3190184960004</v>
      </c>
      <c r="J26" s="186">
        <f>'доп. РАСХОДЫ по годам'!J26/'ПРОГНОЗ ДОХОДОВ И РАСХОДОВ НДС'!$C$63</f>
        <v>1315.9317792358404</v>
      </c>
      <c r="K26" s="186">
        <f>'доп. РАСХОДЫ по годам'!K26/'ПРОГНОЗ ДОХОДОВ И РАСХОДОВ НДС'!$C$63</f>
        <v>1368.5690504052741</v>
      </c>
      <c r="L26" s="186">
        <f>'доп. РАСХОДЫ по годам'!L26/'ПРОГНОЗ ДОХОДОВ И РАСХОДОВ НДС'!$C$63</f>
        <v>1423.311812421485</v>
      </c>
    </row>
    <row r="27" spans="1:12" ht="30" x14ac:dyDescent="0.25">
      <c r="A27" t="str">
        <f>'доп. РАСХОДЫ по годам'!A27</f>
        <v>6.2.</v>
      </c>
      <c r="B27" s="185" t="str">
        <f>'доп. РАСХОДЫ по годам'!B27</f>
        <v>Спецодежда, экипировка (на персонал канатной дороги, кассиров, уборщиц, сотрудников охраны)</v>
      </c>
      <c r="C27" s="186">
        <f>'доп. РАСХОДЫ по годам'!C27/'ПРОГНОЗ ДОХОДОВ И РАСХОДОВ НДС'!$C$63</f>
        <v>2307.69</v>
      </c>
      <c r="D27" s="186">
        <f>'доп. РАСХОДЫ по годам'!D27/'ПРОГНОЗ ДОХОДОВ И РАСХОДОВ НДС'!$C$63</f>
        <v>2399.9976000000001</v>
      </c>
      <c r="E27" s="186">
        <f>'доп. РАСХОДЫ по годам'!E27/'ПРОГНОЗ ДОХОДОВ И РАСХОДОВ НДС'!$C$63</f>
        <v>2495.9975040000004</v>
      </c>
      <c r="F27" s="186">
        <f>'доп. РАСХОДЫ по годам'!F27/'ПРОГНОЗ ДОХОДОВ И РАСХОДОВ НДС'!$C$63</f>
        <v>2595.8374041600005</v>
      </c>
      <c r="G27" s="186">
        <f>'доп. РАСХОДЫ по годам'!G27/'ПРОГНОЗ ДОХОДОВ И РАСХОДОВ НДС'!$C$63</f>
        <v>2699.6709003264004</v>
      </c>
      <c r="H27" s="186">
        <f>'доп. РАСХОДЫ по годам'!H27/'ПРОГНОЗ ДОХОДОВ И РАСХОДОВ НДС'!$C$63</f>
        <v>2807.6577363394567</v>
      </c>
      <c r="I27" s="186">
        <f>'доп. РАСХОДЫ по годам'!I27/'ПРОГНОЗ ДОХОДОВ И РАСХОДОВ НДС'!$C$63</f>
        <v>2919.964045793035</v>
      </c>
      <c r="J27" s="186">
        <f>'доп. РАСХОДЫ по годам'!J27/'ПРОГНОЗ ДОХОДОВ И РАСХОДОВ НДС'!$C$63</f>
        <v>3036.7626076247566</v>
      </c>
      <c r="K27" s="186">
        <f>'доп. РАСХОДЫ по годам'!K27/'ПРОГНОЗ ДОХОДОВ И РАСХОДОВ НДС'!$C$63</f>
        <v>3158.2331119297469</v>
      </c>
      <c r="L27" s="186">
        <f>'доп. РАСХОДЫ по годам'!L27/'ПРОГНОЗ ДОХОДОВ И РАСХОДОВ НДС'!$C$63</f>
        <v>3284.5624364069367</v>
      </c>
    </row>
    <row r="28" spans="1:12" x14ac:dyDescent="0.25">
      <c r="A28" t="str">
        <f>'доп. РАСХОДЫ по годам'!A28</f>
        <v>6.3.</v>
      </c>
      <c r="B28" s="185" t="str">
        <f>'доп. РАСХОДЫ по годам'!B28</f>
        <v>ФОТ</v>
      </c>
      <c r="C28" s="186">
        <f>'доп. РАСХОДЫ по годам'!C28/'ПРОГНОЗ ДОХОДОВ И РАСХОДОВ НДС'!$C$63</f>
        <v>48345.323741007196</v>
      </c>
      <c r="D28" s="186">
        <f>'доп. РАСХОДЫ по годам'!D28/'ПРОГНОЗ ДОХОДОВ И РАСХОДОВ НДС'!$C$63</f>
        <v>50279.136690647487</v>
      </c>
      <c r="E28" s="186">
        <f>'доп. РАСХОДЫ по годам'!E28/'ПРОГНОЗ ДОХОДОВ И РАСХОДОВ НДС'!$C$63</f>
        <v>52290.302158273385</v>
      </c>
      <c r="F28" s="186">
        <f>'доп. РАСХОДЫ по годам'!F28/'ПРОГНОЗ ДОХОДОВ И РАСХОДОВ НДС'!$C$63</f>
        <v>54381.914244604326</v>
      </c>
      <c r="G28" s="186">
        <f>'доп. РАСХОДЫ по годам'!G28/'ПРОГНОЗ ДОХОДОВ И РАСХОДОВ НДС'!$C$63</f>
        <v>56557.190814388501</v>
      </c>
      <c r="H28" s="186">
        <f>'доп. РАСХОДЫ по годам'!H28/'ПРОГНОЗ ДОХОДОВ И РАСХОДОВ НДС'!$C$63</f>
        <v>58819.478446964044</v>
      </c>
      <c r="I28" s="186">
        <f>'доп. РАСХОДЫ по годам'!I28/'ПРОГНОЗ ДОХОДОВ И РАСХОДОВ НДС'!$C$63</f>
        <v>61172.257584842606</v>
      </c>
      <c r="J28" s="186">
        <f>'доп. РАСХОДЫ по годам'!J28/'ПРОГНОЗ ДОХОДОВ И РАСХОДОВ НДС'!$C$63</f>
        <v>63619.147888236308</v>
      </c>
      <c r="K28" s="186">
        <f>'доп. РАСХОДЫ по годам'!K28/'ПРОГНОЗ ДОХОДОВ И РАСХОДОВ НДС'!$C$63</f>
        <v>66163.913803765769</v>
      </c>
      <c r="L28" s="186">
        <f>'доп. РАСХОДЫ по годам'!L28/'ПРОГНОЗ ДОХОДОВ И РАСХОДОВ НДС'!$C$63</f>
        <v>68810.470355916405</v>
      </c>
    </row>
    <row r="29" spans="1:12" x14ac:dyDescent="0.25">
      <c r="A29" t="str">
        <f>'доп. РАСХОДЫ по годам'!A29</f>
        <v>6.5.</v>
      </c>
      <c r="B29" s="185" t="str">
        <f>'доп. РАСХОДЫ по годам'!B29</f>
        <v>Страховые взносы с ФОТ</v>
      </c>
      <c r="C29" s="186">
        <f>'доп. РАСХОДЫ по годам'!C29/'ПРОГНОЗ ДОХОДОВ И РАСХОДОВ НДС'!$C$63</f>
        <v>14600.287769784172</v>
      </c>
      <c r="D29" s="186">
        <f>'доп. РАСХОДЫ по годам'!D29/'ПРОГНОЗ ДОХОДОВ И РАСХОДОВ НДС'!$C$63</f>
        <v>15184.29928057554</v>
      </c>
      <c r="E29" s="186">
        <f>'доп. РАСХОДЫ по годам'!E29/'ПРОГНОЗ ДОХОДОВ И РАСХОДОВ НДС'!$C$63</f>
        <v>15791.671251798562</v>
      </c>
      <c r="F29" s="186">
        <f>'доп. РАСХОДЫ по годам'!F29/'ПРОГНОЗ ДОХОДОВ И РАСХОДОВ НДС'!$C$63</f>
        <v>16423.338101870508</v>
      </c>
      <c r="G29" s="186">
        <f>'доп. РАСХОДЫ по годам'!G29/'ПРОГНОЗ ДОХОДОВ И РАСХОДОВ НДС'!$C$63</f>
        <v>17080.271625945326</v>
      </c>
      <c r="H29" s="186">
        <f>'доп. РАСХОДЫ по годам'!H29/'ПРОГНОЗ ДОХОДОВ И РАСХОДОВ НДС'!$C$63</f>
        <v>17763.48249098314</v>
      </c>
      <c r="I29" s="186">
        <f>'доп. РАСХОДЫ по годам'!I29/'ПРОГНОЗ ДОХОДОВ И РАСХОДОВ НДС'!$C$63</f>
        <v>18474.021790622468</v>
      </c>
      <c r="J29" s="186">
        <f>'доп. РАСХОДЫ по годам'!J29/'ПРОГНОЗ ДОХОДОВ И РАСХОДОВ НДС'!$C$63</f>
        <v>19212.982662247367</v>
      </c>
      <c r="K29" s="186">
        <f>'доп. РАСХОДЫ по годам'!K29/'ПРОГНОЗ ДОХОДОВ И РАСХОДОВ НДС'!$C$63</f>
        <v>19981.501968737262</v>
      </c>
      <c r="L29" s="186">
        <f>'доп. РАСХОДЫ по годам'!L29/'ПРОГНОЗ ДОХОДОВ И РАСХОДОВ НДС'!$C$63</f>
        <v>20780.762047486754</v>
      </c>
    </row>
    <row r="30" spans="1:12" x14ac:dyDescent="0.25">
      <c r="A30">
        <f>'доп. РАСХОДЫ по годам'!A30</f>
        <v>0</v>
      </c>
      <c r="B30" s="185" t="str">
        <f>'доп. РАСХОДЫ по годам'!B30</f>
        <v>ИТОГО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6" sqref="D6:D9"/>
    </sheetView>
  </sheetViews>
  <sheetFormatPr defaultRowHeight="15" x14ac:dyDescent="0.25"/>
  <cols>
    <col min="2" max="2" width="63.42578125" customWidth="1"/>
    <col min="3" max="3" width="15.42578125" customWidth="1"/>
    <col min="4" max="4" width="32.42578125" customWidth="1"/>
    <col min="5" max="5" width="11" customWidth="1"/>
    <col min="6" max="6" width="12.42578125" bestFit="1" customWidth="1"/>
    <col min="7" max="7" width="9.140625" customWidth="1"/>
  </cols>
  <sheetData>
    <row r="1" spans="1:4" ht="15.75" thickBot="1" x14ac:dyDescent="0.3"/>
    <row r="2" spans="1:4" ht="32.25" thickBot="1" x14ac:dyDescent="0.3">
      <c r="A2" s="187" t="s">
        <v>37</v>
      </c>
      <c r="B2" s="187" t="s">
        <v>38</v>
      </c>
      <c r="C2" s="187" t="s">
        <v>55</v>
      </c>
      <c r="D2" s="188" t="s">
        <v>286</v>
      </c>
    </row>
    <row r="3" spans="1:4" ht="16.5" thickBot="1" x14ac:dyDescent="0.3">
      <c r="A3" s="189">
        <v>1</v>
      </c>
      <c r="B3" s="190" t="s">
        <v>287</v>
      </c>
      <c r="C3" s="189" t="s">
        <v>288</v>
      </c>
      <c r="D3" s="191">
        <v>11.5</v>
      </c>
    </row>
    <row r="4" spans="1:4" ht="16.5" thickBot="1" x14ac:dyDescent="0.3">
      <c r="A4" s="192">
        <v>42736</v>
      </c>
      <c r="B4" s="190" t="s">
        <v>289</v>
      </c>
      <c r="C4" s="189" t="s">
        <v>290</v>
      </c>
      <c r="D4" s="193">
        <v>43282</v>
      </c>
    </row>
    <row r="5" spans="1:4" ht="16.5" thickBot="1" x14ac:dyDescent="0.3">
      <c r="A5" s="192">
        <v>42767</v>
      </c>
      <c r="B5" s="190" t="s">
        <v>291</v>
      </c>
      <c r="C5" s="189" t="s">
        <v>290</v>
      </c>
      <c r="D5" s="193">
        <v>47483</v>
      </c>
    </row>
    <row r="6" spans="1:4" ht="16.5" thickBot="1" x14ac:dyDescent="0.3">
      <c r="A6" s="189">
        <v>2</v>
      </c>
      <c r="B6" s="190" t="s">
        <v>292</v>
      </c>
      <c r="C6" s="189" t="s">
        <v>293</v>
      </c>
      <c r="D6" s="219">
        <f>ИТОГ!$O$3/1000000</f>
        <v>650.55531598000005</v>
      </c>
    </row>
    <row r="7" spans="1:4" ht="48" thickBot="1" x14ac:dyDescent="0.3">
      <c r="A7" s="189">
        <v>3</v>
      </c>
      <c r="B7" s="190" t="s">
        <v>294</v>
      </c>
      <c r="C7" s="189" t="s">
        <v>293</v>
      </c>
      <c r="D7" s="219">
        <f>(ИТОГ!$O$2-ИТОГ!$O$3)/1000000</f>
        <v>908.91940549982712</v>
      </c>
    </row>
    <row r="8" spans="1:4" ht="16.5" thickBot="1" x14ac:dyDescent="0.3">
      <c r="A8" s="189">
        <v>4</v>
      </c>
      <c r="B8" s="190" t="s">
        <v>295</v>
      </c>
      <c r="C8" s="189" t="s">
        <v>296</v>
      </c>
      <c r="D8" s="219">
        <f>ИТОГ!$O$11/1000000</f>
        <v>1850.246627178155</v>
      </c>
    </row>
    <row r="9" spans="1:4" ht="16.5" thickBot="1" x14ac:dyDescent="0.3">
      <c r="A9" s="194">
        <v>5</v>
      </c>
      <c r="B9" s="195" t="s">
        <v>297</v>
      </c>
      <c r="C9" s="194" t="s">
        <v>293</v>
      </c>
      <c r="D9" s="220">
        <f>ИТОГ!$O$21/1000000</f>
        <v>279.08846084091567</v>
      </c>
    </row>
    <row r="10" spans="1:4" ht="16.5" thickBot="1" x14ac:dyDescent="0.3">
      <c r="A10" s="196">
        <v>6</v>
      </c>
      <c r="B10" s="197" t="s">
        <v>298</v>
      </c>
      <c r="C10" s="196" t="s">
        <v>296</v>
      </c>
      <c r="D10" s="198">
        <v>0</v>
      </c>
    </row>
    <row r="11" spans="1:4" ht="16.5" thickBot="1" x14ac:dyDescent="0.3">
      <c r="A11" s="196">
        <v>7</v>
      </c>
      <c r="B11" s="197" t="s">
        <v>299</v>
      </c>
      <c r="C11" s="196" t="s">
        <v>288</v>
      </c>
      <c r="D11" s="199">
        <v>11.5</v>
      </c>
    </row>
    <row r="13" spans="1:4" ht="15.75" thickBot="1" x14ac:dyDescent="0.3"/>
    <row r="14" spans="1:4" ht="16.5" thickBot="1" x14ac:dyDescent="0.3">
      <c r="A14" s="200" t="s">
        <v>300</v>
      </c>
      <c r="B14" s="264" t="s">
        <v>302</v>
      </c>
      <c r="C14" s="265"/>
      <c r="D14" s="266"/>
    </row>
    <row r="15" spans="1:4" ht="31.5" x14ac:dyDescent="0.25">
      <c r="A15" s="201" t="s">
        <v>301</v>
      </c>
      <c r="B15" s="267" t="s">
        <v>303</v>
      </c>
      <c r="C15" s="203" t="s">
        <v>304</v>
      </c>
      <c r="D15" s="203" t="s">
        <v>306</v>
      </c>
    </row>
    <row r="16" spans="1:4" ht="79.5" thickBot="1" x14ac:dyDescent="0.3">
      <c r="A16" s="202"/>
      <c r="B16" s="268"/>
      <c r="C16" s="204" t="s">
        <v>305</v>
      </c>
      <c r="D16" s="204" t="s">
        <v>307</v>
      </c>
    </row>
    <row r="17" spans="1:6" ht="16.5" thickBot="1" x14ac:dyDescent="0.3">
      <c r="A17" s="174">
        <v>2018</v>
      </c>
      <c r="B17" s="221">
        <f>C17+D17</f>
        <v>37.893440348953703</v>
      </c>
      <c r="C17" s="221">
        <f>ИТОГ!$C$3/1.18/1000000</f>
        <v>36.754537625988704</v>
      </c>
      <c r="D17" s="221">
        <f>(ИТОГ!$C$2-ИТОГ!$C$3)/1000000</f>
        <v>1.1389027229650022</v>
      </c>
    </row>
    <row r="18" spans="1:6" ht="16.5" thickBot="1" x14ac:dyDescent="0.3">
      <c r="A18" s="174">
        <v>2019</v>
      </c>
      <c r="B18" s="221">
        <f t="shared" ref="B18:B29" si="0">C18+D18</f>
        <v>539.61076826907197</v>
      </c>
      <c r="C18" s="221">
        <f>ИТОГ!$D$3/1.18/1000000</f>
        <v>514.56352676384188</v>
      </c>
      <c r="D18" s="221">
        <f>(ИТОГ!$D$2-ИТОГ!$D$3)/1000000</f>
        <v>25.047241505230069</v>
      </c>
    </row>
    <row r="19" spans="1:6" ht="16.5" thickBot="1" x14ac:dyDescent="0.3">
      <c r="A19" s="174">
        <v>2020</v>
      </c>
      <c r="B19" s="221">
        <f t="shared" si="0"/>
        <v>107.93259646746384</v>
      </c>
      <c r="C19" s="221"/>
      <c r="D19" s="221">
        <f>ИТОГ!$E$2/1000000</f>
        <v>107.93259646746384</v>
      </c>
    </row>
    <row r="20" spans="1:6" ht="16.5" thickBot="1" x14ac:dyDescent="0.3">
      <c r="A20" s="174">
        <v>2021</v>
      </c>
      <c r="B20" s="221">
        <f t="shared" si="0"/>
        <v>104.65764134325579</v>
      </c>
      <c r="C20" s="221"/>
      <c r="D20" s="221">
        <f>ИТОГ!$F$2/1000000</f>
        <v>104.65764134325579</v>
      </c>
    </row>
    <row r="21" spans="1:6" ht="16.5" thickBot="1" x14ac:dyDescent="0.3">
      <c r="A21" s="174">
        <v>2022</v>
      </c>
      <c r="B21" s="221">
        <f t="shared" si="0"/>
        <v>98.166829577198953</v>
      </c>
      <c r="C21" s="221"/>
      <c r="D21" s="221">
        <f>ИТОГ!$G$2/1000000</f>
        <v>98.166829577198953</v>
      </c>
    </row>
    <row r="22" spans="1:6" ht="16.5" thickBot="1" x14ac:dyDescent="0.3">
      <c r="A22" s="174">
        <v>2023</v>
      </c>
      <c r="B22" s="221">
        <f t="shared" si="0"/>
        <v>93.24170894243133</v>
      </c>
      <c r="C22" s="221"/>
      <c r="D22" s="221">
        <f>ИТОГ!$H$2/1000000</f>
        <v>93.24170894243133</v>
      </c>
    </row>
    <row r="23" spans="1:6" ht="16.5" thickBot="1" x14ac:dyDescent="0.3">
      <c r="A23" s="174">
        <v>2024</v>
      </c>
      <c r="B23" s="221">
        <f t="shared" si="0"/>
        <v>89.168678161300576</v>
      </c>
      <c r="C23" s="221"/>
      <c r="D23" s="221">
        <f>ИТОГ!$I$2/1000000</f>
        <v>89.168678161300576</v>
      </c>
    </row>
    <row r="24" spans="1:6" ht="16.5" thickBot="1" x14ac:dyDescent="0.3">
      <c r="A24" s="174">
        <v>2025</v>
      </c>
      <c r="B24" s="221">
        <f t="shared" si="0"/>
        <v>83.653702457118783</v>
      </c>
      <c r="C24" s="221"/>
      <c r="D24" s="221">
        <f>ИТОГ!$J$2/1000000</f>
        <v>83.653702457118783</v>
      </c>
    </row>
    <row r="25" spans="1:6" ht="16.5" thickBot="1" x14ac:dyDescent="0.3">
      <c r="A25" s="174">
        <v>2026</v>
      </c>
      <c r="B25" s="221">
        <f t="shared" si="0"/>
        <v>80.136685065198535</v>
      </c>
      <c r="C25" s="221"/>
      <c r="D25" s="221">
        <f>ИТОГ!$K$2/1000000</f>
        <v>80.136685065198535</v>
      </c>
    </row>
    <row r="26" spans="1:6" ht="16.5" thickBot="1" x14ac:dyDescent="0.3">
      <c r="A26" s="174">
        <v>2027</v>
      </c>
      <c r="B26" s="221">
        <f t="shared" si="0"/>
        <v>75.91926013011485</v>
      </c>
      <c r="C26" s="221"/>
      <c r="D26" s="221">
        <f>ИТОГ!$L$2/1000000</f>
        <v>75.91926013011485</v>
      </c>
    </row>
    <row r="27" spans="1:6" ht="16.5" thickBot="1" x14ac:dyDescent="0.3">
      <c r="A27" s="174">
        <v>2028</v>
      </c>
      <c r="B27" s="221">
        <f t="shared" si="0"/>
        <v>73.658554531361247</v>
      </c>
      <c r="C27" s="221"/>
      <c r="D27" s="221">
        <f>ИТОГ!$M$2/1000000</f>
        <v>73.658554531361247</v>
      </c>
    </row>
    <row r="28" spans="1:6" ht="16.5" thickBot="1" x14ac:dyDescent="0.3">
      <c r="A28" s="174">
        <v>2029</v>
      </c>
      <c r="B28" s="221">
        <f t="shared" si="0"/>
        <v>76.197604596187844</v>
      </c>
      <c r="C28" s="221"/>
      <c r="D28" s="221">
        <f>ИТОГ!$N$2/1000000</f>
        <v>76.197604596187844</v>
      </c>
    </row>
    <row r="29" spans="1:6" ht="16.5" thickBot="1" x14ac:dyDescent="0.3">
      <c r="A29" s="205" t="s">
        <v>308</v>
      </c>
      <c r="B29" s="221">
        <f t="shared" si="0"/>
        <v>1460.2374698896574</v>
      </c>
      <c r="C29" s="221">
        <f>SUM(C17:C28)</f>
        <v>551.31806438983062</v>
      </c>
      <c r="D29" s="221">
        <f>SUM(D17:D28)</f>
        <v>908.91940549982678</v>
      </c>
    </row>
    <row r="31" spans="1:6" ht="15.75" thickBot="1" x14ac:dyDescent="0.3"/>
    <row r="32" spans="1:6" ht="16.5" thickBot="1" x14ac:dyDescent="0.3">
      <c r="A32" s="267" t="s">
        <v>309</v>
      </c>
      <c r="B32" s="267" t="s">
        <v>310</v>
      </c>
      <c r="C32" s="264" t="s">
        <v>302</v>
      </c>
      <c r="D32" s="265"/>
      <c r="E32" s="265"/>
      <c r="F32" s="266"/>
    </row>
    <row r="33" spans="1:6" ht="32.25" thickBot="1" x14ac:dyDescent="0.3">
      <c r="A33" s="268"/>
      <c r="B33" s="268"/>
      <c r="C33" s="204" t="s">
        <v>303</v>
      </c>
      <c r="D33" s="206" t="s">
        <v>311</v>
      </c>
      <c r="E33" s="206" t="s">
        <v>312</v>
      </c>
      <c r="F33" s="206" t="s">
        <v>313</v>
      </c>
    </row>
    <row r="34" spans="1:6" ht="16.5" thickBot="1" x14ac:dyDescent="0.3">
      <c r="A34" s="174">
        <v>2018</v>
      </c>
      <c r="B34" s="261" t="s">
        <v>314</v>
      </c>
      <c r="C34" s="175">
        <f>D34+E34+F34</f>
        <v>0</v>
      </c>
      <c r="D34" s="175"/>
      <c r="E34" s="175"/>
      <c r="F34" s="175"/>
    </row>
    <row r="35" spans="1:6" ht="16.5" thickBot="1" x14ac:dyDescent="0.3">
      <c r="A35" s="174">
        <v>2019</v>
      </c>
      <c r="B35" s="262"/>
      <c r="C35" s="175">
        <f t="shared" ref="C35:C45" si="1">D35+E35+F35</f>
        <v>0</v>
      </c>
      <c r="D35" s="175"/>
      <c r="E35" s="175"/>
      <c r="F35" s="175"/>
    </row>
    <row r="36" spans="1:6" ht="16.5" thickBot="1" x14ac:dyDescent="0.3">
      <c r="A36" s="174">
        <v>2020</v>
      </c>
      <c r="B36" s="262"/>
      <c r="C36" s="222">
        <f t="shared" si="1"/>
        <v>185.02466271781552</v>
      </c>
      <c r="D36" s="222"/>
      <c r="E36" s="222"/>
      <c r="F36" s="222">
        <f>ИТОГ!$E$11/1000000</f>
        <v>185.02466271781552</v>
      </c>
    </row>
    <row r="37" spans="1:6" ht="16.5" thickBot="1" x14ac:dyDescent="0.3">
      <c r="A37" s="174">
        <v>2021</v>
      </c>
      <c r="B37" s="262"/>
      <c r="C37" s="222">
        <f t="shared" si="1"/>
        <v>185.02466271781552</v>
      </c>
      <c r="D37" s="222"/>
      <c r="E37" s="222"/>
      <c r="F37" s="222">
        <f>F36</f>
        <v>185.02466271781552</v>
      </c>
    </row>
    <row r="38" spans="1:6" ht="16.5" thickBot="1" x14ac:dyDescent="0.3">
      <c r="A38" s="174">
        <v>2022</v>
      </c>
      <c r="B38" s="262"/>
      <c r="C38" s="222">
        <f t="shared" si="1"/>
        <v>185.02466271781552</v>
      </c>
      <c r="D38" s="222"/>
      <c r="E38" s="222"/>
      <c r="F38" s="222">
        <f t="shared" ref="F38:F45" si="2">F37</f>
        <v>185.02466271781552</v>
      </c>
    </row>
    <row r="39" spans="1:6" ht="16.5" thickBot="1" x14ac:dyDescent="0.3">
      <c r="A39" s="174">
        <v>2023</v>
      </c>
      <c r="B39" s="262"/>
      <c r="C39" s="222">
        <f t="shared" si="1"/>
        <v>185.02466271781552</v>
      </c>
      <c r="D39" s="222"/>
      <c r="E39" s="222"/>
      <c r="F39" s="222">
        <f t="shared" si="2"/>
        <v>185.02466271781552</v>
      </c>
    </row>
    <row r="40" spans="1:6" ht="16.5" thickBot="1" x14ac:dyDescent="0.3">
      <c r="A40" s="174">
        <v>2024</v>
      </c>
      <c r="B40" s="262"/>
      <c r="C40" s="222">
        <f t="shared" si="1"/>
        <v>185.02466271781552</v>
      </c>
      <c r="D40" s="222"/>
      <c r="E40" s="222"/>
      <c r="F40" s="222">
        <f t="shared" si="2"/>
        <v>185.02466271781552</v>
      </c>
    </row>
    <row r="41" spans="1:6" ht="16.5" thickBot="1" x14ac:dyDescent="0.3">
      <c r="A41" s="174">
        <v>2025</v>
      </c>
      <c r="B41" s="262"/>
      <c r="C41" s="222">
        <f t="shared" si="1"/>
        <v>185.02466271781552</v>
      </c>
      <c r="D41" s="222"/>
      <c r="E41" s="222"/>
      <c r="F41" s="222">
        <f t="shared" si="2"/>
        <v>185.02466271781552</v>
      </c>
    </row>
    <row r="42" spans="1:6" ht="16.5" thickBot="1" x14ac:dyDescent="0.3">
      <c r="A42" s="174">
        <v>2026</v>
      </c>
      <c r="B42" s="262"/>
      <c r="C42" s="222">
        <f t="shared" si="1"/>
        <v>185.02466271781552</v>
      </c>
      <c r="D42" s="222"/>
      <c r="E42" s="222"/>
      <c r="F42" s="222">
        <f t="shared" si="2"/>
        <v>185.02466271781552</v>
      </c>
    </row>
    <row r="43" spans="1:6" ht="16.5" thickBot="1" x14ac:dyDescent="0.3">
      <c r="A43" s="174">
        <v>2027</v>
      </c>
      <c r="B43" s="262"/>
      <c r="C43" s="222">
        <f t="shared" si="1"/>
        <v>185.02466271781552</v>
      </c>
      <c r="D43" s="222"/>
      <c r="E43" s="222"/>
      <c r="F43" s="222">
        <f t="shared" si="2"/>
        <v>185.02466271781552</v>
      </c>
    </row>
    <row r="44" spans="1:6" ht="16.5" thickBot="1" x14ac:dyDescent="0.3">
      <c r="A44" s="174">
        <v>2028</v>
      </c>
      <c r="B44" s="262"/>
      <c r="C44" s="222">
        <f t="shared" si="1"/>
        <v>185.02466271781552</v>
      </c>
      <c r="D44" s="222"/>
      <c r="E44" s="222"/>
      <c r="F44" s="222">
        <f t="shared" si="2"/>
        <v>185.02466271781552</v>
      </c>
    </row>
    <row r="45" spans="1:6" ht="16.5" thickBot="1" x14ac:dyDescent="0.3">
      <c r="A45" s="174">
        <v>2029</v>
      </c>
      <c r="B45" s="262"/>
      <c r="C45" s="222">
        <f t="shared" si="1"/>
        <v>185.02466271781552</v>
      </c>
      <c r="D45" s="222"/>
      <c r="E45" s="222"/>
      <c r="F45" s="222">
        <f t="shared" si="2"/>
        <v>185.02466271781552</v>
      </c>
    </row>
    <row r="46" spans="1:6" ht="16.5" thickBot="1" x14ac:dyDescent="0.3">
      <c r="A46" s="207" t="s">
        <v>308</v>
      </c>
      <c r="B46" s="263"/>
      <c r="C46" s="222">
        <f>SUM(C34:C45)</f>
        <v>1850.2466271781552</v>
      </c>
      <c r="D46" s="222">
        <f t="shared" ref="D46:F46" si="3">SUM(D34:D45)</f>
        <v>0</v>
      </c>
      <c r="E46" s="222">
        <f t="shared" si="3"/>
        <v>0</v>
      </c>
      <c r="F46" s="222">
        <f t="shared" si="3"/>
        <v>1850.2466271781552</v>
      </c>
    </row>
  </sheetData>
  <mergeCells count="6">
    <mergeCell ref="B34:B46"/>
    <mergeCell ref="B14:D14"/>
    <mergeCell ref="B15:B16"/>
    <mergeCell ref="A32:A33"/>
    <mergeCell ref="B32:B33"/>
    <mergeCell ref="C32:F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6" workbookViewId="0">
      <selection activeCell="G4" sqref="G4"/>
    </sheetView>
  </sheetViews>
  <sheetFormatPr defaultRowHeight="15" x14ac:dyDescent="0.25"/>
  <cols>
    <col min="2" max="2" width="47.28515625" customWidth="1"/>
    <col min="3" max="3" width="13.85546875" bestFit="1" customWidth="1"/>
    <col min="4" max="4" width="15" bestFit="1" customWidth="1"/>
    <col min="5" max="14" width="13.7109375" bestFit="1" customWidth="1"/>
    <col min="15" max="15" width="14.85546875" bestFit="1" customWidth="1"/>
  </cols>
  <sheetData>
    <row r="1" spans="1:15" ht="15.75" x14ac:dyDescent="0.25">
      <c r="A1" s="269" t="s">
        <v>37</v>
      </c>
      <c r="B1" s="269" t="s">
        <v>38</v>
      </c>
      <c r="C1" s="187">
        <v>2018</v>
      </c>
      <c r="D1" s="187">
        <v>2019</v>
      </c>
      <c r="E1" s="269" t="s">
        <v>316</v>
      </c>
      <c r="F1" s="269" t="s">
        <v>317</v>
      </c>
      <c r="G1" s="269" t="s">
        <v>318</v>
      </c>
      <c r="H1" s="269" t="s">
        <v>319</v>
      </c>
      <c r="I1" s="187">
        <v>2024</v>
      </c>
      <c r="J1" s="269" t="s">
        <v>320</v>
      </c>
      <c r="K1" s="269" t="s">
        <v>321</v>
      </c>
      <c r="L1" s="187">
        <v>2027</v>
      </c>
      <c r="M1" s="187">
        <v>2028</v>
      </c>
      <c r="N1" s="187">
        <v>2029</v>
      </c>
      <c r="O1" s="269" t="s">
        <v>39</v>
      </c>
    </row>
    <row r="2" spans="1:15" ht="16.5" thickBot="1" x14ac:dyDescent="0.3">
      <c r="A2" s="270"/>
      <c r="B2" s="270"/>
      <c r="C2" s="208" t="s">
        <v>315</v>
      </c>
      <c r="D2" s="208" t="s">
        <v>315</v>
      </c>
      <c r="E2" s="270"/>
      <c r="F2" s="270"/>
      <c r="G2" s="270"/>
      <c r="H2" s="270"/>
      <c r="I2" s="208" t="s">
        <v>315</v>
      </c>
      <c r="J2" s="270"/>
      <c r="K2" s="270"/>
      <c r="L2" s="208" t="s">
        <v>315</v>
      </c>
      <c r="M2" s="208" t="s">
        <v>315</v>
      </c>
      <c r="N2" s="208" t="s">
        <v>315</v>
      </c>
      <c r="O2" s="270"/>
    </row>
    <row r="3" spans="1:15" ht="32.25" thickBot="1" x14ac:dyDescent="0.3">
      <c r="A3" s="189">
        <v>1</v>
      </c>
      <c r="B3" s="209" t="s">
        <v>322</v>
      </c>
      <c r="C3" s="183">
        <f>ИТОГ!$C$3</f>
        <v>43370354.398666672</v>
      </c>
      <c r="D3" s="183">
        <f>ИТОГ!$D$3</f>
        <v>607184961.5813334</v>
      </c>
      <c r="E3" s="233"/>
      <c r="F3" s="234"/>
      <c r="G3" s="183"/>
      <c r="H3" s="183"/>
      <c r="I3" s="183"/>
      <c r="J3" s="183"/>
      <c r="K3" s="183"/>
      <c r="L3" s="183"/>
      <c r="M3" s="183"/>
      <c r="N3" s="183"/>
      <c r="O3" s="226">
        <f>SUM(C3:N3)</f>
        <v>650555315.98000002</v>
      </c>
    </row>
    <row r="4" spans="1:15" ht="48" thickBot="1" x14ac:dyDescent="0.3">
      <c r="A4" s="189">
        <v>2</v>
      </c>
      <c r="B4" s="209" t="s">
        <v>323</v>
      </c>
      <c r="C4" s="183">
        <f>ИТОГ!$C$12</f>
        <v>0</v>
      </c>
      <c r="D4" s="183">
        <f>ИТОГ!$D$12</f>
        <v>0</v>
      </c>
      <c r="E4" s="183">
        <f>ИТОГ!$E$12</f>
        <v>63754420.96604</v>
      </c>
      <c r="F4" s="183">
        <f>ИТОГ!$E$12</f>
        <v>63754420.96604</v>
      </c>
      <c r="G4" s="183">
        <f>ИТОГ!$E$12</f>
        <v>63754420.96604</v>
      </c>
      <c r="H4" s="183">
        <f>ИТОГ!$E$12</f>
        <v>63754420.96604</v>
      </c>
      <c r="I4" s="183">
        <f>ИТОГ!$E$12</f>
        <v>63754420.96604</v>
      </c>
      <c r="J4" s="183">
        <f>ИТОГ!$E$12</f>
        <v>63754420.96604</v>
      </c>
      <c r="K4" s="183">
        <f>ИТОГ!$E$12</f>
        <v>63754420.96604</v>
      </c>
      <c r="L4" s="183">
        <f>ИТОГ!$E$12</f>
        <v>63754420.96604</v>
      </c>
      <c r="M4" s="183">
        <f>ИТОГ!$E$12</f>
        <v>63754420.96604</v>
      </c>
      <c r="N4" s="183">
        <f>ИТОГ!$E$12</f>
        <v>63754420.96604</v>
      </c>
      <c r="O4" s="226">
        <f>SUM(C4:N4)</f>
        <v>637544209.66040003</v>
      </c>
    </row>
    <row r="5" spans="1:15" ht="16.5" thickBot="1" x14ac:dyDescent="0.3">
      <c r="A5" s="194"/>
      <c r="B5" s="210" t="s">
        <v>324</v>
      </c>
      <c r="C5" s="228">
        <f>C4-C3</f>
        <v>-43370354.398666672</v>
      </c>
      <c r="D5" s="228">
        <f t="shared" ref="D5:N5" si="0">D4-D3</f>
        <v>-607184961.5813334</v>
      </c>
      <c r="E5" s="228">
        <f t="shared" si="0"/>
        <v>63754420.96604</v>
      </c>
      <c r="F5" s="228">
        <f t="shared" si="0"/>
        <v>63754420.96604</v>
      </c>
      <c r="G5" s="228">
        <f t="shared" si="0"/>
        <v>63754420.96604</v>
      </c>
      <c r="H5" s="228">
        <f t="shared" si="0"/>
        <v>63754420.96604</v>
      </c>
      <c r="I5" s="228">
        <f t="shared" si="0"/>
        <v>63754420.96604</v>
      </c>
      <c r="J5" s="228">
        <f t="shared" si="0"/>
        <v>63754420.96604</v>
      </c>
      <c r="K5" s="228">
        <f t="shared" si="0"/>
        <v>63754420.96604</v>
      </c>
      <c r="L5" s="228">
        <f t="shared" si="0"/>
        <v>63754420.96604</v>
      </c>
      <c r="M5" s="228">
        <f t="shared" si="0"/>
        <v>63754420.96604</v>
      </c>
      <c r="N5" s="228">
        <f t="shared" si="0"/>
        <v>63754420.96604</v>
      </c>
      <c r="O5" s="226">
        <f t="shared" ref="O5" si="1">SUM(C5:N5)</f>
        <v>-13011106.319599897</v>
      </c>
    </row>
    <row r="7" spans="1:15" ht="15.75" thickBot="1" x14ac:dyDescent="0.3"/>
    <row r="8" spans="1:15" ht="15.75" x14ac:dyDescent="0.25">
      <c r="A8" s="269" t="s">
        <v>37</v>
      </c>
      <c r="B8" s="269" t="s">
        <v>38</v>
      </c>
      <c r="C8" s="187">
        <v>2018</v>
      </c>
      <c r="D8" s="269" t="s">
        <v>325</v>
      </c>
      <c r="E8" s="269" t="s">
        <v>316</v>
      </c>
      <c r="F8" s="269" t="s">
        <v>317</v>
      </c>
      <c r="G8" s="269" t="s">
        <v>318</v>
      </c>
      <c r="H8" s="269" t="s">
        <v>319</v>
      </c>
      <c r="I8" s="187">
        <v>2024</v>
      </c>
      <c r="J8" s="187">
        <v>2025</v>
      </c>
      <c r="K8" s="187">
        <v>2026</v>
      </c>
      <c r="L8" s="187">
        <v>2027</v>
      </c>
      <c r="M8" s="187">
        <v>2028</v>
      </c>
      <c r="N8" s="187">
        <v>2029</v>
      </c>
      <c r="O8" s="269" t="s">
        <v>39</v>
      </c>
    </row>
    <row r="9" spans="1:15" ht="16.5" thickBot="1" x14ac:dyDescent="0.3">
      <c r="A9" s="270"/>
      <c r="B9" s="270"/>
      <c r="C9" s="208" t="s">
        <v>315</v>
      </c>
      <c r="D9" s="270"/>
      <c r="E9" s="270"/>
      <c r="F9" s="270"/>
      <c r="G9" s="270"/>
      <c r="H9" s="270"/>
      <c r="I9" s="208" t="s">
        <v>315</v>
      </c>
      <c r="J9" s="208" t="s">
        <v>315</v>
      </c>
      <c r="K9" s="208" t="s">
        <v>315</v>
      </c>
      <c r="L9" s="208" t="s">
        <v>326</v>
      </c>
      <c r="M9" s="208" t="s">
        <v>315</v>
      </c>
      <c r="N9" s="208" t="s">
        <v>315</v>
      </c>
      <c r="O9" s="270"/>
    </row>
    <row r="10" spans="1:15" ht="32.25" thickBot="1" x14ac:dyDescent="0.3">
      <c r="A10" s="189">
        <v>1</v>
      </c>
      <c r="B10" s="209" t="s">
        <v>327</v>
      </c>
      <c r="C10" s="183">
        <f>ИТОГ!$C$4</f>
        <v>1138471.802965</v>
      </c>
      <c r="D10" s="183">
        <f>ИТОГ!$D$4</f>
        <v>25046379.665229999</v>
      </c>
      <c r="E10" s="183">
        <f>ИТОГ!$E$4</f>
        <v>43404237.488040626</v>
      </c>
      <c r="F10" s="183">
        <f>ИТОГ!$F$4</f>
        <v>37711878.473215625</v>
      </c>
      <c r="G10" s="183">
        <f>ИТОГ!$G$4</f>
        <v>32019519.458390627</v>
      </c>
      <c r="H10" s="183">
        <f>ИТОГ!$H$4</f>
        <v>26327160.443565626</v>
      </c>
      <c r="I10" s="183">
        <f>ИТОГ!$I$4</f>
        <v>20634801.428740624</v>
      </c>
      <c r="J10" s="183">
        <f>ИТОГ!$J$4</f>
        <v>14942442.413915627</v>
      </c>
      <c r="K10" s="183">
        <f>ИТОГ!$K$4</f>
        <v>9250083.3990906253</v>
      </c>
      <c r="L10" s="183">
        <f>ИТОГ!$L$4</f>
        <v>3557724.3842656254</v>
      </c>
      <c r="M10" s="183"/>
      <c r="N10" s="183"/>
      <c r="O10" s="226">
        <f>SUM(C10:N10)</f>
        <v>214032698.95742002</v>
      </c>
    </row>
    <row r="11" spans="1:15" ht="16.5" thickBot="1" x14ac:dyDescent="0.3">
      <c r="A11" s="189">
        <v>2</v>
      </c>
      <c r="B11" s="209" t="s">
        <v>328</v>
      </c>
      <c r="C11" s="183"/>
      <c r="D11" s="183"/>
      <c r="E11" s="183">
        <f>ИТОГ!$E$18</f>
        <v>20975204.497827157</v>
      </c>
      <c r="F11" s="183">
        <f>E11</f>
        <v>20975204.497827157</v>
      </c>
      <c r="G11" s="183">
        <f t="shared" ref="G11:N11" si="2">F11</f>
        <v>20975204.497827157</v>
      </c>
      <c r="H11" s="183">
        <f t="shared" si="2"/>
        <v>20975204.497827157</v>
      </c>
      <c r="I11" s="183">
        <f t="shared" si="2"/>
        <v>20975204.497827157</v>
      </c>
      <c r="J11" s="183">
        <f t="shared" si="2"/>
        <v>20975204.497827157</v>
      </c>
      <c r="K11" s="183">
        <f t="shared" si="2"/>
        <v>20975204.497827157</v>
      </c>
      <c r="L11" s="183">
        <f t="shared" si="2"/>
        <v>20975204.497827157</v>
      </c>
      <c r="M11" s="183">
        <f t="shared" si="2"/>
        <v>20975204.497827157</v>
      </c>
      <c r="N11" s="183">
        <f t="shared" si="2"/>
        <v>20975204.497827157</v>
      </c>
      <c r="O11" s="226">
        <f t="shared" ref="O11:O13" si="3">SUM(C11:N11)</f>
        <v>209752044.9782716</v>
      </c>
    </row>
    <row r="12" spans="1:15" ht="32.25" thickBot="1" x14ac:dyDescent="0.3">
      <c r="A12" s="189">
        <v>3</v>
      </c>
      <c r="B12" s="209" t="s">
        <v>329</v>
      </c>
      <c r="C12" s="183"/>
      <c r="D12" s="183"/>
      <c r="E12" s="183">
        <f>ИТОГ!$E$13</f>
        <v>41921390.66862911</v>
      </c>
      <c r="F12" s="183">
        <f>E12</f>
        <v>41921390.66862911</v>
      </c>
      <c r="G12" s="183">
        <f t="shared" ref="G12:N12" si="4">F12</f>
        <v>41921390.66862911</v>
      </c>
      <c r="H12" s="183">
        <f t="shared" si="4"/>
        <v>41921390.66862911</v>
      </c>
      <c r="I12" s="183">
        <f t="shared" si="4"/>
        <v>41921390.66862911</v>
      </c>
      <c r="J12" s="183">
        <f t="shared" si="4"/>
        <v>41921390.66862911</v>
      </c>
      <c r="K12" s="183">
        <f t="shared" si="4"/>
        <v>41921390.66862911</v>
      </c>
      <c r="L12" s="183">
        <f t="shared" si="4"/>
        <v>41921390.66862911</v>
      </c>
      <c r="M12" s="183">
        <f t="shared" si="4"/>
        <v>41921390.66862911</v>
      </c>
      <c r="N12" s="183">
        <f t="shared" si="4"/>
        <v>41921390.66862911</v>
      </c>
      <c r="O12" s="226">
        <f t="shared" si="3"/>
        <v>419213906.6862911</v>
      </c>
    </row>
    <row r="13" spans="1:15" ht="16.5" thickBot="1" x14ac:dyDescent="0.3">
      <c r="A13" s="194"/>
      <c r="B13" s="210" t="s">
        <v>330</v>
      </c>
      <c r="C13" s="228">
        <f>C12+C11-C10</f>
        <v>-1138471.802965</v>
      </c>
      <c r="D13" s="228">
        <f t="shared" ref="D13:N13" si="5">D12+D11-D10</f>
        <v>-25046379.665229999</v>
      </c>
      <c r="E13" s="228">
        <f t="shared" si="5"/>
        <v>19492357.678415641</v>
      </c>
      <c r="F13" s="228">
        <f t="shared" si="5"/>
        <v>25184716.693240643</v>
      </c>
      <c r="G13" s="228">
        <f t="shared" si="5"/>
        <v>30877075.70806564</v>
      </c>
      <c r="H13" s="228">
        <f t="shared" si="5"/>
        <v>36569434.722890645</v>
      </c>
      <c r="I13" s="228">
        <f t="shared" si="5"/>
        <v>42261793.737715647</v>
      </c>
      <c r="J13" s="228">
        <f t="shared" si="5"/>
        <v>47954152.752540641</v>
      </c>
      <c r="K13" s="228">
        <f t="shared" si="5"/>
        <v>53646511.767365642</v>
      </c>
      <c r="L13" s="228">
        <f t="shared" si="5"/>
        <v>59338870.782190643</v>
      </c>
      <c r="M13" s="228">
        <f t="shared" si="5"/>
        <v>62896595.166456267</v>
      </c>
      <c r="N13" s="228">
        <f t="shared" si="5"/>
        <v>62896595.166456267</v>
      </c>
      <c r="O13" s="226">
        <f t="shared" si="3"/>
        <v>414933252.70714271</v>
      </c>
    </row>
    <row r="14" spans="1:15" ht="15.75" thickBot="1" x14ac:dyDescent="0.3"/>
    <row r="15" spans="1:15" ht="15.75" x14ac:dyDescent="0.25">
      <c r="A15" s="269" t="s">
        <v>37</v>
      </c>
      <c r="B15" s="269" t="s">
        <v>38</v>
      </c>
      <c r="C15" s="187">
        <v>2018</v>
      </c>
      <c r="D15" s="269" t="s">
        <v>325</v>
      </c>
      <c r="E15" s="269" t="s">
        <v>316</v>
      </c>
      <c r="F15" s="269" t="s">
        <v>317</v>
      </c>
      <c r="G15" s="269" t="s">
        <v>318</v>
      </c>
      <c r="H15" s="269" t="s">
        <v>319</v>
      </c>
      <c r="I15" s="187">
        <v>2024</v>
      </c>
      <c r="J15" s="269" t="s">
        <v>320</v>
      </c>
      <c r="K15" s="269" t="s">
        <v>321</v>
      </c>
      <c r="L15" s="269" t="s">
        <v>331</v>
      </c>
      <c r="M15" s="187">
        <v>2028</v>
      </c>
      <c r="N15" s="187">
        <v>2029</v>
      </c>
      <c r="O15" s="269" t="s">
        <v>39</v>
      </c>
    </row>
    <row r="16" spans="1:15" ht="16.5" thickBot="1" x14ac:dyDescent="0.3">
      <c r="A16" s="270"/>
      <c r="B16" s="270"/>
      <c r="C16" s="208" t="s">
        <v>315</v>
      </c>
      <c r="D16" s="270"/>
      <c r="E16" s="270"/>
      <c r="F16" s="270"/>
      <c r="G16" s="270"/>
      <c r="H16" s="270"/>
      <c r="I16" s="208" t="s">
        <v>315</v>
      </c>
      <c r="J16" s="270"/>
      <c r="K16" s="270"/>
      <c r="L16" s="270"/>
      <c r="M16" s="208" t="s">
        <v>315</v>
      </c>
      <c r="N16" s="208" t="s">
        <v>315</v>
      </c>
      <c r="O16" s="270"/>
    </row>
    <row r="17" spans="1:15" ht="32.25" thickBot="1" x14ac:dyDescent="0.3">
      <c r="A17" s="187">
        <v>1</v>
      </c>
      <c r="B17" s="211" t="s">
        <v>332</v>
      </c>
      <c r="C17" s="229">
        <f t="shared" ref="C17:N17" si="6">C18+C19+C20+C21+C22</f>
        <v>6615816.7726779655</v>
      </c>
      <c r="D17" s="229">
        <f t="shared" si="6"/>
        <v>92621434.817491531</v>
      </c>
      <c r="E17" s="229">
        <f t="shared" si="6"/>
        <v>38816739.209423222</v>
      </c>
      <c r="F17" s="229">
        <f t="shared" si="6"/>
        <v>38010001.896040171</v>
      </c>
      <c r="G17" s="229">
        <f t="shared" si="6"/>
        <v>37939278.199648321</v>
      </c>
      <c r="H17" s="229">
        <f t="shared" si="6"/>
        <v>37557557.718339317</v>
      </c>
      <c r="I17" s="229">
        <f t="shared" si="6"/>
        <v>37102748.831812471</v>
      </c>
      <c r="J17" s="229">
        <f t="shared" si="6"/>
        <v>36994017.965025797</v>
      </c>
      <c r="K17" s="229">
        <f t="shared" si="6"/>
        <v>37000812.415803462</v>
      </c>
      <c r="L17" s="229">
        <f t="shared" si="6"/>
        <v>37372244.371581674</v>
      </c>
      <c r="M17" s="229">
        <f t="shared" si="6"/>
        <v>38034954.755375944</v>
      </c>
      <c r="N17" s="229">
        <f t="shared" si="6"/>
        <v>38726683.852713659</v>
      </c>
      <c r="O17" s="226">
        <f>SUM(C17:N17)</f>
        <v>476792290.80593348</v>
      </c>
    </row>
    <row r="18" spans="1:15" s="185" customFormat="1" ht="15" customHeight="1" thickBot="1" x14ac:dyDescent="0.3">
      <c r="A18" s="223">
        <v>42736</v>
      </c>
      <c r="B18" s="224" t="s">
        <v>333</v>
      </c>
      <c r="C18" s="230">
        <f>ИТОГ!$C$32</f>
        <v>6615816.7726779655</v>
      </c>
      <c r="D18" s="230">
        <f>ИТОГ!$D$32</f>
        <v>92621434.817491531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26">
        <f t="shared" ref="O18:O28" si="7">SUM(C18:N18)</f>
        <v>99237251.590169489</v>
      </c>
    </row>
    <row r="19" spans="1:15" ht="16.5" thickBot="1" x14ac:dyDescent="0.3">
      <c r="A19" s="192">
        <v>42767</v>
      </c>
      <c r="B19" s="209" t="s">
        <v>334</v>
      </c>
      <c r="C19" s="183"/>
      <c r="D19" s="183"/>
      <c r="E19" s="183">
        <f>ИТОГ!$E$8</f>
        <v>28800103.155661352</v>
      </c>
      <c r="F19" s="183">
        <f>E19</f>
        <v>28800103.155661352</v>
      </c>
      <c r="G19" s="183">
        <f t="shared" ref="G19:N19" si="8">F19</f>
        <v>28800103.155661352</v>
      </c>
      <c r="H19" s="183">
        <f t="shared" si="8"/>
        <v>28800103.155661352</v>
      </c>
      <c r="I19" s="183">
        <f t="shared" si="8"/>
        <v>28800103.155661352</v>
      </c>
      <c r="J19" s="183">
        <f t="shared" si="8"/>
        <v>28800103.155661352</v>
      </c>
      <c r="K19" s="183">
        <f t="shared" si="8"/>
        <v>28800103.155661352</v>
      </c>
      <c r="L19" s="183">
        <f t="shared" si="8"/>
        <v>28800103.155661352</v>
      </c>
      <c r="M19" s="183">
        <f t="shared" si="8"/>
        <v>28800103.155661352</v>
      </c>
      <c r="N19" s="183">
        <f t="shared" si="8"/>
        <v>28800103.155661352</v>
      </c>
      <c r="O19" s="226">
        <f t="shared" si="7"/>
        <v>288001031.5566135</v>
      </c>
    </row>
    <row r="20" spans="1:15" ht="16.5" thickBot="1" x14ac:dyDescent="0.3">
      <c r="A20" s="192">
        <v>42795</v>
      </c>
      <c r="B20" s="209" t="s">
        <v>335</v>
      </c>
      <c r="C20" s="183"/>
      <c r="D20" s="183"/>
      <c r="E20" s="183">
        <f>ИТОГ!$E$9</f>
        <v>-1809136.4273999995</v>
      </c>
      <c r="F20" s="183">
        <f>ИТОГ!$F$9</f>
        <v>-2130713.8441199996</v>
      </c>
      <c r="G20" s="183">
        <f>ИТОГ!$G$9</f>
        <v>-1716277.6438488008</v>
      </c>
      <c r="H20" s="183">
        <f>ИТОГ!$H$9</f>
        <v>-1612838.2284947529</v>
      </c>
      <c r="I20" s="183">
        <f>ИТОГ!$I$9</f>
        <v>-1582487.2183585428</v>
      </c>
      <c r="J20" s="183">
        <f>ИТОГ!$J$9</f>
        <v>-1206058.1884821644</v>
      </c>
      <c r="K20" s="183">
        <f>ИТОГ!$K$9</f>
        <v>-714103.84104144969</v>
      </c>
      <c r="L20" s="183">
        <f>ИТОГ!$L$9</f>
        <v>142488.01139980834</v>
      </c>
      <c r="M20" s="183">
        <f>ИТОГ!$M$9</f>
        <v>1290358.2918571355</v>
      </c>
      <c r="N20" s="183">
        <f>ИТОГ!$N$9</f>
        <v>2467247.2858578973</v>
      </c>
      <c r="O20" s="226">
        <f t="shared" si="7"/>
        <v>-6871521.8026308678</v>
      </c>
    </row>
    <row r="21" spans="1:15" ht="16.5" thickBot="1" x14ac:dyDescent="0.3">
      <c r="A21" s="192">
        <v>42826</v>
      </c>
      <c r="B21" s="209" t="s">
        <v>42</v>
      </c>
      <c r="C21" s="183"/>
      <c r="D21" s="183"/>
      <c r="E21" s="183">
        <f>ИТОГ!$E$6</f>
        <v>11825772.481161868</v>
      </c>
      <c r="F21" s="183">
        <f>ИТОГ!$F$6</f>
        <v>11340612.584498815</v>
      </c>
      <c r="G21" s="183">
        <f>ИТОГ!$G$6</f>
        <v>10855452.687835766</v>
      </c>
      <c r="H21" s="183">
        <f>ИТОГ!$H$6</f>
        <v>10370292.791172715</v>
      </c>
      <c r="I21" s="183">
        <f>ИТОГ!$I$6</f>
        <v>9885132.8945096638</v>
      </c>
      <c r="J21" s="183">
        <f>ИТОГ!$J$6</f>
        <v>9399972.9978466127</v>
      </c>
      <c r="K21" s="183">
        <f>ИТОГ!$K$6</f>
        <v>8914813.1011835616</v>
      </c>
      <c r="L21" s="183">
        <f>ИТОГ!$L$6</f>
        <v>8429653.2045205105</v>
      </c>
      <c r="M21" s="183">
        <f>ИТОГ!$M$6</f>
        <v>7944493.3078574585</v>
      </c>
      <c r="N21" s="183">
        <f>ИТОГ!$N$6</f>
        <v>7459333.4111944074</v>
      </c>
      <c r="O21" s="226">
        <f t="shared" si="7"/>
        <v>96425529.461781383</v>
      </c>
    </row>
    <row r="22" spans="1:15" ht="16.5" thickBot="1" x14ac:dyDescent="0.3">
      <c r="A22" s="192">
        <v>42856</v>
      </c>
      <c r="B22" s="209" t="s">
        <v>336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6">
        <f t="shared" si="7"/>
        <v>0</v>
      </c>
    </row>
    <row r="23" spans="1:15" ht="16.5" thickBot="1" x14ac:dyDescent="0.3">
      <c r="A23" s="187">
        <v>2</v>
      </c>
      <c r="B23" s="211" t="s">
        <v>337</v>
      </c>
      <c r="C23" s="229">
        <f>C24+C25+C26</f>
        <v>0</v>
      </c>
      <c r="D23" s="229">
        <f t="shared" ref="D23:N23" si="9">D24+D25+D26</f>
        <v>0</v>
      </c>
      <c r="E23" s="229">
        <f t="shared" si="9"/>
        <v>37000393.843144871</v>
      </c>
      <c r="F23" s="229">
        <f t="shared" si="9"/>
        <v>37000393.843144871</v>
      </c>
      <c r="G23" s="229">
        <f t="shared" si="9"/>
        <v>37000393.843144871</v>
      </c>
      <c r="H23" s="229">
        <f t="shared" si="9"/>
        <v>37000393.843144871</v>
      </c>
      <c r="I23" s="229">
        <f t="shared" si="9"/>
        <v>37000393.843144871</v>
      </c>
      <c r="J23" s="229">
        <f t="shared" si="9"/>
        <v>37000393.843144871</v>
      </c>
      <c r="K23" s="229">
        <f t="shared" si="9"/>
        <v>37000393.843144871</v>
      </c>
      <c r="L23" s="229">
        <f t="shared" si="9"/>
        <v>37000393.843144871</v>
      </c>
      <c r="M23" s="229">
        <f t="shared" si="9"/>
        <v>37000393.843144871</v>
      </c>
      <c r="N23" s="229">
        <f t="shared" si="9"/>
        <v>37000393.843144871</v>
      </c>
      <c r="O23" s="226">
        <f t="shared" si="7"/>
        <v>370003938.43144876</v>
      </c>
    </row>
    <row r="24" spans="1:15" ht="16.5" thickBot="1" x14ac:dyDescent="0.3">
      <c r="A24" s="192">
        <v>42737</v>
      </c>
      <c r="B24" s="209" t="s">
        <v>47</v>
      </c>
      <c r="C24" s="183"/>
      <c r="D24" s="183"/>
      <c r="E24" s="183">
        <f>ИТОГ!$E$14</f>
        <v>9449701.8872545771</v>
      </c>
      <c r="F24" s="183">
        <f>E24</f>
        <v>9449701.8872545771</v>
      </c>
      <c r="G24" s="183">
        <f t="shared" ref="G24:N24" si="10">F24</f>
        <v>9449701.8872545771</v>
      </c>
      <c r="H24" s="183">
        <f t="shared" si="10"/>
        <v>9449701.8872545771</v>
      </c>
      <c r="I24" s="183">
        <f t="shared" si="10"/>
        <v>9449701.8872545771</v>
      </c>
      <c r="J24" s="183">
        <f t="shared" si="10"/>
        <v>9449701.8872545771</v>
      </c>
      <c r="K24" s="183">
        <f t="shared" si="10"/>
        <v>9449701.8872545771</v>
      </c>
      <c r="L24" s="183">
        <f t="shared" si="10"/>
        <v>9449701.8872545771</v>
      </c>
      <c r="M24" s="183">
        <f t="shared" si="10"/>
        <v>9449701.8872545771</v>
      </c>
      <c r="N24" s="183">
        <f t="shared" si="10"/>
        <v>9449701.8872545771</v>
      </c>
      <c r="O24" s="226">
        <f t="shared" si="7"/>
        <v>94497018.872545794</v>
      </c>
    </row>
    <row r="25" spans="1:15" ht="32.25" thickBot="1" x14ac:dyDescent="0.3">
      <c r="A25" s="192">
        <v>42768</v>
      </c>
      <c r="B25" s="209" t="s">
        <v>338</v>
      </c>
      <c r="C25" s="183"/>
      <c r="D25" s="183"/>
      <c r="E25" s="183">
        <f>ИТОГ!$E$16</f>
        <v>27550691.955890294</v>
      </c>
      <c r="F25" s="183">
        <f>E25</f>
        <v>27550691.955890294</v>
      </c>
      <c r="G25" s="183">
        <f t="shared" ref="G25:N25" si="11">F25</f>
        <v>27550691.955890294</v>
      </c>
      <c r="H25" s="183">
        <f t="shared" si="11"/>
        <v>27550691.955890294</v>
      </c>
      <c r="I25" s="183">
        <f t="shared" si="11"/>
        <v>27550691.955890294</v>
      </c>
      <c r="J25" s="183">
        <f t="shared" si="11"/>
        <v>27550691.955890294</v>
      </c>
      <c r="K25" s="183">
        <f t="shared" si="11"/>
        <v>27550691.955890294</v>
      </c>
      <c r="L25" s="183">
        <f t="shared" si="11"/>
        <v>27550691.955890294</v>
      </c>
      <c r="M25" s="183">
        <f t="shared" si="11"/>
        <v>27550691.955890294</v>
      </c>
      <c r="N25" s="183">
        <f t="shared" si="11"/>
        <v>27550691.955890294</v>
      </c>
      <c r="O25" s="226">
        <f t="shared" si="7"/>
        <v>275506919.55890292</v>
      </c>
    </row>
    <row r="26" spans="1:15" ht="16.5" thickBot="1" x14ac:dyDescent="0.3">
      <c r="A26" s="192">
        <v>42796</v>
      </c>
      <c r="B26" s="209" t="s">
        <v>339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226">
        <f t="shared" si="7"/>
        <v>0</v>
      </c>
    </row>
    <row r="27" spans="1:15" ht="16.5" thickBot="1" x14ac:dyDescent="0.3">
      <c r="A27" s="213">
        <v>3</v>
      </c>
      <c r="B27" s="210" t="s">
        <v>25</v>
      </c>
      <c r="C27" s="231"/>
      <c r="D27" s="231"/>
      <c r="E27" s="231">
        <f>ИТОГ!$E$20</f>
        <v>99237251.59016943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26">
        <f t="shared" si="7"/>
        <v>99237251.59016943</v>
      </c>
    </row>
    <row r="28" spans="1:15" ht="16.5" thickBot="1" x14ac:dyDescent="0.3">
      <c r="A28" s="214"/>
      <c r="B28" s="215" t="s">
        <v>330</v>
      </c>
      <c r="C28" s="232">
        <f t="shared" ref="C28:N28" si="12">C27+C23-C17</f>
        <v>-6615816.7726779655</v>
      </c>
      <c r="D28" s="232">
        <f t="shared" si="12"/>
        <v>-92621434.817491531</v>
      </c>
      <c r="E28" s="232">
        <f t="shared" si="12"/>
        <v>97420906.223891079</v>
      </c>
      <c r="F28" s="232">
        <f t="shared" si="12"/>
        <v>-1009608.0528953001</v>
      </c>
      <c r="G28" s="232">
        <f t="shared" si="12"/>
        <v>-938884.35650344938</v>
      </c>
      <c r="H28" s="232">
        <f t="shared" si="12"/>
        <v>-557163.87519444525</v>
      </c>
      <c r="I28" s="232">
        <f t="shared" si="12"/>
        <v>-102354.98866759986</v>
      </c>
      <c r="J28" s="232">
        <f t="shared" si="12"/>
        <v>6375.8781190738082</v>
      </c>
      <c r="K28" s="232">
        <f t="shared" si="12"/>
        <v>-418.57265859097242</v>
      </c>
      <c r="L28" s="232">
        <f t="shared" si="12"/>
        <v>-371850.52843680233</v>
      </c>
      <c r="M28" s="232">
        <f t="shared" si="12"/>
        <v>-1034560.9122310728</v>
      </c>
      <c r="N28" s="232">
        <f t="shared" si="12"/>
        <v>-1726290.0095687881</v>
      </c>
      <c r="O28" s="226">
        <f t="shared" si="7"/>
        <v>-7551100.7843153849</v>
      </c>
    </row>
    <row r="30" spans="1:15" ht="15.75" thickBot="1" x14ac:dyDescent="0.3"/>
    <row r="31" spans="1:15" x14ac:dyDescent="0.25">
      <c r="A31" s="269" t="s">
        <v>37</v>
      </c>
      <c r="B31" s="269" t="s">
        <v>38</v>
      </c>
      <c r="C31" s="216">
        <v>2018</v>
      </c>
      <c r="D31" s="216">
        <v>2019</v>
      </c>
      <c r="E31" s="216">
        <v>2020</v>
      </c>
      <c r="F31" s="216">
        <v>2021</v>
      </c>
      <c r="G31" s="216">
        <v>2022</v>
      </c>
      <c r="H31" s="216">
        <v>2023</v>
      </c>
      <c r="I31" s="216">
        <v>2024</v>
      </c>
      <c r="J31" s="216">
        <v>2025</v>
      </c>
      <c r="K31" s="216">
        <v>2026</v>
      </c>
      <c r="L31" s="216">
        <v>2027</v>
      </c>
      <c r="M31" s="216">
        <v>2028</v>
      </c>
      <c r="N31" s="216">
        <v>2029</v>
      </c>
      <c r="O31" s="269" t="s">
        <v>39</v>
      </c>
    </row>
    <row r="32" spans="1:15" ht="15.75" thickBot="1" x14ac:dyDescent="0.3">
      <c r="A32" s="270"/>
      <c r="B32" s="270"/>
      <c r="C32" s="217" t="s">
        <v>315</v>
      </c>
      <c r="D32" s="217" t="s">
        <v>315</v>
      </c>
      <c r="E32" s="217" t="s">
        <v>315</v>
      </c>
      <c r="F32" s="217" t="s">
        <v>315</v>
      </c>
      <c r="G32" s="217" t="s">
        <v>315</v>
      </c>
      <c r="H32" s="217" t="s">
        <v>315</v>
      </c>
      <c r="I32" s="217" t="s">
        <v>315</v>
      </c>
      <c r="J32" s="217" t="s">
        <v>315</v>
      </c>
      <c r="K32" s="217" t="s">
        <v>315</v>
      </c>
      <c r="L32" s="217" t="s">
        <v>315</v>
      </c>
      <c r="M32" s="217" t="s">
        <v>315</v>
      </c>
      <c r="N32" s="217" t="s">
        <v>315</v>
      </c>
      <c r="O32" s="270"/>
    </row>
    <row r="33" spans="1:15" ht="16.5" thickBot="1" x14ac:dyDescent="0.3">
      <c r="A33" s="189">
        <v>1</v>
      </c>
      <c r="B33" s="209" t="s">
        <v>340</v>
      </c>
      <c r="C33" s="183">
        <f>ИТОГ!$C$5</f>
        <v>430.92</v>
      </c>
      <c r="D33" s="225">
        <f>ИТОГ!$D$5</f>
        <v>861.84</v>
      </c>
      <c r="E33" s="225">
        <f>ИТОГ!$E$5</f>
        <v>861.84</v>
      </c>
      <c r="F33" s="225">
        <f>ИТОГ!$F$5</f>
        <v>861.84</v>
      </c>
      <c r="G33" s="225">
        <f>ИТОГ!$G$5</f>
        <v>4740.12</v>
      </c>
      <c r="H33" s="225">
        <f>ИТОГ!$H$5</f>
        <v>8618.4</v>
      </c>
      <c r="I33" s="225">
        <f>H33</f>
        <v>8618.4</v>
      </c>
      <c r="J33" s="225">
        <f t="shared" ref="J33:N33" si="13">I33</f>
        <v>8618.4</v>
      </c>
      <c r="K33" s="225">
        <f t="shared" si="13"/>
        <v>8618.4</v>
      </c>
      <c r="L33" s="225">
        <f t="shared" si="13"/>
        <v>8618.4</v>
      </c>
      <c r="M33" s="225">
        <f t="shared" si="13"/>
        <v>8618.4</v>
      </c>
      <c r="N33" s="225">
        <f t="shared" si="13"/>
        <v>8618.4</v>
      </c>
      <c r="O33" s="226">
        <f t="shared" ref="O33:O35" si="14">SUM(C33:N33)</f>
        <v>68085.36</v>
      </c>
    </row>
    <row r="34" spans="1:15" ht="16.5" thickBot="1" x14ac:dyDescent="0.3">
      <c r="A34" s="189">
        <v>2</v>
      </c>
      <c r="B34" s="209" t="s">
        <v>341</v>
      </c>
      <c r="C34" s="183"/>
      <c r="D34" s="183"/>
      <c r="E34" s="183">
        <f>ИТОГ!$E$15</f>
        <v>6672.3652799999982</v>
      </c>
      <c r="F34" s="183">
        <f>E34</f>
        <v>6672.3652799999982</v>
      </c>
      <c r="G34" s="183">
        <f t="shared" ref="G34:N34" si="15">F34</f>
        <v>6672.3652799999982</v>
      </c>
      <c r="H34" s="183">
        <f t="shared" si="15"/>
        <v>6672.3652799999982</v>
      </c>
      <c r="I34" s="183">
        <f t="shared" si="15"/>
        <v>6672.3652799999982</v>
      </c>
      <c r="J34" s="183">
        <f t="shared" si="15"/>
        <v>6672.3652799999982</v>
      </c>
      <c r="K34" s="183">
        <f t="shared" si="15"/>
        <v>6672.3652799999982</v>
      </c>
      <c r="L34" s="183">
        <f t="shared" si="15"/>
        <v>6672.3652799999982</v>
      </c>
      <c r="M34" s="183">
        <f t="shared" si="15"/>
        <v>6672.3652799999982</v>
      </c>
      <c r="N34" s="183">
        <f t="shared" si="15"/>
        <v>6672.3652799999982</v>
      </c>
      <c r="O34" s="226">
        <f t="shared" si="14"/>
        <v>66723.652799999982</v>
      </c>
    </row>
    <row r="35" spans="1:15" ht="16.5" thickBot="1" x14ac:dyDescent="0.3">
      <c r="A35" s="213"/>
      <c r="B35" s="210" t="s">
        <v>342</v>
      </c>
      <c r="C35" s="228">
        <f>C34-C33</f>
        <v>-430.92</v>
      </c>
      <c r="D35" s="228">
        <f t="shared" ref="D35:N35" si="16">D34-D33</f>
        <v>-861.84</v>
      </c>
      <c r="E35" s="228">
        <f t="shared" si="16"/>
        <v>5810.525279999998</v>
      </c>
      <c r="F35" s="228">
        <f t="shared" si="16"/>
        <v>5810.525279999998</v>
      </c>
      <c r="G35" s="228">
        <f t="shared" si="16"/>
        <v>1932.2452799999983</v>
      </c>
      <c r="H35" s="228">
        <f t="shared" si="16"/>
        <v>-1946.0347200000015</v>
      </c>
      <c r="I35" s="228">
        <f t="shared" si="16"/>
        <v>-1946.0347200000015</v>
      </c>
      <c r="J35" s="228">
        <f t="shared" si="16"/>
        <v>-1946.0347200000015</v>
      </c>
      <c r="K35" s="228">
        <f t="shared" si="16"/>
        <v>-1946.0347200000015</v>
      </c>
      <c r="L35" s="228">
        <f t="shared" si="16"/>
        <v>-1946.0347200000015</v>
      </c>
      <c r="M35" s="228">
        <f t="shared" si="16"/>
        <v>-1946.0347200000015</v>
      </c>
      <c r="N35" s="228">
        <f t="shared" si="16"/>
        <v>-1946.0347200000015</v>
      </c>
      <c r="O35" s="226">
        <f t="shared" si="14"/>
        <v>-1361.7072000000171</v>
      </c>
    </row>
    <row r="36" spans="1:15" ht="15.75" thickBot="1" x14ac:dyDescent="0.3"/>
    <row r="37" spans="1:15" ht="15.75" x14ac:dyDescent="0.25">
      <c r="A37" s="269" t="s">
        <v>37</v>
      </c>
      <c r="B37" s="269" t="s">
        <v>38</v>
      </c>
      <c r="C37" s="187">
        <v>2018</v>
      </c>
      <c r="D37" s="187">
        <v>2019</v>
      </c>
      <c r="E37" s="187">
        <v>2020</v>
      </c>
      <c r="F37" s="187">
        <v>2021</v>
      </c>
      <c r="G37" s="187">
        <v>2022</v>
      </c>
      <c r="H37" s="187">
        <v>2023</v>
      </c>
      <c r="I37" s="187">
        <v>2024</v>
      </c>
      <c r="J37" s="187">
        <v>2025</v>
      </c>
      <c r="K37" s="187">
        <v>2026</v>
      </c>
      <c r="L37" s="187">
        <v>2027</v>
      </c>
      <c r="M37" s="187">
        <v>2028</v>
      </c>
      <c r="N37" s="187">
        <v>2029</v>
      </c>
      <c r="O37" s="269" t="s">
        <v>39</v>
      </c>
    </row>
    <row r="38" spans="1:15" ht="16.5" thickBot="1" x14ac:dyDescent="0.3">
      <c r="A38" s="270"/>
      <c r="B38" s="270"/>
      <c r="C38" s="208" t="s">
        <v>315</v>
      </c>
      <c r="D38" s="208" t="s">
        <v>315</v>
      </c>
      <c r="E38" s="208" t="s">
        <v>315</v>
      </c>
      <c r="F38" s="208" t="s">
        <v>315</v>
      </c>
      <c r="G38" s="208" t="s">
        <v>315</v>
      </c>
      <c r="H38" s="208" t="s">
        <v>315</v>
      </c>
      <c r="I38" s="208" t="s">
        <v>315</v>
      </c>
      <c r="J38" s="208" t="s">
        <v>326</v>
      </c>
      <c r="K38" s="208" t="s">
        <v>315</v>
      </c>
      <c r="L38" s="208" t="s">
        <v>315</v>
      </c>
      <c r="M38" s="208" t="s">
        <v>315</v>
      </c>
      <c r="N38" s="208" t="s">
        <v>315</v>
      </c>
      <c r="O38" s="270"/>
    </row>
    <row r="39" spans="1:15" ht="32.25" thickBot="1" x14ac:dyDescent="0.3">
      <c r="A39" s="189">
        <v>1</v>
      </c>
      <c r="B39" s="209" t="s">
        <v>343</v>
      </c>
      <c r="C39" s="17"/>
      <c r="D39" s="212"/>
      <c r="E39" s="225">
        <f>ИТОГ!$E$10</f>
        <v>25710757.929999996</v>
      </c>
      <c r="F39" s="225">
        <f>ИТОГ!$F$10</f>
        <v>28934899.133999996</v>
      </c>
      <c r="G39" s="225">
        <f>ИТОГ!$G$10</f>
        <v>28203291.799160004</v>
      </c>
      <c r="H39" s="225">
        <f>ИТОГ!$H$10</f>
        <v>29348372.380526401</v>
      </c>
      <c r="I39" s="225">
        <f>ИТОГ!$I$10</f>
        <v>31422509.500747465</v>
      </c>
      <c r="J39" s="225">
        <f>ИТОГ!$J$10</f>
        <v>31708623.678177364</v>
      </c>
      <c r="K39" s="225">
        <f>ИТОГ!$K$10</f>
        <v>33877170.850304455</v>
      </c>
      <c r="L39" s="225">
        <f>ИТОГ!$L$10</f>
        <v>34980672.974267565</v>
      </c>
      <c r="M39" s="225">
        <f>ИТОГ!$M$10</f>
        <v>35614981.375985309</v>
      </c>
      <c r="N39" s="225">
        <f>ИТОГ!$N$10</f>
        <v>37462302.343474187</v>
      </c>
      <c r="O39" s="226">
        <f t="shared" ref="O39:O41" si="17">SUM(C39:N39)</f>
        <v>317263581.9666428</v>
      </c>
    </row>
    <row r="40" spans="1:15" ht="32.25" thickBot="1" x14ac:dyDescent="0.3">
      <c r="A40" s="189">
        <v>2</v>
      </c>
      <c r="B40" s="209" t="s">
        <v>344</v>
      </c>
      <c r="C40" s="17"/>
      <c r="D40" s="17"/>
      <c r="E40" s="183">
        <f>ИТОГ!$E$19</f>
        <v>31091831.032730978</v>
      </c>
      <c r="F40" s="183">
        <f>E40</f>
        <v>31091831.032730978</v>
      </c>
      <c r="G40" s="183">
        <f t="shared" ref="G40:N40" si="18">F40</f>
        <v>31091831.032730978</v>
      </c>
      <c r="H40" s="183">
        <f t="shared" si="18"/>
        <v>31091831.032730978</v>
      </c>
      <c r="I40" s="183">
        <f t="shared" si="18"/>
        <v>31091831.032730978</v>
      </c>
      <c r="J40" s="183">
        <f t="shared" si="18"/>
        <v>31091831.032730978</v>
      </c>
      <c r="K40" s="183">
        <f t="shared" si="18"/>
        <v>31091831.032730978</v>
      </c>
      <c r="L40" s="183">
        <f t="shared" si="18"/>
        <v>31091831.032730978</v>
      </c>
      <c r="M40" s="183">
        <f t="shared" si="18"/>
        <v>31091831.032730978</v>
      </c>
      <c r="N40" s="183">
        <f t="shared" si="18"/>
        <v>31091831.032730978</v>
      </c>
      <c r="O40" s="226">
        <f t="shared" si="17"/>
        <v>310918310.32730979</v>
      </c>
    </row>
    <row r="41" spans="1:15" ht="16.5" thickBot="1" x14ac:dyDescent="0.3">
      <c r="A41" s="213"/>
      <c r="B41" s="210" t="s">
        <v>342</v>
      </c>
      <c r="C41" s="218">
        <f>C40-C39</f>
        <v>0</v>
      </c>
      <c r="D41" s="218">
        <f t="shared" ref="D41:N41" si="19">D40-D39</f>
        <v>0</v>
      </c>
      <c r="E41" s="227">
        <f t="shared" si="19"/>
        <v>5381073.102730982</v>
      </c>
      <c r="F41" s="227">
        <f t="shared" si="19"/>
        <v>2156931.8987309821</v>
      </c>
      <c r="G41" s="227">
        <f t="shared" si="19"/>
        <v>2888539.2335709743</v>
      </c>
      <c r="H41" s="227">
        <f t="shared" si="19"/>
        <v>1743458.6522045769</v>
      </c>
      <c r="I41" s="227">
        <f t="shared" si="19"/>
        <v>-330678.46801648661</v>
      </c>
      <c r="J41" s="227">
        <f t="shared" si="19"/>
        <v>-616792.64544638619</v>
      </c>
      <c r="K41" s="227">
        <f t="shared" si="19"/>
        <v>-2785339.8175734766</v>
      </c>
      <c r="L41" s="227">
        <f t="shared" si="19"/>
        <v>-3888841.9415365867</v>
      </c>
      <c r="M41" s="227">
        <f t="shared" si="19"/>
        <v>-4523150.3432543315</v>
      </c>
      <c r="N41" s="227">
        <f t="shared" si="19"/>
        <v>-6370471.310743209</v>
      </c>
      <c r="O41" s="226">
        <f t="shared" si="17"/>
        <v>-6345271.6393329613</v>
      </c>
    </row>
  </sheetData>
  <mergeCells count="34">
    <mergeCell ref="J1:J2"/>
    <mergeCell ref="K1:K2"/>
    <mergeCell ref="O1:O2"/>
    <mergeCell ref="A8:A9"/>
    <mergeCell ref="B8:B9"/>
    <mergeCell ref="D8:D9"/>
    <mergeCell ref="E8:E9"/>
    <mergeCell ref="F8:F9"/>
    <mergeCell ref="G8:G9"/>
    <mergeCell ref="H8:H9"/>
    <mergeCell ref="A1:A2"/>
    <mergeCell ref="B1:B2"/>
    <mergeCell ref="E1:E2"/>
    <mergeCell ref="F1:F2"/>
    <mergeCell ref="G1:G2"/>
    <mergeCell ref="H1:H2"/>
    <mergeCell ref="L15:L16"/>
    <mergeCell ref="O15:O16"/>
    <mergeCell ref="O8:O9"/>
    <mergeCell ref="A15:A16"/>
    <mergeCell ref="B15:B16"/>
    <mergeCell ref="D15:D16"/>
    <mergeCell ref="E15:E16"/>
    <mergeCell ref="F15:F16"/>
    <mergeCell ref="G15:G16"/>
    <mergeCell ref="H15:H16"/>
    <mergeCell ref="J15:J16"/>
    <mergeCell ref="K15:K16"/>
    <mergeCell ref="A31:A32"/>
    <mergeCell ref="B31:B32"/>
    <mergeCell ref="O31:O32"/>
    <mergeCell ref="A37:A38"/>
    <mergeCell ref="B37:B38"/>
    <mergeCell ref="O37:O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8" workbookViewId="0">
      <selection activeCell="C1" sqref="C1:C13"/>
    </sheetView>
  </sheetViews>
  <sheetFormatPr defaultRowHeight="15" x14ac:dyDescent="0.25"/>
  <sheetData>
    <row r="1" spans="1:3" ht="16.5" thickBot="1" x14ac:dyDescent="0.3">
      <c r="A1" s="172">
        <v>55.131999999999998</v>
      </c>
      <c r="B1" s="173">
        <v>2.7519999999999998</v>
      </c>
      <c r="C1">
        <f>A1+B1</f>
        <v>57.884</v>
      </c>
    </row>
    <row r="2" spans="1:3" ht="16.5" thickBot="1" x14ac:dyDescent="0.3">
      <c r="A2" s="174">
        <v>496.18599999999998</v>
      </c>
      <c r="B2" s="175">
        <v>30.17</v>
      </c>
      <c r="C2">
        <f t="shared" ref="C2:C13" si="0">A2+B2</f>
        <v>526.35599999999999</v>
      </c>
    </row>
    <row r="3" spans="1:3" ht="16.5" thickBot="1" x14ac:dyDescent="0.3">
      <c r="A3" s="174"/>
      <c r="B3" s="175">
        <v>106.416</v>
      </c>
      <c r="C3">
        <f t="shared" si="0"/>
        <v>106.416</v>
      </c>
    </row>
    <row r="4" spans="1:3" ht="16.5" thickBot="1" x14ac:dyDescent="0.3">
      <c r="A4" s="174"/>
      <c r="B4" s="175">
        <v>103.25700000000001</v>
      </c>
      <c r="C4">
        <f t="shared" si="0"/>
        <v>103.25700000000001</v>
      </c>
    </row>
    <row r="5" spans="1:3" ht="16.5" thickBot="1" x14ac:dyDescent="0.3">
      <c r="A5" s="174"/>
      <c r="B5" s="175">
        <v>96.322999999999993</v>
      </c>
      <c r="C5">
        <f t="shared" si="0"/>
        <v>96.322999999999993</v>
      </c>
    </row>
    <row r="6" spans="1:3" ht="16.5" thickBot="1" x14ac:dyDescent="0.3">
      <c r="A6" s="174"/>
      <c r="B6" s="175">
        <v>91.072000000000003</v>
      </c>
      <c r="C6">
        <f t="shared" si="0"/>
        <v>91.072000000000003</v>
      </c>
    </row>
    <row r="7" spans="1:3" ht="16.5" thickBot="1" x14ac:dyDescent="0.3">
      <c r="A7" s="174"/>
      <c r="B7" s="175">
        <v>86.834999999999994</v>
      </c>
      <c r="C7">
        <f t="shared" si="0"/>
        <v>86.834999999999994</v>
      </c>
    </row>
    <row r="8" spans="1:3" ht="16.5" thickBot="1" x14ac:dyDescent="0.3">
      <c r="A8" s="174"/>
      <c r="B8" s="175">
        <v>80.804000000000002</v>
      </c>
      <c r="C8">
        <f t="shared" si="0"/>
        <v>80.804000000000002</v>
      </c>
    </row>
    <row r="9" spans="1:3" ht="16.5" thickBot="1" x14ac:dyDescent="0.3">
      <c r="A9" s="174"/>
      <c r="B9" s="175">
        <v>76.650999999999996</v>
      </c>
      <c r="C9">
        <f t="shared" si="0"/>
        <v>76.650999999999996</v>
      </c>
    </row>
    <row r="10" spans="1:3" ht="16.5" thickBot="1" x14ac:dyDescent="0.3">
      <c r="A10" s="174"/>
      <c r="B10" s="175">
        <v>71.426000000000002</v>
      </c>
      <c r="C10">
        <f t="shared" si="0"/>
        <v>71.426000000000002</v>
      </c>
    </row>
    <row r="11" spans="1:3" ht="16.5" thickBot="1" x14ac:dyDescent="0.3">
      <c r="A11" s="174"/>
      <c r="B11" s="175">
        <v>67.861000000000004</v>
      </c>
      <c r="C11">
        <f t="shared" si="0"/>
        <v>67.861000000000004</v>
      </c>
    </row>
    <row r="12" spans="1:3" ht="16.5" thickBot="1" x14ac:dyDescent="0.3">
      <c r="A12" s="174"/>
      <c r="B12" s="175">
        <v>69.061000000000007</v>
      </c>
      <c r="C12">
        <f t="shared" si="0"/>
        <v>69.061000000000007</v>
      </c>
    </row>
    <row r="13" spans="1:3" ht="16.5" thickBot="1" x14ac:dyDescent="0.3">
      <c r="A13" s="174">
        <v>551.31799999999998</v>
      </c>
      <c r="B13" s="175">
        <v>813.47699999999998</v>
      </c>
      <c r="C13">
        <f t="shared" si="0"/>
        <v>1364.7950000000001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workbookViewId="0">
      <selection activeCell="F15" sqref="F15:K15"/>
    </sheetView>
  </sheetViews>
  <sheetFormatPr defaultRowHeight="15" x14ac:dyDescent="0.25"/>
  <cols>
    <col min="2" max="2" width="33.28515625" bestFit="1" customWidth="1"/>
    <col min="3" max="3" width="19.5703125" bestFit="1" customWidth="1"/>
    <col min="4" max="7" width="9.42578125" bestFit="1" customWidth="1"/>
    <col min="8" max="11" width="10" bestFit="1" customWidth="1"/>
    <col min="12" max="19" width="11.85546875" bestFit="1" customWidth="1"/>
    <col min="20" max="20" width="12.7109375" bestFit="1" customWidth="1"/>
    <col min="21" max="43" width="12" bestFit="1" customWidth="1"/>
  </cols>
  <sheetData>
    <row r="1" spans="1:43" x14ac:dyDescent="0.25">
      <c r="A1" s="246" t="s">
        <v>132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x14ac:dyDescent="0.25">
      <c r="A2" s="79" t="s">
        <v>133</v>
      </c>
      <c r="B2" s="79" t="s">
        <v>38</v>
      </c>
      <c r="C2" s="10" t="str">
        <f>БДР!C2</f>
        <v>Единица измерения</v>
      </c>
      <c r="D2" s="10" t="s">
        <v>158</v>
      </c>
      <c r="E2" s="10" t="s">
        <v>159</v>
      </c>
      <c r="F2" s="10" t="s">
        <v>160</v>
      </c>
      <c r="G2" s="10" t="s">
        <v>161</v>
      </c>
      <c r="H2" s="10" t="s">
        <v>162</v>
      </c>
      <c r="I2" s="10" t="s">
        <v>163</v>
      </c>
      <c r="J2" s="10" t="s">
        <v>164</v>
      </c>
      <c r="K2" s="10" t="s">
        <v>165</v>
      </c>
      <c r="L2" s="10" t="str">
        <f>БДР!H2</f>
        <v>1 кв. 2019</v>
      </c>
      <c r="M2" s="10" t="str">
        <f>БДР!I2</f>
        <v>2 кв. 2019</v>
      </c>
      <c r="N2" s="10" t="str">
        <f>БДР!J2</f>
        <v>3 кв. 2019</v>
      </c>
      <c r="O2" s="10" t="str">
        <f>БДР!K2</f>
        <v>4 кв. 2019</v>
      </c>
      <c r="P2" s="10" t="str">
        <f>БДР!L2</f>
        <v>1 кв. 2019</v>
      </c>
      <c r="Q2" s="10" t="str">
        <f>БДР!M2</f>
        <v>2 кв. 2019</v>
      </c>
      <c r="R2" s="10" t="str">
        <f>БДР!N2</f>
        <v>3 кв. 2019</v>
      </c>
      <c r="S2" s="10" t="str">
        <f>БДР!O2</f>
        <v>4 кв. 2019</v>
      </c>
      <c r="T2" s="10" t="str">
        <f>БДР!P2</f>
        <v>1 кв. 2019</v>
      </c>
      <c r="U2" s="10" t="str">
        <f>БДР!Q2</f>
        <v>2 кв. 2019</v>
      </c>
      <c r="V2" s="10" t="str">
        <f>БДР!R2</f>
        <v>3 кв. 2019</v>
      </c>
      <c r="W2" s="10" t="str">
        <f>БДР!S2</f>
        <v>4 кв. 2019</v>
      </c>
      <c r="X2" s="10" t="str">
        <f>БДР!T2</f>
        <v>1 кв. 2019</v>
      </c>
      <c r="Y2" s="10" t="str">
        <f>БДР!U2</f>
        <v>2 кв. 2019</v>
      </c>
      <c r="Z2" s="10" t="str">
        <f>БДР!V2</f>
        <v>3 кв. 2019</v>
      </c>
      <c r="AA2" s="10" t="str">
        <f>БДР!W2</f>
        <v>4 кв. 2019</v>
      </c>
      <c r="AB2" s="10" t="str">
        <f>БДР!X2</f>
        <v>1 кв. 2019</v>
      </c>
      <c r="AC2" s="10" t="str">
        <f>БДР!Y2</f>
        <v>2 кв. 2019</v>
      </c>
      <c r="AD2" s="10" t="str">
        <f>БДР!Z2</f>
        <v>3 кв. 2019</v>
      </c>
      <c r="AE2" s="10" t="str">
        <f>БДР!AA2</f>
        <v>4 кв. 2019</v>
      </c>
      <c r="AF2" s="10" t="str">
        <f>БДР!AB2</f>
        <v>1 кв. 2019</v>
      </c>
      <c r="AG2" s="10" t="str">
        <f>БДР!AC2</f>
        <v>2 кв. 2019</v>
      </c>
      <c r="AH2" s="10" t="str">
        <f>БДР!AD2</f>
        <v>3 кв. 2019</v>
      </c>
      <c r="AI2" s="10" t="str">
        <f>БДР!AE2</f>
        <v>4 кв. 2019</v>
      </c>
      <c r="AJ2" s="10" t="str">
        <f>БДР!AF2</f>
        <v>1 кв. 2019</v>
      </c>
      <c r="AK2" s="10" t="str">
        <f>БДР!AG2</f>
        <v>2 кв. 2019</v>
      </c>
      <c r="AL2" s="10" t="str">
        <f>БДР!AH2</f>
        <v>3 кв. 2019</v>
      </c>
      <c r="AM2" s="10" t="str">
        <f>БДР!AI2</f>
        <v>4 кв. 2019</v>
      </c>
      <c r="AN2" s="10" t="str">
        <f>БДР!AJ2</f>
        <v>1 кв. 2019</v>
      </c>
      <c r="AO2" s="10" t="str">
        <f>БДР!AK2</f>
        <v>2 кв. 2019</v>
      </c>
      <c r="AP2" s="10" t="str">
        <f>БДР!AL2</f>
        <v>3 кв. 2019</v>
      </c>
      <c r="AQ2" s="10" t="str">
        <f>БДР!AM2</f>
        <v>4 кв. 2019</v>
      </c>
    </row>
    <row r="3" spans="1:43" x14ac:dyDescent="0.25">
      <c r="A3" s="66"/>
      <c r="B3" s="66" t="s">
        <v>134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x14ac:dyDescent="0.25">
      <c r="A4" s="60" t="s">
        <v>114</v>
      </c>
      <c r="B4" s="60" t="s">
        <v>152</v>
      </c>
      <c r="C4" s="10" t="s">
        <v>57</v>
      </c>
      <c r="D4" s="10"/>
      <c r="E4" s="10"/>
      <c r="F4" s="10"/>
      <c r="G4" s="10"/>
      <c r="H4" s="10"/>
      <c r="I4" s="10"/>
      <c r="J4" s="10"/>
      <c r="K4" s="10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x14ac:dyDescent="0.25">
      <c r="A5" s="60" t="s">
        <v>115</v>
      </c>
      <c r="B5" s="60" t="s">
        <v>153</v>
      </c>
      <c r="C5" s="10" t="s">
        <v>57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47"/>
      <c r="AM5" s="10"/>
      <c r="AN5" s="10"/>
      <c r="AO5" s="10"/>
      <c r="AP5" s="10"/>
      <c r="AQ5" s="10"/>
    </row>
    <row r="6" spans="1:43" x14ac:dyDescent="0.25">
      <c r="A6" s="60" t="s">
        <v>65</v>
      </c>
      <c r="B6" s="60" t="s">
        <v>107</v>
      </c>
      <c r="C6" s="10" t="s">
        <v>57</v>
      </c>
      <c r="D6" s="10"/>
      <c r="E6" s="10"/>
      <c r="F6" s="10"/>
      <c r="G6" s="10"/>
      <c r="H6" s="10"/>
      <c r="I6" s="10"/>
      <c r="J6" s="10"/>
      <c r="K6" s="10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x14ac:dyDescent="0.25">
      <c r="A7" s="60" t="s">
        <v>66</v>
      </c>
      <c r="B7" s="60" t="s">
        <v>108</v>
      </c>
      <c r="C7" s="10" t="s">
        <v>57</v>
      </c>
      <c r="D7" s="10"/>
      <c r="E7" s="10"/>
      <c r="F7" s="10"/>
      <c r="G7" s="10"/>
      <c r="H7" s="10"/>
      <c r="I7" s="10"/>
      <c r="J7" s="10"/>
      <c r="K7" s="10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x14ac:dyDescent="0.25">
      <c r="A8" s="60" t="s">
        <v>109</v>
      </c>
      <c r="B8" s="60" t="s">
        <v>135</v>
      </c>
      <c r="C8" s="10" t="s">
        <v>57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A9" s="62" t="s">
        <v>155</v>
      </c>
      <c r="B9" s="62" t="s">
        <v>136</v>
      </c>
      <c r="C9" s="10" t="s">
        <v>57</v>
      </c>
      <c r="D9" s="10"/>
      <c r="E9" s="10"/>
      <c r="F9" s="10"/>
      <c r="G9" s="10"/>
      <c r="H9" s="10"/>
      <c r="I9" s="10"/>
      <c r="J9" s="10"/>
      <c r="K9" s="10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1:43" x14ac:dyDescent="0.25">
      <c r="A10" s="62" t="s">
        <v>154</v>
      </c>
      <c r="B10" s="62" t="s">
        <v>29</v>
      </c>
      <c r="C10" s="10" t="s">
        <v>57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x14ac:dyDescent="0.25">
      <c r="A11" s="62" t="s">
        <v>156</v>
      </c>
      <c r="B11" s="62" t="s">
        <v>137</v>
      </c>
      <c r="C11" s="10" t="s">
        <v>57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x14ac:dyDescent="0.25">
      <c r="A12" s="62" t="s">
        <v>157</v>
      </c>
      <c r="B12" s="68" t="s">
        <v>138</v>
      </c>
      <c r="C12" s="10" t="s">
        <v>57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30" x14ac:dyDescent="0.25">
      <c r="A13" s="60"/>
      <c r="B13" s="61" t="s">
        <v>139</v>
      </c>
      <c r="C13" s="10" t="s">
        <v>57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30" x14ac:dyDescent="0.25">
      <c r="A14" s="67"/>
      <c r="B14" s="70" t="s">
        <v>140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x14ac:dyDescent="0.25">
      <c r="A15" s="62" t="s">
        <v>141</v>
      </c>
      <c r="B15" s="71" t="s">
        <v>142</v>
      </c>
      <c r="C15" s="10" t="s">
        <v>57</v>
      </c>
      <c r="D15" s="10"/>
      <c r="E15" s="10"/>
      <c r="F15" s="10">
        <f>'ИСХОДНЫЕ ДАННЫЕ ДЛЯ КОНЦЕССИИ'!C7*0.1/3</f>
        <v>21685177.199333336</v>
      </c>
      <c r="G15" s="10">
        <f>F15</f>
        <v>21685177.199333336</v>
      </c>
      <c r="H15" s="10">
        <f>G15</f>
        <v>21685177.199333336</v>
      </c>
      <c r="I15" s="10">
        <f>'ИСХОДНЫЕ ДАННЫЕ ДЛЯ КОНЦЕССИИ'!C7*0.9/3</f>
        <v>195166594.79400003</v>
      </c>
      <c r="J15" s="10">
        <f t="shared" ref="J15:K15" si="0">I15</f>
        <v>195166594.79400003</v>
      </c>
      <c r="K15" s="10">
        <f t="shared" si="0"/>
        <v>195166594.79400003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30" x14ac:dyDescent="0.25">
      <c r="A16" s="60"/>
      <c r="B16" s="69" t="s">
        <v>143</v>
      </c>
      <c r="C16" s="10" t="s">
        <v>57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x14ac:dyDescent="0.25">
      <c r="A17" s="66"/>
      <c r="B17" s="70" t="s">
        <v>144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30" x14ac:dyDescent="0.25">
      <c r="A18" s="62" t="s">
        <v>117</v>
      </c>
      <c r="B18" s="68" t="s">
        <v>166</v>
      </c>
      <c r="C18" s="10" t="s">
        <v>57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x14ac:dyDescent="0.25">
      <c r="A19" s="62" t="s">
        <v>122</v>
      </c>
      <c r="B19" s="68" t="s">
        <v>167</v>
      </c>
      <c r="C19" s="10" t="s">
        <v>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30" x14ac:dyDescent="0.25">
      <c r="A20" s="62" t="s">
        <v>124</v>
      </c>
      <c r="B20" s="64" t="s">
        <v>145</v>
      </c>
      <c r="C20" s="10" t="s">
        <v>57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25">
      <c r="A21" s="62" t="s">
        <v>126</v>
      </c>
      <c r="B21" s="65" t="s">
        <v>121</v>
      </c>
      <c r="C21" s="10" t="s">
        <v>57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62" t="s">
        <v>128</v>
      </c>
      <c r="B22" s="65" t="s">
        <v>146</v>
      </c>
      <c r="C22" s="10" t="s">
        <v>57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30" x14ac:dyDescent="0.25">
      <c r="A23" s="60"/>
      <c r="B23" s="69" t="s">
        <v>147</v>
      </c>
      <c r="C23" s="10" t="s">
        <v>57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30" x14ac:dyDescent="0.25">
      <c r="A24" s="60"/>
      <c r="B24" s="69" t="s">
        <v>148</v>
      </c>
      <c r="C24" s="10" t="s">
        <v>57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30" x14ac:dyDescent="0.25">
      <c r="A25" s="60"/>
      <c r="B25" s="69" t="s">
        <v>149</v>
      </c>
      <c r="C25" s="10" t="s">
        <v>57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7" spans="1:43" x14ac:dyDescent="0.25">
      <c r="B27" s="80" t="s">
        <v>168</v>
      </c>
      <c r="C27" s="81">
        <v>0.1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workbookViewId="0">
      <selection activeCell="D21" sqref="D21"/>
    </sheetView>
  </sheetViews>
  <sheetFormatPr defaultRowHeight="15" x14ac:dyDescent="0.25"/>
  <cols>
    <col min="2" max="2" width="31.5703125" bestFit="1" customWidth="1"/>
    <col min="3" max="3" width="19.85546875" bestFit="1" customWidth="1"/>
    <col min="4" max="7" width="19.85546875" customWidth="1"/>
    <col min="8" max="39" width="9.42578125" bestFit="1" customWidth="1"/>
  </cols>
  <sheetData>
    <row r="1" spans="1:43" x14ac:dyDescent="0.25">
      <c r="A1" s="246" t="s">
        <v>113</v>
      </c>
      <c r="B1" s="246"/>
      <c r="C1" s="246"/>
      <c r="D1" s="246"/>
      <c r="E1" s="246"/>
      <c r="F1" s="246"/>
      <c r="G1" s="246"/>
      <c r="H1" s="246"/>
      <c r="I1" s="246"/>
      <c r="J1" s="246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x14ac:dyDescent="0.25">
      <c r="A2" s="74"/>
      <c r="B2" s="75" t="s">
        <v>54</v>
      </c>
      <c r="C2" s="74" t="str">
        <f>'ПРОГНОЗ ДОХОДОВ И РАСХОДОВ НДС'!C66</f>
        <v>Единица измерения</v>
      </c>
      <c r="D2" s="74" t="str">
        <f>ДДС!D2</f>
        <v>1 кв. 2018</v>
      </c>
      <c r="E2" s="74" t="str">
        <f>ДДС!E2</f>
        <v>2 кв. 2018</v>
      </c>
      <c r="F2" s="74" t="str">
        <f>ДДС!F2</f>
        <v>3 кв. 2018</v>
      </c>
      <c r="G2" s="74" t="str">
        <f>ДДС!G2</f>
        <v>4 кв. 2018</v>
      </c>
      <c r="H2" s="74" t="str">
        <f>ДДС!H2</f>
        <v>1 кв. 2019</v>
      </c>
      <c r="I2" s="74" t="str">
        <f>ДДС!I2</f>
        <v>2 кв. 2019</v>
      </c>
      <c r="J2" s="74" t="str">
        <f>ДДС!J2</f>
        <v>3 кв. 2019</v>
      </c>
      <c r="K2" s="74" t="str">
        <f>ДДС!K2</f>
        <v>4 кв. 2019</v>
      </c>
      <c r="L2" s="74" t="str">
        <f>ДДС!L2</f>
        <v>1 кв. 2019</v>
      </c>
      <c r="M2" s="74" t="str">
        <f>ДДС!M2</f>
        <v>2 кв. 2019</v>
      </c>
      <c r="N2" s="74" t="str">
        <f>ДДС!N2</f>
        <v>3 кв. 2019</v>
      </c>
      <c r="O2" s="74" t="str">
        <f>ДДС!O2</f>
        <v>4 кв. 2019</v>
      </c>
      <c r="P2" s="74" t="str">
        <f>ДДС!P2</f>
        <v>1 кв. 2019</v>
      </c>
      <c r="Q2" s="74" t="str">
        <f>ДДС!Q2</f>
        <v>2 кв. 2019</v>
      </c>
      <c r="R2" s="74" t="str">
        <f>ДДС!R2</f>
        <v>3 кв. 2019</v>
      </c>
      <c r="S2" s="74" t="str">
        <f>ДДС!S2</f>
        <v>4 кв. 2019</v>
      </c>
      <c r="T2" s="74" t="str">
        <f>ДДС!T2</f>
        <v>1 кв. 2019</v>
      </c>
      <c r="U2" s="74" t="str">
        <f>ДДС!U2</f>
        <v>2 кв. 2019</v>
      </c>
      <c r="V2" s="74" t="str">
        <f>ДДС!V2</f>
        <v>3 кв. 2019</v>
      </c>
      <c r="W2" s="74" t="str">
        <f>ДДС!W2</f>
        <v>4 кв. 2019</v>
      </c>
      <c r="X2" s="74" t="str">
        <f>ДДС!X2</f>
        <v>1 кв. 2019</v>
      </c>
      <c r="Y2" s="74" t="str">
        <f>ДДС!Y2</f>
        <v>2 кв. 2019</v>
      </c>
      <c r="Z2" s="74" t="str">
        <f>ДДС!Z2</f>
        <v>3 кв. 2019</v>
      </c>
      <c r="AA2" s="74" t="str">
        <f>ДДС!AA2</f>
        <v>4 кв. 2019</v>
      </c>
      <c r="AB2" s="74" t="str">
        <f>ДДС!AB2</f>
        <v>1 кв. 2019</v>
      </c>
      <c r="AC2" s="74" t="str">
        <f>ДДС!AC2</f>
        <v>2 кв. 2019</v>
      </c>
      <c r="AD2" s="74" t="str">
        <f>ДДС!AD2</f>
        <v>3 кв. 2019</v>
      </c>
      <c r="AE2" s="74" t="str">
        <f>ДДС!AE2</f>
        <v>4 кв. 2019</v>
      </c>
      <c r="AF2" s="74" t="str">
        <f>ДДС!AF2</f>
        <v>1 кв. 2019</v>
      </c>
      <c r="AG2" s="74" t="str">
        <f>ДДС!AG2</f>
        <v>2 кв. 2019</v>
      </c>
      <c r="AH2" s="74" t="str">
        <f>ДДС!AH2</f>
        <v>3 кв. 2019</v>
      </c>
      <c r="AI2" s="74" t="str">
        <f>ДДС!AI2</f>
        <v>4 кв. 2019</v>
      </c>
      <c r="AJ2" s="74" t="str">
        <f>ДДС!AJ2</f>
        <v>1 кв. 2019</v>
      </c>
      <c r="AK2" s="74" t="str">
        <f>ДДС!AK2</f>
        <v>2 кв. 2019</v>
      </c>
      <c r="AL2" s="74" t="str">
        <f>ДДС!AL2</f>
        <v>3 кв. 2019</v>
      </c>
      <c r="AM2" s="74" t="str">
        <f>ДДС!AM2</f>
        <v>4 кв. 2019</v>
      </c>
      <c r="AN2" s="74" t="str">
        <f>ДДС!AN2</f>
        <v>1 кв. 2019</v>
      </c>
      <c r="AO2" s="74" t="str">
        <f>ДДС!AO2</f>
        <v>2 кв. 2019</v>
      </c>
      <c r="AP2" s="74" t="str">
        <f>ДДС!AP2</f>
        <v>3 кв. 2019</v>
      </c>
      <c r="AQ2" s="74" t="str">
        <f>ДДС!AQ2</f>
        <v>4 кв. 2019</v>
      </c>
    </row>
    <row r="3" spans="1:43" x14ac:dyDescent="0.25">
      <c r="A3" s="72" t="s">
        <v>114</v>
      </c>
      <c r="B3" s="76" t="s">
        <v>150</v>
      </c>
      <c r="C3" s="73" t="s"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43" x14ac:dyDescent="0.25">
      <c r="A4" s="58" t="s">
        <v>115</v>
      </c>
      <c r="B4" s="77" t="s">
        <v>151</v>
      </c>
      <c r="C4" s="73" t="s">
        <v>57</v>
      </c>
      <c r="D4" s="73"/>
      <c r="E4" s="73"/>
      <c r="F4" s="73"/>
      <c r="G4" s="7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30" x14ac:dyDescent="0.25">
      <c r="A5" s="58" t="s">
        <v>51</v>
      </c>
      <c r="B5" s="78" t="s">
        <v>116</v>
      </c>
      <c r="C5" s="73" t="s">
        <v>57</v>
      </c>
      <c r="D5" s="73"/>
      <c r="E5" s="73"/>
      <c r="F5" s="73"/>
      <c r="G5" s="7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30" x14ac:dyDescent="0.25">
      <c r="A6" s="58" t="s">
        <v>117</v>
      </c>
      <c r="B6" s="78" t="s">
        <v>118</v>
      </c>
      <c r="C6" s="73" t="s">
        <v>57</v>
      </c>
      <c r="D6" s="73"/>
      <c r="E6" s="73"/>
      <c r="F6" s="73"/>
      <c r="G6" s="7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x14ac:dyDescent="0.25">
      <c r="A7" s="59" t="s">
        <v>119</v>
      </c>
      <c r="B7" s="63" t="s">
        <v>28</v>
      </c>
      <c r="C7" s="73" t="s">
        <v>57</v>
      </c>
      <c r="D7" s="73"/>
      <c r="E7" s="73"/>
      <c r="F7" s="73"/>
      <c r="G7" s="7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x14ac:dyDescent="0.25">
      <c r="A8" s="59" t="s">
        <v>120</v>
      </c>
      <c r="B8" s="63" t="s">
        <v>121</v>
      </c>
      <c r="C8" s="73" t="s">
        <v>57</v>
      </c>
      <c r="D8" s="73"/>
      <c r="E8" s="73"/>
      <c r="F8" s="73"/>
      <c r="G8" s="7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A9" s="58" t="s">
        <v>122</v>
      </c>
      <c r="B9" s="77" t="s">
        <v>123</v>
      </c>
      <c r="C9" s="73" t="s">
        <v>57</v>
      </c>
      <c r="D9" s="73"/>
      <c r="E9" s="73"/>
      <c r="F9" s="73"/>
      <c r="G9" s="7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x14ac:dyDescent="0.25">
      <c r="A10" s="58" t="s">
        <v>124</v>
      </c>
      <c r="B10" s="77" t="s">
        <v>125</v>
      </c>
      <c r="C10" s="73" t="s">
        <v>57</v>
      </c>
      <c r="D10" s="73"/>
      <c r="E10" s="73"/>
      <c r="F10" s="73"/>
      <c r="G10" s="7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x14ac:dyDescent="0.25">
      <c r="A11" s="59" t="s">
        <v>126</v>
      </c>
      <c r="B11" s="63" t="s">
        <v>127</v>
      </c>
      <c r="C11" s="73" t="s">
        <v>57</v>
      </c>
      <c r="D11" s="73"/>
      <c r="E11" s="73"/>
      <c r="F11" s="73"/>
      <c r="G11" s="7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x14ac:dyDescent="0.25">
      <c r="A12" s="59" t="s">
        <v>128</v>
      </c>
      <c r="B12" s="63" t="s">
        <v>129</v>
      </c>
      <c r="C12" s="73" t="s">
        <v>57</v>
      </c>
      <c r="D12" s="73"/>
      <c r="E12" s="73"/>
      <c r="F12" s="73"/>
      <c r="G12" s="7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x14ac:dyDescent="0.25">
      <c r="A13" s="59" t="s">
        <v>130</v>
      </c>
      <c r="B13" s="63" t="s">
        <v>131</v>
      </c>
      <c r="C13" s="73" t="s">
        <v>57</v>
      </c>
      <c r="D13" s="73"/>
      <c r="E13" s="73"/>
      <c r="F13" s="73"/>
      <c r="G13" s="7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G20"/>
  <sheetViews>
    <sheetView workbookViewId="0">
      <selection activeCell="E10" sqref="E10"/>
    </sheetView>
  </sheetViews>
  <sheetFormatPr defaultRowHeight="15" x14ac:dyDescent="0.25"/>
  <cols>
    <col min="2" max="2" width="57.7109375" customWidth="1"/>
    <col min="3" max="3" width="13.85546875" customWidth="1"/>
    <col min="5" max="5" width="12.5703125" bestFit="1" customWidth="1"/>
    <col min="6" max="6" width="12.85546875" bestFit="1" customWidth="1"/>
  </cols>
  <sheetData>
    <row r="1" spans="2:7" ht="15.75" thickBot="1" x14ac:dyDescent="0.3"/>
    <row r="2" spans="2:7" x14ac:dyDescent="0.25">
      <c r="B2" s="247" t="s">
        <v>0</v>
      </c>
      <c r="C2" s="248"/>
    </row>
    <row r="3" spans="2:7" x14ac:dyDescent="0.25">
      <c r="B3" s="1" t="s">
        <v>1</v>
      </c>
      <c r="C3" s="2">
        <f>КОНЦЕССИЯ!C3</f>
        <v>0.1024998265</v>
      </c>
    </row>
    <row r="4" spans="2:7" ht="15.75" thickBot="1" x14ac:dyDescent="0.3">
      <c r="B4" s="3" t="s">
        <v>2</v>
      </c>
      <c r="C4" s="4">
        <f>C9+C13</f>
        <v>138</v>
      </c>
    </row>
    <row r="5" spans="2:7" ht="15.75" thickBot="1" x14ac:dyDescent="0.3">
      <c r="B5" s="5"/>
      <c r="C5" s="5"/>
    </row>
    <row r="6" spans="2:7" x14ac:dyDescent="0.25">
      <c r="B6" s="247" t="s">
        <v>3</v>
      </c>
      <c r="C6" s="248"/>
    </row>
    <row r="7" spans="2:7" x14ac:dyDescent="0.25">
      <c r="B7" s="1" t="s">
        <v>4</v>
      </c>
      <c r="C7" s="6">
        <f>434470830+72028161.99+144056323.99</f>
        <v>650555315.98000002</v>
      </c>
      <c r="E7" s="152"/>
      <c r="F7" s="152"/>
      <c r="G7" s="152"/>
    </row>
    <row r="8" spans="2:7" x14ac:dyDescent="0.25">
      <c r="B8" s="1" t="s">
        <v>5</v>
      </c>
      <c r="C8" s="7">
        <v>43831</v>
      </c>
    </row>
    <row r="9" spans="2:7" x14ac:dyDescent="0.25">
      <c r="B9" s="1" t="s">
        <v>6</v>
      </c>
      <c r="C9" s="6">
        <v>18</v>
      </c>
    </row>
    <row r="10" spans="2:7" ht="15.75" thickBot="1" x14ac:dyDescent="0.3">
      <c r="B10" s="3" t="s">
        <v>7</v>
      </c>
      <c r="C10" s="4" t="s">
        <v>8</v>
      </c>
    </row>
    <row r="11" spans="2:7" ht="15.75" thickBot="1" x14ac:dyDescent="0.3">
      <c r="B11" s="5"/>
      <c r="C11" s="5"/>
    </row>
    <row r="12" spans="2:7" x14ac:dyDescent="0.25">
      <c r="B12" s="247" t="s">
        <v>9</v>
      </c>
      <c r="C12" s="248"/>
    </row>
    <row r="13" spans="2:7" x14ac:dyDescent="0.25">
      <c r="B13" s="1" t="s">
        <v>10</v>
      </c>
      <c r="C13" s="6">
        <v>120</v>
      </c>
    </row>
    <row r="14" spans="2:7" ht="15.75" thickBot="1" x14ac:dyDescent="0.3">
      <c r="B14" s="3" t="s">
        <v>11</v>
      </c>
      <c r="C14" s="4">
        <v>25</v>
      </c>
    </row>
    <row r="15" spans="2:7" ht="15.75" hidden="1" thickBot="1" x14ac:dyDescent="0.3">
      <c r="B15" s="8" t="s">
        <v>12</v>
      </c>
      <c r="C15" s="9"/>
    </row>
    <row r="16" spans="2:7" ht="15.75" thickBot="1" x14ac:dyDescent="0.3">
      <c r="B16" s="5"/>
      <c r="C16" s="5"/>
    </row>
    <row r="17" spans="2:3" x14ac:dyDescent="0.25">
      <c r="B17" s="247" t="s">
        <v>13</v>
      </c>
      <c r="C17" s="248"/>
    </row>
    <row r="18" spans="2:3" x14ac:dyDescent="0.25">
      <c r="B18" s="1" t="s">
        <v>14</v>
      </c>
      <c r="C18" s="2">
        <v>2.1999999999999999E-2</v>
      </c>
    </row>
    <row r="19" spans="2:3" ht="15.75" thickBot="1" x14ac:dyDescent="0.3">
      <c r="B19" s="3" t="s">
        <v>15</v>
      </c>
      <c r="C19" s="2">
        <v>0.18</v>
      </c>
    </row>
    <row r="20" spans="2:3" ht="15.75" hidden="1" thickBot="1" x14ac:dyDescent="0.3">
      <c r="B20" s="3" t="s">
        <v>16</v>
      </c>
      <c r="C20" s="4"/>
    </row>
  </sheetData>
  <mergeCells count="4">
    <mergeCell ref="B2:C2"/>
    <mergeCell ref="B6:C6"/>
    <mergeCell ref="B12:C12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AD68"/>
  <sheetViews>
    <sheetView workbookViewId="0">
      <selection activeCell="N60" sqref="A60:XFD68"/>
    </sheetView>
  </sheetViews>
  <sheetFormatPr defaultRowHeight="15" x14ac:dyDescent="0.25"/>
  <cols>
    <col min="1" max="1" width="10.28515625" customWidth="1"/>
    <col min="2" max="2" width="20.28515625" style="39" customWidth="1"/>
    <col min="3" max="3" width="15.28515625" style="39" customWidth="1"/>
    <col min="4" max="4" width="12.7109375" style="39" customWidth="1"/>
    <col min="5" max="9" width="12.42578125" style="39" customWidth="1"/>
    <col min="10" max="10" width="17.85546875" style="39" customWidth="1"/>
    <col min="11" max="11" width="20.5703125" style="39" customWidth="1"/>
    <col min="12" max="12" width="15.28515625" style="39" customWidth="1"/>
    <col min="13" max="13" width="17" style="39" customWidth="1"/>
    <col min="14" max="14" width="17.28515625" style="39" customWidth="1"/>
    <col min="15" max="15" width="11.5703125" style="39" customWidth="1"/>
    <col min="16" max="16" width="15.42578125" style="39" customWidth="1"/>
    <col min="17" max="17" width="13.42578125" style="39" customWidth="1"/>
    <col min="18" max="18" width="14.42578125" style="39" customWidth="1"/>
    <col min="19" max="19" width="12" style="39" customWidth="1"/>
    <col min="20" max="22" width="11.7109375" style="39" customWidth="1"/>
    <col min="23" max="24" width="12.85546875" style="39" customWidth="1"/>
    <col min="25" max="25" width="11.7109375" style="39" customWidth="1"/>
    <col min="26" max="26" width="13.140625" style="39" customWidth="1"/>
    <col min="27" max="27" width="12.28515625" style="39" customWidth="1"/>
    <col min="28" max="28" width="12.140625" style="39" customWidth="1"/>
    <col min="29" max="29" width="10.85546875" style="39" bestFit="1" customWidth="1"/>
    <col min="30" max="30" width="12" style="39" bestFit="1" customWidth="1"/>
    <col min="31" max="31" width="11.140625" customWidth="1"/>
  </cols>
  <sheetData>
    <row r="1" spans="1:30" x14ac:dyDescent="0.25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90"/>
      <c r="AC1" s="90"/>
    </row>
    <row r="2" spans="1:30" ht="29.25" customHeight="1" x14ac:dyDescent="0.25">
      <c r="B2" s="107" t="s">
        <v>177</v>
      </c>
      <c r="C2" s="113">
        <f>'ИСХОДНЫЕ ДАННЫЕ ДЛЯ КОНЦЕССИИ'!C7</f>
        <v>650555315.98000002</v>
      </c>
      <c r="E2" s="257" t="s">
        <v>179</v>
      </c>
      <c r="F2" s="257"/>
      <c r="G2" s="110">
        <v>1800</v>
      </c>
      <c r="K2" s="107" t="s">
        <v>183</v>
      </c>
      <c r="L2" s="109">
        <v>0.1</v>
      </c>
    </row>
    <row r="3" spans="1:30" ht="30" x14ac:dyDescent="0.25">
      <c r="B3" s="107" t="s">
        <v>17</v>
      </c>
      <c r="C3" s="114">
        <f>(8.25+1.99998265)/100</f>
        <v>0.1024998265</v>
      </c>
      <c r="D3" s="92"/>
      <c r="E3" s="257" t="s">
        <v>180</v>
      </c>
      <c r="F3" s="257"/>
      <c r="G3" s="110">
        <v>760</v>
      </c>
      <c r="H3" s="92"/>
      <c r="I3" s="92"/>
      <c r="J3" s="92"/>
      <c r="K3" s="107" t="s">
        <v>184</v>
      </c>
      <c r="L3" s="110">
        <v>10</v>
      </c>
      <c r="M3" s="93"/>
      <c r="N3" s="93"/>
      <c r="O3" s="94"/>
      <c r="P3" s="93"/>
      <c r="Q3" s="93"/>
      <c r="R3" s="93"/>
    </row>
    <row r="4" spans="1:30" ht="30" customHeight="1" x14ac:dyDescent="0.25">
      <c r="B4" s="107" t="s">
        <v>15</v>
      </c>
      <c r="C4" s="109">
        <v>0.18</v>
      </c>
      <c r="D4" s="92"/>
      <c r="E4" s="257" t="s">
        <v>181</v>
      </c>
      <c r="F4" s="257"/>
      <c r="G4" s="111">
        <v>6.3000000000000003E-4</v>
      </c>
      <c r="H4" s="95"/>
      <c r="I4" s="95"/>
      <c r="J4" s="95"/>
      <c r="K4" s="108" t="s">
        <v>190</v>
      </c>
      <c r="L4" s="109">
        <v>0.98</v>
      </c>
      <c r="M4" s="93"/>
      <c r="N4" s="93"/>
      <c r="O4" s="94"/>
      <c r="P4" s="93"/>
      <c r="Q4" s="93"/>
      <c r="R4" s="93"/>
    </row>
    <row r="5" spans="1:30" ht="30" x14ac:dyDescent="0.25">
      <c r="B5" s="107" t="s">
        <v>11</v>
      </c>
      <c r="C5" s="110">
        <v>25</v>
      </c>
      <c r="D5" s="92"/>
      <c r="E5" s="257" t="s">
        <v>182</v>
      </c>
      <c r="F5" s="257"/>
      <c r="G5" s="112">
        <v>6.3E-3</v>
      </c>
      <c r="H5" s="96"/>
      <c r="I5" s="96"/>
      <c r="J5" s="96"/>
      <c r="K5" s="97"/>
      <c r="M5" s="93"/>
      <c r="N5" s="93"/>
      <c r="O5" s="94"/>
      <c r="P5" s="93"/>
      <c r="Q5" s="93"/>
      <c r="R5" s="93"/>
    </row>
    <row r="6" spans="1:30" ht="30" x14ac:dyDescent="0.25">
      <c r="B6" s="107" t="s">
        <v>178</v>
      </c>
      <c r="C6" s="112">
        <v>2.1999999999999999E-2</v>
      </c>
      <c r="D6" s="92"/>
      <c r="E6" s="92"/>
      <c r="F6" s="92"/>
      <c r="G6" s="92"/>
      <c r="H6" s="92"/>
      <c r="I6" s="92"/>
      <c r="J6" s="92"/>
      <c r="K6" s="97"/>
      <c r="O6" s="98"/>
      <c r="W6" s="39">
        <f>W19/1.18</f>
        <v>40000143.271751881</v>
      </c>
    </row>
    <row r="7" spans="1:30" x14ac:dyDescent="0.25">
      <c r="B7" s="91"/>
      <c r="C7" s="92"/>
      <c r="D7" s="92"/>
      <c r="E7" s="92"/>
      <c r="F7" s="92"/>
      <c r="G7" s="92"/>
      <c r="H7" s="92"/>
      <c r="I7" s="92"/>
      <c r="J7" s="92"/>
      <c r="K7" s="97"/>
      <c r="N7" s="99"/>
      <c r="O7" s="100"/>
      <c r="P7" s="93"/>
      <c r="Q7" s="93"/>
      <c r="R7" s="93"/>
    </row>
    <row r="8" spans="1:30" x14ac:dyDescent="0.25">
      <c r="C8" s="93"/>
      <c r="K8" s="97"/>
    </row>
    <row r="9" spans="1:30" x14ac:dyDescent="0.25">
      <c r="A9" s="256" t="s">
        <v>18</v>
      </c>
      <c r="B9" s="258" t="s">
        <v>0</v>
      </c>
      <c r="C9" s="259"/>
      <c r="D9" s="259"/>
      <c r="E9" s="259"/>
      <c r="F9" s="259"/>
      <c r="G9" s="259"/>
      <c r="H9" s="259"/>
      <c r="I9" s="260"/>
      <c r="J9" s="249" t="s">
        <v>3</v>
      </c>
      <c r="K9" s="250"/>
      <c r="L9" s="251"/>
      <c r="M9" s="252" t="s">
        <v>19</v>
      </c>
      <c r="N9" s="253"/>
      <c r="O9" s="253"/>
      <c r="P9" s="253"/>
      <c r="Q9" s="253"/>
      <c r="R9" s="253"/>
      <c r="S9" s="253"/>
      <c r="T9" s="253"/>
      <c r="U9" s="253"/>
      <c r="V9" s="253"/>
      <c r="W9" s="105"/>
      <c r="X9" s="105"/>
      <c r="Y9" s="254" t="s">
        <v>20</v>
      </c>
      <c r="Z9" s="254"/>
      <c r="AA9" s="254"/>
      <c r="AB9" s="254"/>
    </row>
    <row r="10" spans="1:30" ht="63.75" x14ac:dyDescent="0.25">
      <c r="A10" s="256"/>
      <c r="B10" s="86" t="s">
        <v>21</v>
      </c>
      <c r="C10" s="86" t="s">
        <v>22</v>
      </c>
      <c r="D10" s="86" t="s">
        <v>23</v>
      </c>
      <c r="E10" s="86" t="s">
        <v>254</v>
      </c>
      <c r="F10" s="86" t="s">
        <v>255</v>
      </c>
      <c r="G10" s="86" t="s">
        <v>185</v>
      </c>
      <c r="H10" s="86" t="s">
        <v>186</v>
      </c>
      <c r="I10" s="86" t="s">
        <v>187</v>
      </c>
      <c r="J10" s="84" t="s">
        <v>24</v>
      </c>
      <c r="K10" s="84" t="s">
        <v>25</v>
      </c>
      <c r="L10" s="84" t="s">
        <v>26</v>
      </c>
      <c r="M10" s="103" t="s">
        <v>27</v>
      </c>
      <c r="N10" s="103" t="s">
        <v>28</v>
      </c>
      <c r="O10" s="103" t="s">
        <v>29</v>
      </c>
      <c r="P10" s="103" t="s">
        <v>30</v>
      </c>
      <c r="Q10" s="103" t="s">
        <v>188</v>
      </c>
      <c r="R10" s="103" t="s">
        <v>189</v>
      </c>
      <c r="S10" s="103" t="s">
        <v>137</v>
      </c>
      <c r="T10" s="103" t="s">
        <v>191</v>
      </c>
      <c r="U10" s="103" t="s">
        <v>31</v>
      </c>
      <c r="V10" s="103" t="s">
        <v>32</v>
      </c>
      <c r="W10" s="106" t="s">
        <v>250</v>
      </c>
      <c r="X10" s="106" t="s">
        <v>252</v>
      </c>
      <c r="Y10" s="101" t="s">
        <v>33</v>
      </c>
      <c r="Z10" s="101" t="s">
        <v>34</v>
      </c>
      <c r="AA10" s="102" t="s">
        <v>35</v>
      </c>
      <c r="AB10" s="101" t="s">
        <v>36</v>
      </c>
    </row>
    <row r="11" spans="1:30" x14ac:dyDescent="0.25">
      <c r="A11" s="25" t="s">
        <v>158</v>
      </c>
      <c r="B11" s="88">
        <f>ДДС!D15</f>
        <v>0</v>
      </c>
      <c r="C11" s="88">
        <f>B11</f>
        <v>0</v>
      </c>
      <c r="D11" s="87">
        <v>0</v>
      </c>
      <c r="E11" s="87">
        <f t="shared" ref="E11:E18" si="0">B11*0.3</f>
        <v>0</v>
      </c>
      <c r="F11" s="87">
        <f t="shared" ref="F11:F18" si="1">B11*0.7</f>
        <v>0</v>
      </c>
      <c r="G11" s="87">
        <f>F11*L2/12*2</f>
        <v>0</v>
      </c>
      <c r="H11" s="87"/>
      <c r="I11" s="87">
        <f>F11-H11</f>
        <v>0</v>
      </c>
      <c r="J11" s="85">
        <f t="shared" ref="J11:J58" si="2">B11</f>
        <v>0</v>
      </c>
      <c r="K11" s="85"/>
      <c r="L11" s="85">
        <f>J11/(1+$C$4)</f>
        <v>0</v>
      </c>
      <c r="M11" s="104">
        <f>L11</f>
        <v>0</v>
      </c>
      <c r="N11" s="104"/>
      <c r="O11" s="104"/>
      <c r="P11" s="104"/>
      <c r="Q11" s="104"/>
      <c r="R11" s="104"/>
      <c r="S11" s="104"/>
      <c r="T11" s="104"/>
      <c r="U11" s="104"/>
      <c r="V11" s="104"/>
      <c r="W11" s="89"/>
      <c r="X11" s="89"/>
      <c r="Y11" s="26">
        <f>X11+K11+R11-B11-O11-P11-V11-Q11-G11</f>
        <v>0</v>
      </c>
      <c r="Z11" s="28"/>
      <c r="AA11" s="29">
        <f>Y11-(-Y11-(-Y11*Z11))</f>
        <v>0</v>
      </c>
      <c r="AB11" s="27">
        <f>K11-V11</f>
        <v>0</v>
      </c>
    </row>
    <row r="12" spans="1:30" x14ac:dyDescent="0.25">
      <c r="A12" s="25" t="s">
        <v>159</v>
      </c>
      <c r="B12" s="88">
        <f>ДДС!E15</f>
        <v>0</v>
      </c>
      <c r="C12" s="88">
        <f t="shared" ref="C12:C58" si="3">C11-D12+B12</f>
        <v>0</v>
      </c>
      <c r="D12" s="87">
        <f>C11*$C$3/4</f>
        <v>0</v>
      </c>
      <c r="E12" s="87">
        <f t="shared" si="0"/>
        <v>0</v>
      </c>
      <c r="F12" s="87">
        <f t="shared" si="1"/>
        <v>0</v>
      </c>
      <c r="G12" s="87">
        <f>(F11+F12)*$L$2/4</f>
        <v>0</v>
      </c>
      <c r="H12" s="87"/>
      <c r="I12" s="87">
        <f>F12-H12+F11</f>
        <v>0</v>
      </c>
      <c r="J12" s="85">
        <f t="shared" si="2"/>
        <v>0</v>
      </c>
      <c r="K12" s="85"/>
      <c r="L12" s="85">
        <f t="shared" ref="L12:L57" si="4">J12/(1+$C$4)</f>
        <v>0</v>
      </c>
      <c r="M12" s="104">
        <f>M11+L12</f>
        <v>0</v>
      </c>
      <c r="N12" s="104"/>
      <c r="O12" s="104"/>
      <c r="P12" s="104"/>
      <c r="Q12" s="104"/>
      <c r="R12" s="104"/>
      <c r="S12" s="104"/>
      <c r="T12" s="104"/>
      <c r="U12" s="104"/>
      <c r="V12" s="104"/>
      <c r="W12" s="89"/>
      <c r="X12" s="89"/>
      <c r="Y12" s="26">
        <f>X12+K12+R12-B12-O12-P12-V12-Q12-G12</f>
        <v>0</v>
      </c>
      <c r="Z12" s="28"/>
      <c r="AA12" s="29">
        <f t="shared" ref="AA12:AA14" si="5">Y12-(-Y12-(-Y12*Z12))</f>
        <v>0</v>
      </c>
      <c r="AB12" s="27">
        <f t="shared" ref="AB12:AB58" si="6">K12-V12</f>
        <v>0</v>
      </c>
    </row>
    <row r="13" spans="1:30" x14ac:dyDescent="0.25">
      <c r="A13" s="25" t="s">
        <v>160</v>
      </c>
      <c r="B13" s="88">
        <f>ДДС!F15</f>
        <v>21685177.199333336</v>
      </c>
      <c r="C13" s="88">
        <f t="shared" si="3"/>
        <v>21685177.199333336</v>
      </c>
      <c r="D13" s="87">
        <f t="shared" ref="D13:D58" si="7">C12*$C$3/4</f>
        <v>0</v>
      </c>
      <c r="E13" s="87">
        <f t="shared" si="0"/>
        <v>6505553.1598000005</v>
      </c>
      <c r="F13" s="87">
        <f t="shared" si="1"/>
        <v>15179624.039533334</v>
      </c>
      <c r="G13" s="87">
        <f>(F12+F13+F11)*$L$2/4</f>
        <v>379490.60098833335</v>
      </c>
      <c r="H13" s="87"/>
      <c r="I13" s="87">
        <f>I12+F13</f>
        <v>15179624.039533334</v>
      </c>
      <c r="J13" s="85">
        <f t="shared" si="2"/>
        <v>21685177.199333336</v>
      </c>
      <c r="K13" s="85"/>
      <c r="L13" s="85">
        <f>J13/(1+$C$4)</f>
        <v>18377268.812994353</v>
      </c>
      <c r="M13" s="104">
        <f t="shared" ref="M13:M17" si="8">M12+L13</f>
        <v>18377268.812994353</v>
      </c>
      <c r="N13" s="104"/>
      <c r="O13" s="104"/>
      <c r="P13" s="104">
        <f t="shared" ref="P13:P25" si="9">$G$2*$G$3*$G$4/4</f>
        <v>215.46</v>
      </c>
      <c r="Q13" s="104"/>
      <c r="R13" s="104"/>
      <c r="S13" s="104"/>
      <c r="T13" s="104"/>
      <c r="U13" s="104"/>
      <c r="V13" s="104"/>
      <c r="W13" s="89"/>
      <c r="X13" s="89"/>
      <c r="Y13" s="26">
        <f t="shared" ref="Y13:Y58" si="10">X13+K13-B13-O13-P13-V13-Q13-G13</f>
        <v>-22064883.260321669</v>
      </c>
      <c r="Z13" s="28">
        <f>1/(1+$C$3)^0</f>
        <v>1</v>
      </c>
      <c r="AA13" s="29">
        <f t="shared" si="5"/>
        <v>-22064883.260321669</v>
      </c>
      <c r="AB13" s="27">
        <f t="shared" si="6"/>
        <v>0</v>
      </c>
    </row>
    <row r="14" spans="1:30" x14ac:dyDescent="0.25">
      <c r="A14" s="25" t="s">
        <v>161</v>
      </c>
      <c r="B14" s="88">
        <f>ДДС!G15</f>
        <v>21685177.199333336</v>
      </c>
      <c r="C14" s="88">
        <f t="shared" si="3"/>
        <v>42814672.673528314</v>
      </c>
      <c r="D14" s="87">
        <f t="shared" si="7"/>
        <v>555681.72513835575</v>
      </c>
      <c r="E14" s="87">
        <f t="shared" si="0"/>
        <v>6505553.1598000005</v>
      </c>
      <c r="F14" s="87">
        <f t="shared" si="1"/>
        <v>15179624.039533334</v>
      </c>
      <c r="G14" s="87">
        <f>(F13+F14+F12+F11)*$L$2/4</f>
        <v>758981.20197666669</v>
      </c>
      <c r="H14" s="87"/>
      <c r="I14" s="87">
        <f t="shared" ref="I14:I17" si="11">I13+F14</f>
        <v>30359248.079066668</v>
      </c>
      <c r="J14" s="85">
        <f t="shared" si="2"/>
        <v>21685177.199333336</v>
      </c>
      <c r="K14" s="85"/>
      <c r="L14" s="85">
        <f t="shared" si="4"/>
        <v>18377268.812994353</v>
      </c>
      <c r="M14" s="104">
        <f t="shared" si="8"/>
        <v>36754537.625988707</v>
      </c>
      <c r="N14" s="104"/>
      <c r="O14" s="104"/>
      <c r="P14" s="104">
        <f t="shared" si="9"/>
        <v>215.46</v>
      </c>
      <c r="Q14" s="104"/>
      <c r="R14" s="104"/>
      <c r="S14" s="104"/>
      <c r="T14" s="104"/>
      <c r="U14" s="104"/>
      <c r="V14" s="104"/>
      <c r="W14" s="89"/>
      <c r="X14" s="89"/>
      <c r="Y14" s="26">
        <f t="shared" si="10"/>
        <v>-22444373.861310005</v>
      </c>
      <c r="Z14" s="28">
        <f>1/(1+$C$3)^0</f>
        <v>1</v>
      </c>
      <c r="AA14" s="29">
        <f t="shared" si="5"/>
        <v>-22444373.861310005</v>
      </c>
      <c r="AB14" s="27">
        <f t="shared" si="6"/>
        <v>0</v>
      </c>
    </row>
    <row r="15" spans="1:30" x14ac:dyDescent="0.25">
      <c r="A15" s="25" t="s">
        <v>162</v>
      </c>
      <c r="B15" s="88">
        <f>ДДС!H15</f>
        <v>21685177.199333336</v>
      </c>
      <c r="C15" s="88">
        <f t="shared" si="3"/>
        <v>63402725.742688909</v>
      </c>
      <c r="D15" s="87">
        <f t="shared" si="7"/>
        <v>1097124.1301727358</v>
      </c>
      <c r="E15" s="87">
        <f t="shared" si="0"/>
        <v>6505553.1598000005</v>
      </c>
      <c r="F15" s="87">
        <f t="shared" si="1"/>
        <v>15179624.039533334</v>
      </c>
      <c r="G15" s="87">
        <f>(F14+F15+F13+F12+F11)*$L$2/4</f>
        <v>1138471.802965</v>
      </c>
      <c r="H15" s="87"/>
      <c r="I15" s="87">
        <f t="shared" si="11"/>
        <v>45538872.118600003</v>
      </c>
      <c r="J15" s="85">
        <f t="shared" si="2"/>
        <v>21685177.199333336</v>
      </c>
      <c r="K15" s="85"/>
      <c r="L15" s="85">
        <f t="shared" si="4"/>
        <v>18377268.812994353</v>
      </c>
      <c r="M15" s="104">
        <f t="shared" si="8"/>
        <v>55131806.43898306</v>
      </c>
      <c r="N15" s="104"/>
      <c r="O15" s="104"/>
      <c r="P15" s="104">
        <f t="shared" si="9"/>
        <v>215.46</v>
      </c>
      <c r="Q15" s="104"/>
      <c r="R15" s="104"/>
      <c r="S15" s="104"/>
      <c r="T15" s="104"/>
      <c r="U15" s="104"/>
      <c r="V15" s="104"/>
      <c r="W15" s="89"/>
      <c r="X15" s="89"/>
      <c r="Y15" s="26">
        <f t="shared" si="10"/>
        <v>-22823864.462298337</v>
      </c>
      <c r="Z15" s="28">
        <f>1/(1+$C$3)^1</f>
        <v>0.90702962119695185</v>
      </c>
      <c r="AA15" s="29">
        <f>Y15-(-Y15-(-Y15*Z15))</f>
        <v>-24945807.787107643</v>
      </c>
      <c r="AB15" s="27">
        <f t="shared" si="6"/>
        <v>0</v>
      </c>
      <c r="AC15" s="115"/>
      <c r="AD15" s="115"/>
    </row>
    <row r="16" spans="1:30" x14ac:dyDescent="0.25">
      <c r="A16" s="25" t="s">
        <v>163</v>
      </c>
      <c r="B16" s="88">
        <f>ДДС!I15</f>
        <v>195166594.79400003</v>
      </c>
      <c r="C16" s="88">
        <f t="shared" si="3"/>
        <v>256944628.43962577</v>
      </c>
      <c r="D16" s="87">
        <f t="shared" si="7"/>
        <v>1624692.0970631742</v>
      </c>
      <c r="E16" s="87">
        <f t="shared" si="0"/>
        <v>58549978.438200004</v>
      </c>
      <c r="F16" s="87">
        <f t="shared" si="1"/>
        <v>136616616.3558</v>
      </c>
      <c r="G16" s="87">
        <f>(F15+F16+F14+F13+F12+F11)*$L$2/4</f>
        <v>4553887.2118600011</v>
      </c>
      <c r="H16" s="87"/>
      <c r="I16" s="87">
        <f t="shared" si="11"/>
        <v>182155488.47440001</v>
      </c>
      <c r="J16" s="85">
        <f t="shared" si="2"/>
        <v>195166594.79400003</v>
      </c>
      <c r="K16" s="85"/>
      <c r="L16" s="85">
        <f t="shared" si="4"/>
        <v>165395419.31694919</v>
      </c>
      <c r="M16" s="104">
        <f t="shared" si="8"/>
        <v>220527225.75593224</v>
      </c>
      <c r="N16" s="104"/>
      <c r="O16" s="104"/>
      <c r="P16" s="104">
        <f t="shared" si="9"/>
        <v>215.46</v>
      </c>
      <c r="Q16" s="104"/>
      <c r="R16" s="104"/>
      <c r="S16" s="104"/>
      <c r="T16" s="104"/>
      <c r="U16" s="104"/>
      <c r="V16" s="104"/>
      <c r="W16" s="89"/>
      <c r="X16" s="89"/>
      <c r="Y16" s="26">
        <f t="shared" si="10"/>
        <v>-199720697.46586004</v>
      </c>
      <c r="Z16" s="28">
        <f>1/(1+$C$3)^1</f>
        <v>0.90702962119695185</v>
      </c>
      <c r="AA16" s="29">
        <f t="shared" ref="AA16:AA18" si="12">Y16-(-Y16-(-Y16*Z16))</f>
        <v>-218288806.36407003</v>
      </c>
      <c r="AB16" s="27">
        <f t="shared" si="6"/>
        <v>0</v>
      </c>
      <c r="AD16" s="115"/>
    </row>
    <row r="17" spans="1:30" x14ac:dyDescent="0.25">
      <c r="A17" s="25" t="s">
        <v>164</v>
      </c>
      <c r="B17" s="88">
        <f>ДДС!J15</f>
        <v>195166594.79400003</v>
      </c>
      <c r="C17" s="88">
        <f t="shared" si="3"/>
        <v>445527028.27483368</v>
      </c>
      <c r="D17" s="87">
        <f t="shared" si="7"/>
        <v>6584194.9587921519</v>
      </c>
      <c r="E17" s="87">
        <f t="shared" si="0"/>
        <v>58549978.438200004</v>
      </c>
      <c r="F17" s="87">
        <f t="shared" si="1"/>
        <v>136616616.3558</v>
      </c>
      <c r="G17" s="87">
        <f>(F16+F17+F15+F14+F13+F12+F11)*$L$2/4</f>
        <v>7969302.6207549991</v>
      </c>
      <c r="H17" s="87"/>
      <c r="I17" s="87">
        <f t="shared" si="11"/>
        <v>318772104.83020002</v>
      </c>
      <c r="J17" s="85">
        <f t="shared" si="2"/>
        <v>195166594.79400003</v>
      </c>
      <c r="K17" s="85"/>
      <c r="L17" s="85">
        <f t="shared" si="4"/>
        <v>165395419.31694919</v>
      </c>
      <c r="M17" s="104">
        <f t="shared" si="8"/>
        <v>385922645.07288146</v>
      </c>
      <c r="N17" s="104"/>
      <c r="O17" s="104"/>
      <c r="P17" s="104">
        <f t="shared" si="9"/>
        <v>215.46</v>
      </c>
      <c r="Q17" s="104"/>
      <c r="R17" s="104"/>
      <c r="S17" s="104"/>
      <c r="T17" s="104"/>
      <c r="U17" s="104"/>
      <c r="V17" s="104"/>
      <c r="W17" s="89"/>
      <c r="X17" s="89"/>
      <c r="Y17" s="26">
        <f t="shared" si="10"/>
        <v>-203136112.87475502</v>
      </c>
      <c r="Z17" s="28">
        <f>1/(1+$C$3)^1</f>
        <v>0.90702962119695185</v>
      </c>
      <c r="AA17" s="29">
        <f t="shared" si="12"/>
        <v>-222021754.23729974</v>
      </c>
      <c r="AB17" s="27">
        <f t="shared" si="6"/>
        <v>0</v>
      </c>
      <c r="AD17" s="115"/>
    </row>
    <row r="18" spans="1:30" x14ac:dyDescent="0.25">
      <c r="A18" s="25" t="s">
        <v>165</v>
      </c>
      <c r="B18" s="88">
        <f>ДДС!K15</f>
        <v>195166594.79400003</v>
      </c>
      <c r="C18" s="88">
        <f t="shared" si="3"/>
        <v>629277012.2940259</v>
      </c>
      <c r="D18" s="87">
        <f t="shared" si="7"/>
        <v>11416610.774807762</v>
      </c>
      <c r="E18" s="87">
        <f t="shared" si="0"/>
        <v>58549978.438200004</v>
      </c>
      <c r="F18" s="87">
        <f t="shared" si="1"/>
        <v>136616616.3558</v>
      </c>
      <c r="G18" s="87">
        <f>(F17+F18+F16+F15+F14+F13+F12+F11)*$L$2/4</f>
        <v>11384718.029649999</v>
      </c>
      <c r="H18" s="87"/>
      <c r="I18" s="87">
        <f>I17+F18</f>
        <v>455388721.18599999</v>
      </c>
      <c r="J18" s="85">
        <f t="shared" si="2"/>
        <v>195166594.79400003</v>
      </c>
      <c r="K18" s="85"/>
      <c r="L18" s="85">
        <f t="shared" si="4"/>
        <v>165395419.31694919</v>
      </c>
      <c r="M18" s="104">
        <f>M17+L18</f>
        <v>551318064.38983059</v>
      </c>
      <c r="N18" s="104"/>
      <c r="O18" s="104"/>
      <c r="P18" s="104">
        <f t="shared" si="9"/>
        <v>215.46</v>
      </c>
      <c r="Q18" s="104"/>
      <c r="R18" s="104"/>
      <c r="S18" s="104"/>
      <c r="T18" s="104"/>
      <c r="U18" s="104"/>
      <c r="V18" s="104"/>
      <c r="W18" s="89"/>
      <c r="X18" s="89"/>
      <c r="Y18" s="26">
        <f t="shared" si="10"/>
        <v>-206551528.28365004</v>
      </c>
      <c r="Z18" s="28">
        <f>1/(1+$C$3)^1</f>
        <v>0.90702962119695185</v>
      </c>
      <c r="AA18" s="29">
        <f t="shared" si="12"/>
        <v>-225754702.11052951</v>
      </c>
      <c r="AB18" s="27">
        <f t="shared" si="6"/>
        <v>0</v>
      </c>
    </row>
    <row r="19" spans="1:30" x14ac:dyDescent="0.25">
      <c r="A19" s="25" t="s">
        <v>70</v>
      </c>
      <c r="B19" s="88"/>
      <c r="C19" s="88">
        <f t="shared" si="3"/>
        <v>613151816.14888191</v>
      </c>
      <c r="D19" s="87">
        <f t="shared" si="7"/>
        <v>16125196.145144006</v>
      </c>
      <c r="E19" s="87"/>
      <c r="F19" s="87"/>
      <c r="G19" s="87">
        <f>(SUM($F$11:$F$18))*$L$2/4</f>
        <v>11384718.029650001</v>
      </c>
      <c r="H19" s="87">
        <f>(F11+F12+F13+F14+F15+F16+F17+F18)/($L$3-2)/4</f>
        <v>14230897.5370625</v>
      </c>
      <c r="I19" s="87">
        <f>I18</f>
        <v>455388721.18599999</v>
      </c>
      <c r="J19" s="85">
        <f t="shared" si="2"/>
        <v>0</v>
      </c>
      <c r="K19" s="85">
        <f>SUM(J11:J18)-SUM(L11:L18)</f>
        <v>99237251.59016943</v>
      </c>
      <c r="L19" s="85">
        <f t="shared" si="4"/>
        <v>0</v>
      </c>
      <c r="M19" s="104">
        <f>M18-N19</f>
        <v>545804883.74593234</v>
      </c>
      <c r="N19" s="104">
        <f>$L$59/$C$5/4</f>
        <v>5513180.6438983055</v>
      </c>
      <c r="O19" s="104">
        <f>M19*$C$6/4</f>
        <v>3001926.8606026275</v>
      </c>
      <c r="P19" s="104">
        <f t="shared" si="9"/>
        <v>215.46</v>
      </c>
      <c r="Q19" s="104">
        <f>'ПРОГНОЗ ДОХОДОВ И РАСХОДОВ НДС'!D95</f>
        <v>6554445.6674999995</v>
      </c>
      <c r="R19" s="104">
        <f>'ПРОГНОЗ ДОХОДОВ И РАСХОДОВ НДС'!D3</f>
        <v>2349000</v>
      </c>
      <c r="S19" s="104"/>
      <c r="T19" s="104">
        <f>R19*0.18-Q19*0.18</f>
        <v>-756980.22014999995</v>
      </c>
      <c r="U19" s="104">
        <f>W19/(1+$C$4)*$C$4</f>
        <v>7200025.788915338</v>
      </c>
      <c r="V19" s="104">
        <f>U19+T19</f>
        <v>6443045.5687653385</v>
      </c>
      <c r="W19" s="89">
        <f>(B59+D59+G59-K59+O59+P59+Q59+S59+T59)/40*1.18</f>
        <v>47200169.060667217</v>
      </c>
      <c r="X19" s="89">
        <f>W19*$L$4</f>
        <v>46256165.679453872</v>
      </c>
      <c r="Y19" s="26">
        <f t="shared" si="10"/>
        <v>118109065.68310533</v>
      </c>
      <c r="Z19" s="28">
        <f>1/(1+$C$3)^2</f>
        <v>0.82270273372868585</v>
      </c>
      <c r="AA19" s="29">
        <f t="shared" ref="AA19:AA22" si="13">Y19*Z19</f>
        <v>97168651.215631679</v>
      </c>
      <c r="AB19" s="27">
        <f>K19-V19</f>
        <v>92794206.021404088</v>
      </c>
    </row>
    <row r="20" spans="1:30" x14ac:dyDescent="0.25">
      <c r="A20" s="25" t="s">
        <v>71</v>
      </c>
      <c r="B20" s="88"/>
      <c r="C20" s="88">
        <f t="shared" si="3"/>
        <v>597439827.45552683</v>
      </c>
      <c r="D20" s="87">
        <f t="shared" si="7"/>
        <v>15711988.693355074</v>
      </c>
      <c r="E20" s="87"/>
      <c r="F20" s="87"/>
      <c r="G20" s="87">
        <f>(SUM($F$11:$F$18)-$H$19*1)*$L$2/4</f>
        <v>11028945.591223437</v>
      </c>
      <c r="H20" s="87">
        <f>H19</f>
        <v>14230897.5370625</v>
      </c>
      <c r="I20" s="87">
        <f>I19-H20</f>
        <v>441157823.64893746</v>
      </c>
      <c r="J20" s="85">
        <f t="shared" si="2"/>
        <v>0</v>
      </c>
      <c r="K20" s="85"/>
      <c r="L20" s="85">
        <f t="shared" si="4"/>
        <v>0</v>
      </c>
      <c r="M20" s="104">
        <f>M19-N20</f>
        <v>540291703.10203409</v>
      </c>
      <c r="N20" s="104">
        <f t="shared" ref="N20:N58" si="14">$L$59/$C$5/4</f>
        <v>5513180.6438983055</v>
      </c>
      <c r="O20" s="104">
        <f t="shared" ref="O20:O21" si="15">M20*$C$6/4</f>
        <v>2971604.3670611875</v>
      </c>
      <c r="P20" s="104">
        <f t="shared" si="9"/>
        <v>215.46</v>
      </c>
      <c r="Q20" s="104">
        <f>'ПРОГНОЗ ДОХОДОВ И РАСХОДОВ НДС'!E95</f>
        <v>6180214.5774999997</v>
      </c>
      <c r="R20" s="104">
        <f>'ПРОГНОЗ ДОХОДОВ И РАСХОДОВ НДС'!E3</f>
        <v>5481000</v>
      </c>
      <c r="S20" s="104"/>
      <c r="T20" s="104">
        <f t="shared" ref="T20:T58" si="16">R20*0.18-Q20*0.18</f>
        <v>-125858.62394999992</v>
      </c>
      <c r="U20" s="104">
        <f t="shared" ref="U20:U58" si="17">W20/(1+$C$4)*$C$4</f>
        <v>7200025.788915338</v>
      </c>
      <c r="V20" s="104">
        <f t="shared" ref="V20:V58" si="18">U20+T20</f>
        <v>7074167.1649653381</v>
      </c>
      <c r="W20" s="89">
        <f>W19</f>
        <v>47200169.060667217</v>
      </c>
      <c r="X20" s="89">
        <f t="shared" ref="X20:X58" si="19">W20*$L$4</f>
        <v>46256165.679453872</v>
      </c>
      <c r="Y20" s="26">
        <f t="shared" si="10"/>
        <v>19001018.518703904</v>
      </c>
      <c r="Z20" s="28">
        <f>1/(1+$C$3)^2</f>
        <v>0.82270273372868585</v>
      </c>
      <c r="AA20" s="29">
        <f t="shared" si="13"/>
        <v>15632189.878967088</v>
      </c>
      <c r="AB20" s="27">
        <f>K20-V20</f>
        <v>-7074167.1649653381</v>
      </c>
    </row>
    <row r="21" spans="1:30" x14ac:dyDescent="0.25">
      <c r="A21" s="25" t="s">
        <v>72</v>
      </c>
      <c r="B21" s="88"/>
      <c r="C21" s="88">
        <f t="shared" si="3"/>
        <v>582130457.79093146</v>
      </c>
      <c r="D21" s="87">
        <f t="shared" si="7"/>
        <v>15309369.66459536</v>
      </c>
      <c r="E21" s="87"/>
      <c r="F21" s="87"/>
      <c r="G21" s="87">
        <f>(SUM($F$11:$F$18)-$H$19*2)*$L$2/4</f>
        <v>10673173.152796876</v>
      </c>
      <c r="H21" s="87">
        <f t="shared" ref="H21:H50" si="20">H20</f>
        <v>14230897.5370625</v>
      </c>
      <c r="I21" s="87">
        <f>I20-H21</f>
        <v>426926926.11187494</v>
      </c>
      <c r="J21" s="85">
        <f t="shared" si="2"/>
        <v>0</v>
      </c>
      <c r="K21" s="85"/>
      <c r="L21" s="85">
        <f t="shared" si="4"/>
        <v>0</v>
      </c>
      <c r="M21" s="104">
        <f t="shared" ref="M21:M58" si="21">M20-N21</f>
        <v>534778522.45813578</v>
      </c>
      <c r="N21" s="104">
        <f t="shared" si="14"/>
        <v>5513180.6438983055</v>
      </c>
      <c r="O21" s="104">
        <f t="shared" si="15"/>
        <v>2941281.8735197466</v>
      </c>
      <c r="P21" s="104">
        <f>$G$2*$G$3*$G$4/4</f>
        <v>215.46</v>
      </c>
      <c r="Q21" s="104">
        <f>'ПРОГНОЗ ДОХОДОВ И РАСХОДОВ НДС'!F95</f>
        <v>6180214.5774999997</v>
      </c>
      <c r="R21" s="104">
        <f>'ПРОГНОЗ ДОХОДОВ И РАСХОДОВ НДС'!F3</f>
        <v>5481000</v>
      </c>
      <c r="S21" s="104"/>
      <c r="T21" s="104">
        <f t="shared" si="16"/>
        <v>-125858.62394999992</v>
      </c>
      <c r="U21" s="104">
        <f t="shared" si="17"/>
        <v>7200025.788915338</v>
      </c>
      <c r="V21" s="104">
        <f t="shared" si="18"/>
        <v>7074167.1649653381</v>
      </c>
      <c r="W21" s="89">
        <f>W20</f>
        <v>47200169.060667217</v>
      </c>
      <c r="X21" s="89">
        <f t="shared" si="19"/>
        <v>46256165.679453872</v>
      </c>
      <c r="Y21" s="26">
        <f t="shared" si="10"/>
        <v>19387113.450671908</v>
      </c>
      <c r="Z21" s="28">
        <f>1/(1+$C$3)^2</f>
        <v>0.82270273372868585</v>
      </c>
      <c r="AA21" s="29">
        <f t="shared" si="13"/>
        <v>15949831.234975955</v>
      </c>
      <c r="AB21" s="27">
        <f t="shared" si="6"/>
        <v>-7074167.1649653381</v>
      </c>
    </row>
    <row r="22" spans="1:30" x14ac:dyDescent="0.25">
      <c r="A22" s="25" t="s">
        <v>73</v>
      </c>
      <c r="B22" s="88"/>
      <c r="C22" s="88">
        <f t="shared" si="3"/>
        <v>567213390.05994749</v>
      </c>
      <c r="D22" s="87">
        <f t="shared" si="7"/>
        <v>14917067.730984012</v>
      </c>
      <c r="E22" s="87"/>
      <c r="F22" s="87"/>
      <c r="G22" s="87">
        <f>(SUM($F$11:$F$18)-$H$19*3)*$L$2/4</f>
        <v>10317400.714370312</v>
      </c>
      <c r="H22" s="87">
        <f t="shared" si="20"/>
        <v>14230897.5370625</v>
      </c>
      <c r="I22" s="87">
        <f t="shared" ref="I22:I42" si="22">I21-H22</f>
        <v>412696028.57481241</v>
      </c>
      <c r="J22" s="85">
        <f t="shared" si="2"/>
        <v>0</v>
      </c>
      <c r="K22" s="85"/>
      <c r="L22" s="85">
        <f t="shared" si="4"/>
        <v>0</v>
      </c>
      <c r="M22" s="104">
        <f t="shared" si="21"/>
        <v>529265341.81423748</v>
      </c>
      <c r="N22" s="104">
        <f t="shared" si="14"/>
        <v>5513180.6438983055</v>
      </c>
      <c r="O22" s="104">
        <f>M22*$C$6/4</f>
        <v>2910959.3799783061</v>
      </c>
      <c r="P22" s="104">
        <f t="shared" si="9"/>
        <v>215.46</v>
      </c>
      <c r="Q22" s="104">
        <f>'ПРОГНОЗ ДОХОДОВ И РАСХОДОВ НДС'!G95</f>
        <v>6795883.107499999</v>
      </c>
      <c r="R22" s="104">
        <f>'ПРОГНОЗ ДОХОДОВ И РАСХОДОВ НДС'!G3</f>
        <v>2349000</v>
      </c>
      <c r="S22" s="104"/>
      <c r="T22" s="104">
        <f t="shared" si="16"/>
        <v>-800438.95934999967</v>
      </c>
      <c r="U22" s="104">
        <f t="shared" si="17"/>
        <v>7200025.788915338</v>
      </c>
      <c r="V22" s="104">
        <f t="shared" si="18"/>
        <v>6399586.8295653388</v>
      </c>
      <c r="W22" s="89">
        <f t="shared" ref="W22:W58" si="23">W21</f>
        <v>47200169.060667217</v>
      </c>
      <c r="X22" s="89">
        <f t="shared" si="19"/>
        <v>46256165.679453872</v>
      </c>
      <c r="Y22" s="26">
        <f t="shared" si="10"/>
        <v>19832120.188039914</v>
      </c>
      <c r="Z22" s="28">
        <f>1/(1+$C$3)^2</f>
        <v>0.82270273372868585</v>
      </c>
      <c r="AA22" s="29">
        <f t="shared" si="13"/>
        <v>16315939.494336296</v>
      </c>
      <c r="AB22" s="27">
        <f t="shared" si="6"/>
        <v>-6399586.8295653388</v>
      </c>
    </row>
    <row r="23" spans="1:30" x14ac:dyDescent="0.25">
      <c r="A23" s="25" t="s">
        <v>74</v>
      </c>
      <c r="B23" s="88"/>
      <c r="C23" s="88">
        <f t="shared" si="3"/>
        <v>552678571.5425421</v>
      </c>
      <c r="D23" s="87">
        <f t="shared" si="7"/>
        <v>14534818.517405361</v>
      </c>
      <c r="E23" s="87"/>
      <c r="F23" s="87"/>
      <c r="G23" s="87">
        <f>(SUM($F$11:$F$18)-$H$19*4)*$L$2/4</f>
        <v>9961628.2759437505</v>
      </c>
      <c r="H23" s="87">
        <f t="shared" si="20"/>
        <v>14230897.5370625</v>
      </c>
      <c r="I23" s="87">
        <f t="shared" si="22"/>
        <v>398465131.03774989</v>
      </c>
      <c r="J23" s="85">
        <f t="shared" si="2"/>
        <v>0</v>
      </c>
      <c r="K23" s="85"/>
      <c r="L23" s="85">
        <f t="shared" si="4"/>
        <v>0</v>
      </c>
      <c r="M23" s="104">
        <f t="shared" si="21"/>
        <v>523752161.17033917</v>
      </c>
      <c r="N23" s="104">
        <f t="shared" si="14"/>
        <v>5513180.6438983055</v>
      </c>
      <c r="O23" s="104">
        <f t="shared" ref="O23:O58" si="24">M23*$C$6/4</f>
        <v>2880636.8864368652</v>
      </c>
      <c r="P23" s="104">
        <f t="shared" si="9"/>
        <v>215.46</v>
      </c>
      <c r="Q23" s="104">
        <f>'ПРОГНОЗ ДОХОДОВ И РАСХОДОВ НДС'!H95</f>
        <v>8690209.4147999994</v>
      </c>
      <c r="R23" s="104">
        <f>'ПРОГНОЗ ДОХОДОВ И РАСХОДОВ НДС'!H3</f>
        <v>2564640</v>
      </c>
      <c r="S23" s="104"/>
      <c r="T23" s="104">
        <f t="shared" si="16"/>
        <v>-1102602.4946639999</v>
      </c>
      <c r="U23" s="104">
        <f t="shared" si="17"/>
        <v>7200025.788915338</v>
      </c>
      <c r="V23" s="104">
        <f t="shared" si="18"/>
        <v>6097423.2942513376</v>
      </c>
      <c r="W23" s="89">
        <f t="shared" si="23"/>
        <v>47200169.060667217</v>
      </c>
      <c r="X23" s="89">
        <f t="shared" si="19"/>
        <v>46256165.679453872</v>
      </c>
      <c r="Y23" s="26">
        <f t="shared" si="10"/>
        <v>18626052.348021917</v>
      </c>
      <c r="Z23" s="28">
        <f>1/(1+$C$3)^3</f>
        <v>0.74621574893162668</v>
      </c>
      <c r="AA23" s="29">
        <f t="shared" ref="AA23:AA58" si="25">Y23*Z23</f>
        <v>13899053.602518858</v>
      </c>
      <c r="AB23" s="27">
        <f t="shared" si="6"/>
        <v>-6097423.2942513376</v>
      </c>
    </row>
    <row r="24" spans="1:30" x14ac:dyDescent="0.25">
      <c r="A24" s="25" t="s">
        <v>75</v>
      </c>
      <c r="B24" s="88"/>
      <c r="C24" s="88">
        <f t="shared" si="3"/>
        <v>538516207.11919749</v>
      </c>
      <c r="D24" s="87">
        <f t="shared" si="7"/>
        <v>14162364.423344601</v>
      </c>
      <c r="E24" s="87"/>
      <c r="F24" s="87"/>
      <c r="G24" s="87">
        <f>(SUM($F$11:$F$18)-$H$19*5)*$L$2/4</f>
        <v>9605855.837517187</v>
      </c>
      <c r="H24" s="87">
        <f t="shared" si="20"/>
        <v>14230897.5370625</v>
      </c>
      <c r="I24" s="87">
        <f t="shared" si="22"/>
        <v>384234233.50068736</v>
      </c>
      <c r="J24" s="85">
        <f t="shared" si="2"/>
        <v>0</v>
      </c>
      <c r="K24" s="85"/>
      <c r="L24" s="85">
        <f t="shared" si="4"/>
        <v>0</v>
      </c>
      <c r="M24" s="104">
        <f t="shared" si="21"/>
        <v>518238980.52644086</v>
      </c>
      <c r="N24" s="104">
        <f t="shared" si="14"/>
        <v>5513180.6438983055</v>
      </c>
      <c r="O24" s="104">
        <f t="shared" si="24"/>
        <v>2850314.3928954247</v>
      </c>
      <c r="P24" s="104">
        <f t="shared" si="9"/>
        <v>215.46</v>
      </c>
      <c r="Q24" s="104">
        <f>'ПРОГНОЗ ДОХОДОВ И РАСХОДОВ НДС'!I95</f>
        <v>6540013.2161999997</v>
      </c>
      <c r="R24" s="104">
        <f>'ПРОГНОЗ ДОХОДОВ И РАСХОДОВ НДС'!I3</f>
        <v>5984159.9999999991</v>
      </c>
      <c r="S24" s="104"/>
      <c r="T24" s="104">
        <f t="shared" si="16"/>
        <v>-100053.57891599997</v>
      </c>
      <c r="U24" s="104">
        <f t="shared" si="17"/>
        <v>7200025.788915338</v>
      </c>
      <c r="V24" s="104">
        <f t="shared" si="18"/>
        <v>7099972.2099993378</v>
      </c>
      <c r="W24" s="89">
        <f t="shared" si="23"/>
        <v>47200169.060667217</v>
      </c>
      <c r="X24" s="89">
        <f t="shared" si="19"/>
        <v>46256165.679453872</v>
      </c>
      <c r="Y24" s="26">
        <f t="shared" si="10"/>
        <v>20159794.562841922</v>
      </c>
      <c r="Z24" s="28">
        <f>1/(1+$C$3)^3</f>
        <v>0.74621574893162668</v>
      </c>
      <c r="AA24" s="29">
        <f t="shared" si="25"/>
        <v>15043556.198018821</v>
      </c>
      <c r="AB24" s="27">
        <f t="shared" si="6"/>
        <v>-7099972.2099993378</v>
      </c>
    </row>
    <row r="25" spans="1:30" x14ac:dyDescent="0.25">
      <c r="A25" s="25" t="s">
        <v>76</v>
      </c>
      <c r="B25" s="88"/>
      <c r="C25" s="88">
        <f t="shared" si="3"/>
        <v>524716752.66990852</v>
      </c>
      <c r="D25" s="87">
        <f t="shared" si="7"/>
        <v>13799454.449288951</v>
      </c>
      <c r="E25" s="87"/>
      <c r="F25" s="87"/>
      <c r="G25" s="87">
        <f>(SUM($F$11:$F$18)-$H$19*6)*$L$2/4</f>
        <v>9250083.3990906235</v>
      </c>
      <c r="H25" s="87">
        <f t="shared" si="20"/>
        <v>14230897.5370625</v>
      </c>
      <c r="I25" s="87">
        <f t="shared" si="22"/>
        <v>370003335.96362484</v>
      </c>
      <c r="J25" s="85">
        <f t="shared" si="2"/>
        <v>0</v>
      </c>
      <c r="K25" s="85"/>
      <c r="L25" s="85">
        <f t="shared" si="4"/>
        <v>0</v>
      </c>
      <c r="M25" s="104">
        <f t="shared" si="21"/>
        <v>512725799.88254255</v>
      </c>
      <c r="N25" s="104">
        <f t="shared" si="14"/>
        <v>5513180.6438983055</v>
      </c>
      <c r="O25" s="104">
        <f t="shared" si="24"/>
        <v>2819991.8993539838</v>
      </c>
      <c r="P25" s="104">
        <f t="shared" si="9"/>
        <v>215.46</v>
      </c>
      <c r="Q25" s="104">
        <f>'ПРОГНОЗ ДОХОДОВ И РАСХОДОВ НДС'!J95</f>
        <v>6540013.2161999997</v>
      </c>
      <c r="R25" s="104">
        <f>'ПРОГНОЗ ДОХОДОВ И РАСХОДОВ НДС'!J3</f>
        <v>5984159.9999999991</v>
      </c>
      <c r="S25" s="104"/>
      <c r="T25" s="104">
        <f t="shared" si="16"/>
        <v>-100053.57891599997</v>
      </c>
      <c r="U25" s="104">
        <f t="shared" si="17"/>
        <v>7200025.788915338</v>
      </c>
      <c r="V25" s="104">
        <f t="shared" si="18"/>
        <v>7099972.2099993378</v>
      </c>
      <c r="W25" s="89">
        <f t="shared" si="23"/>
        <v>47200169.060667217</v>
      </c>
      <c r="X25" s="89">
        <f t="shared" si="19"/>
        <v>46256165.679453872</v>
      </c>
      <c r="Y25" s="26">
        <f t="shared" si="10"/>
        <v>20545889.494809926</v>
      </c>
      <c r="Z25" s="28">
        <f>1/(1+$C$3)^3</f>
        <v>0.74621574893162668</v>
      </c>
      <c r="AA25" s="29">
        <f t="shared" si="25"/>
        <v>15331666.316836029</v>
      </c>
      <c r="AB25" s="27">
        <f t="shared" si="6"/>
        <v>-7099972.2099993378</v>
      </c>
    </row>
    <row r="26" spans="1:30" x14ac:dyDescent="0.25">
      <c r="A26" s="25" t="s">
        <v>77</v>
      </c>
      <c r="B26" s="88"/>
      <c r="C26" s="88">
        <f t="shared" si="3"/>
        <v>511270908.64233124</v>
      </c>
      <c r="D26" s="87">
        <f t="shared" si="7"/>
        <v>13445844.027577259</v>
      </c>
      <c r="E26" s="87"/>
      <c r="F26" s="87"/>
      <c r="G26" s="87">
        <f>(SUM($F$11:$F$18)-$H$19*7)*$L$2/4</f>
        <v>8894310.9606640618</v>
      </c>
      <c r="H26" s="87">
        <f t="shared" si="20"/>
        <v>14230897.5370625</v>
      </c>
      <c r="I26" s="87">
        <f t="shared" si="22"/>
        <v>355772438.42656231</v>
      </c>
      <c r="J26" s="85">
        <f t="shared" si="2"/>
        <v>0</v>
      </c>
      <c r="K26" s="85"/>
      <c r="L26" s="85">
        <f t="shared" si="4"/>
        <v>0</v>
      </c>
      <c r="M26" s="104">
        <f t="shared" si="21"/>
        <v>507212619.23864424</v>
      </c>
      <c r="N26" s="104">
        <f t="shared" si="14"/>
        <v>5513180.6438983055</v>
      </c>
      <c r="O26" s="104">
        <f t="shared" si="24"/>
        <v>2789669.4058125434</v>
      </c>
      <c r="P26" s="104">
        <f>$G$2*$G$3*$G$4/4</f>
        <v>215.46</v>
      </c>
      <c r="Q26" s="104">
        <f>'ПРОГНОЗ ДОХОДОВ И РАСХОДОВ НДС'!K95</f>
        <v>7164663.286799999</v>
      </c>
      <c r="R26" s="104">
        <f>'ПРОГНОЗ ДОХОДОВ И РАСХОДОВ НДС'!K3</f>
        <v>2564640</v>
      </c>
      <c r="S26" s="104"/>
      <c r="T26" s="104">
        <f t="shared" si="16"/>
        <v>-828004.19162399974</v>
      </c>
      <c r="U26" s="104">
        <f t="shared" si="17"/>
        <v>7200025.788915338</v>
      </c>
      <c r="V26" s="104">
        <f t="shared" si="18"/>
        <v>6372021.5972913383</v>
      </c>
      <c r="W26" s="89">
        <f t="shared" si="23"/>
        <v>47200169.060667217</v>
      </c>
      <c r="X26" s="89">
        <f t="shared" si="19"/>
        <v>46256165.679453872</v>
      </c>
      <c r="Y26" s="26">
        <f t="shared" si="10"/>
        <v>21035284.968885928</v>
      </c>
      <c r="Z26" s="28">
        <f>1/(1+$C$3)^3</f>
        <v>0.74621574893162668</v>
      </c>
      <c r="AA26" s="29">
        <f t="shared" si="25"/>
        <v>15696860.927047402</v>
      </c>
      <c r="AB26" s="27">
        <f t="shared" si="6"/>
        <v>-6372021.5972913383</v>
      </c>
    </row>
    <row r="27" spans="1:30" x14ac:dyDescent="0.25">
      <c r="A27" s="25" t="s">
        <v>78</v>
      </c>
      <c r="B27" s="88"/>
      <c r="C27" s="88">
        <f t="shared" si="3"/>
        <v>498169613.78474718</v>
      </c>
      <c r="D27" s="87">
        <f t="shared" si="7"/>
        <v>13101294.857584076</v>
      </c>
      <c r="E27" s="87"/>
      <c r="F27" s="87"/>
      <c r="G27" s="87">
        <f>(SUM($F$11:$F$18)-$H$19*8)*$L$2/4</f>
        <v>8538538.5222375002</v>
      </c>
      <c r="H27" s="87">
        <f t="shared" si="20"/>
        <v>14230897.5370625</v>
      </c>
      <c r="I27" s="87">
        <f t="shared" si="22"/>
        <v>341541540.88949978</v>
      </c>
      <c r="J27" s="85">
        <f t="shared" si="2"/>
        <v>0</v>
      </c>
      <c r="K27" s="85"/>
      <c r="L27" s="85">
        <f t="shared" si="4"/>
        <v>0</v>
      </c>
      <c r="M27" s="104">
        <f t="shared" si="21"/>
        <v>501699438.59474593</v>
      </c>
      <c r="N27" s="104">
        <f t="shared" si="14"/>
        <v>5513180.6438983055</v>
      </c>
      <c r="O27" s="104">
        <f t="shared" si="24"/>
        <v>2759346.9122711024</v>
      </c>
      <c r="P27" s="104">
        <f t="shared" ref="P27:P28" si="26">$G$2*$G$3*$G$4/4</f>
        <v>215.46</v>
      </c>
      <c r="Q27" s="104">
        <f>'ПРОГНОЗ ДОХОДОВ И РАСХОДОВ НДС'!L95</f>
        <v>7164459.6917920001</v>
      </c>
      <c r="R27" s="104">
        <f>'ПРОГНОЗ ДОХОДОВ И РАСХОДОВ НДС'!L3</f>
        <v>2800262.4</v>
      </c>
      <c r="S27" s="104"/>
      <c r="T27" s="104">
        <f t="shared" si="16"/>
        <v>-785555.51252255996</v>
      </c>
      <c r="U27" s="104">
        <f t="shared" si="17"/>
        <v>7200025.788915338</v>
      </c>
      <c r="V27" s="104">
        <f t="shared" si="18"/>
        <v>6414470.2763927784</v>
      </c>
      <c r="W27" s="89">
        <f t="shared" si="23"/>
        <v>47200169.060667217</v>
      </c>
      <c r="X27" s="89">
        <f t="shared" si="19"/>
        <v>46256165.679453872</v>
      </c>
      <c r="Y27" s="26">
        <f t="shared" si="10"/>
        <v>21379134.816760488</v>
      </c>
      <c r="Z27" s="28">
        <f>1/(1+$C$3)^4</f>
        <v>0.67683978808465306</v>
      </c>
      <c r="AA27" s="29">
        <f t="shared" si="25"/>
        <v>14470249.078809397</v>
      </c>
      <c r="AB27" s="27">
        <f t="shared" si="6"/>
        <v>-6414470.2763927784</v>
      </c>
    </row>
    <row r="28" spans="1:30" x14ac:dyDescent="0.25">
      <c r="A28" s="25" t="s">
        <v>79</v>
      </c>
      <c r="B28" s="88"/>
      <c r="C28" s="88">
        <f t="shared" si="3"/>
        <v>485404039.03962004</v>
      </c>
      <c r="D28" s="87">
        <f t="shared" si="7"/>
        <v>12765574.745127149</v>
      </c>
      <c r="E28" s="87"/>
      <c r="F28" s="87"/>
      <c r="G28" s="87">
        <f>(SUM($F$11:$F$18)-$H$19*9)*$L$2/4</f>
        <v>8182766.0838109376</v>
      </c>
      <c r="H28" s="87">
        <f t="shared" si="20"/>
        <v>14230897.5370625</v>
      </c>
      <c r="I28" s="87">
        <f t="shared" si="22"/>
        <v>327310643.35243726</v>
      </c>
      <c r="J28" s="85">
        <f t="shared" si="2"/>
        <v>0</v>
      </c>
      <c r="K28" s="85"/>
      <c r="L28" s="85">
        <f t="shared" si="4"/>
        <v>0</v>
      </c>
      <c r="M28" s="104">
        <f t="shared" si="21"/>
        <v>496186257.95084763</v>
      </c>
      <c r="N28" s="104">
        <f t="shared" si="14"/>
        <v>5513180.6438983055</v>
      </c>
      <c r="O28" s="104">
        <f t="shared" si="24"/>
        <v>2729024.418729662</v>
      </c>
      <c r="P28" s="104">
        <f t="shared" si="26"/>
        <v>215.46</v>
      </c>
      <c r="Q28" s="104">
        <f>'ПРОГНОЗ ДОХОДОВ И РАСХОДОВ НДС'!M95</f>
        <v>6801613.7448480008</v>
      </c>
      <c r="R28" s="104">
        <f>'ПРОГНОЗ ДОХОДОВ И РАСХОДОВ НДС'!M3</f>
        <v>6533945.5999999987</v>
      </c>
      <c r="S28" s="104"/>
      <c r="T28" s="104">
        <f t="shared" si="16"/>
        <v>-48180.266072640428</v>
      </c>
      <c r="U28" s="104">
        <f t="shared" si="17"/>
        <v>7200025.788915338</v>
      </c>
      <c r="V28" s="104">
        <f t="shared" si="18"/>
        <v>7151845.5228426978</v>
      </c>
      <c r="W28" s="89">
        <f t="shared" si="23"/>
        <v>47200169.060667217</v>
      </c>
      <c r="X28" s="89">
        <f t="shared" si="19"/>
        <v>46256165.679453872</v>
      </c>
      <c r="Y28" s="26">
        <f t="shared" si="10"/>
        <v>21390700.449222572</v>
      </c>
      <c r="Z28" s="28">
        <f>1/(1+$C$3)^4</f>
        <v>0.67683978808465306</v>
      </c>
      <c r="AA28" s="29">
        <f t="shared" si="25"/>
        <v>14478077.159034099</v>
      </c>
      <c r="AB28" s="27">
        <f t="shared" si="6"/>
        <v>-7151845.5228426978</v>
      </c>
    </row>
    <row r="29" spans="1:30" x14ac:dyDescent="0.25">
      <c r="A29" s="25" t="s">
        <v>80</v>
      </c>
      <c r="B29" s="88"/>
      <c r="C29" s="88">
        <f t="shared" si="3"/>
        <v>472965581.59362996</v>
      </c>
      <c r="D29" s="87">
        <f t="shared" si="7"/>
        <v>12438457.445990071</v>
      </c>
      <c r="E29" s="87"/>
      <c r="F29" s="87"/>
      <c r="G29" s="87">
        <f>(SUM($F$11:$F$18)-$H$19*10)*$L$2/4</f>
        <v>7826993.645384375</v>
      </c>
      <c r="H29" s="87">
        <f t="shared" si="20"/>
        <v>14230897.5370625</v>
      </c>
      <c r="I29" s="87">
        <f t="shared" si="22"/>
        <v>313079745.81537473</v>
      </c>
      <c r="J29" s="85">
        <f t="shared" si="2"/>
        <v>0</v>
      </c>
      <c r="K29" s="85"/>
      <c r="L29" s="85">
        <f t="shared" si="4"/>
        <v>0</v>
      </c>
      <c r="M29" s="104">
        <f t="shared" si="21"/>
        <v>490673077.30694932</v>
      </c>
      <c r="N29" s="104">
        <f t="shared" si="14"/>
        <v>5513180.6438983055</v>
      </c>
      <c r="O29" s="104">
        <f t="shared" si="24"/>
        <v>2698701.925188221</v>
      </c>
      <c r="P29" s="104">
        <f t="shared" ref="P29:P58" si="27">$G$2*$G$3*$G$5/4</f>
        <v>2154.6</v>
      </c>
      <c r="Q29" s="104">
        <f>'ПРОГНОЗ ДОХОДОВ И РАСХОДОВ НДС'!N95</f>
        <v>6801613.7448480008</v>
      </c>
      <c r="R29" s="104">
        <f>'ПРОГНОЗ ДОХОДОВ И РАСХОДОВ НДС'!N3</f>
        <v>6533945.5999999987</v>
      </c>
      <c r="S29" s="104"/>
      <c r="T29" s="104">
        <f t="shared" si="16"/>
        <v>-48180.266072640428</v>
      </c>
      <c r="U29" s="104">
        <f t="shared" si="17"/>
        <v>7200025.788915338</v>
      </c>
      <c r="V29" s="104">
        <f t="shared" si="18"/>
        <v>7151845.5228426978</v>
      </c>
      <c r="W29" s="89">
        <f t="shared" si="23"/>
        <v>47200169.060667217</v>
      </c>
      <c r="X29" s="89">
        <f t="shared" si="19"/>
        <v>46256165.679453872</v>
      </c>
      <c r="Y29" s="26">
        <f t="shared" si="10"/>
        <v>21774856.241190575</v>
      </c>
      <c r="Z29" s="28">
        <f>1/(1+$C$3)^4</f>
        <v>0.67683978808465306</v>
      </c>
      <c r="AA29" s="29">
        <f t="shared" si="25"/>
        <v>14738089.083861213</v>
      </c>
      <c r="AB29" s="27">
        <f t="shared" si="6"/>
        <v>-7151845.5228426978</v>
      </c>
    </row>
    <row r="30" spans="1:30" x14ac:dyDescent="0.25">
      <c r="A30" s="25" t="s">
        <v>81</v>
      </c>
      <c r="B30" s="88"/>
      <c r="C30" s="88">
        <f t="shared" si="3"/>
        <v>460845859.08017528</v>
      </c>
      <c r="D30" s="87">
        <f t="shared" si="7"/>
        <v>12119722.513454666</v>
      </c>
      <c r="E30" s="87"/>
      <c r="F30" s="87"/>
      <c r="G30" s="87">
        <f>(SUM($F$11:$F$18)-$H$19*11)*$L$2/4</f>
        <v>7471221.2069578134</v>
      </c>
      <c r="H30" s="87">
        <f t="shared" si="20"/>
        <v>14230897.5370625</v>
      </c>
      <c r="I30" s="87">
        <f t="shared" si="22"/>
        <v>298848848.27831221</v>
      </c>
      <c r="J30" s="85">
        <f t="shared" si="2"/>
        <v>0</v>
      </c>
      <c r="K30" s="85"/>
      <c r="L30" s="85">
        <f t="shared" si="4"/>
        <v>0</v>
      </c>
      <c r="M30" s="104">
        <f t="shared" si="21"/>
        <v>485159896.66305101</v>
      </c>
      <c r="N30" s="104">
        <f t="shared" si="14"/>
        <v>5513180.6438983055</v>
      </c>
      <c r="O30" s="104">
        <f t="shared" si="24"/>
        <v>2668379.4316467806</v>
      </c>
      <c r="P30" s="104">
        <f t="shared" si="27"/>
        <v>2154.6</v>
      </c>
      <c r="Q30" s="104">
        <f>'ПРОГНОЗ ДОХОДОВ И РАСХОДОВ НДС'!O95</f>
        <v>7435604.6176720001</v>
      </c>
      <c r="R30" s="104">
        <f>'ПРОГНОЗ ДОХОДОВ И РАСХОДОВ НДС'!O3</f>
        <v>2800262.4</v>
      </c>
      <c r="S30" s="104"/>
      <c r="T30" s="104">
        <f t="shared" si="16"/>
        <v>-834361.59918095998</v>
      </c>
      <c r="U30" s="104">
        <f t="shared" si="17"/>
        <v>7200025.788915338</v>
      </c>
      <c r="V30" s="104">
        <f t="shared" si="18"/>
        <v>6365664.1897343779</v>
      </c>
      <c r="W30" s="89">
        <f t="shared" si="23"/>
        <v>47200169.060667217</v>
      </c>
      <c r="X30" s="89">
        <f t="shared" si="19"/>
        <v>46256165.679453872</v>
      </c>
      <c r="Y30" s="26">
        <f t="shared" si="10"/>
        <v>22313141.633442901</v>
      </c>
      <c r="Z30" s="28">
        <f>1/(1+$C$3)^4</f>
        <v>0.67683978808465306</v>
      </c>
      <c r="AA30" s="29">
        <f t="shared" si="25"/>
        <v>15102422.054682342</v>
      </c>
      <c r="AB30" s="27">
        <f t="shared" si="6"/>
        <v>-6365664.1897343779</v>
      </c>
    </row>
    <row r="31" spans="1:30" x14ac:dyDescent="0.25">
      <c r="A31" s="25" t="s">
        <v>82</v>
      </c>
      <c r="B31" s="88"/>
      <c r="C31" s="88">
        <f t="shared" si="3"/>
        <v>449036703.93043494</v>
      </c>
      <c r="D31" s="87">
        <f t="shared" si="7"/>
        <v>11809155.149740355</v>
      </c>
      <c r="E31" s="87"/>
      <c r="F31" s="87"/>
      <c r="G31" s="87">
        <f>(SUM($F$11:$F$18)-$H$19*12)*$L$2/4</f>
        <v>7115448.7685312498</v>
      </c>
      <c r="H31" s="87">
        <f t="shared" si="20"/>
        <v>14230897.5370625</v>
      </c>
      <c r="I31" s="87">
        <f t="shared" si="22"/>
        <v>284617950.74124968</v>
      </c>
      <c r="J31" s="85">
        <f t="shared" si="2"/>
        <v>0</v>
      </c>
      <c r="K31" s="85"/>
      <c r="L31" s="85">
        <f t="shared" si="4"/>
        <v>0</v>
      </c>
      <c r="M31" s="104">
        <f t="shared" si="21"/>
        <v>479646716.0191527</v>
      </c>
      <c r="N31" s="104">
        <f t="shared" si="14"/>
        <v>5513180.6438983055</v>
      </c>
      <c r="O31" s="104">
        <f t="shared" si="24"/>
        <v>2638056.9381053397</v>
      </c>
      <c r="P31" s="104">
        <f t="shared" si="27"/>
        <v>2154.6</v>
      </c>
      <c r="Q31" s="104">
        <f>'ПРОГНОЗ ДОХОДОВ И РАСХОДОВ НДС'!P95</f>
        <v>7451038.0794636793</v>
      </c>
      <c r="R31" s="104">
        <f>'ПРОГНОЗ ДОХОДОВ И РАСХОДОВ НДС'!P3</f>
        <v>3058224</v>
      </c>
      <c r="S31" s="104"/>
      <c r="T31" s="104">
        <f t="shared" si="16"/>
        <v>-790706.53430346225</v>
      </c>
      <c r="U31" s="104">
        <f t="shared" si="17"/>
        <v>7200025.788915338</v>
      </c>
      <c r="V31" s="104">
        <f t="shared" si="18"/>
        <v>6409319.2546118759</v>
      </c>
      <c r="W31" s="89">
        <f t="shared" si="23"/>
        <v>47200169.060667217</v>
      </c>
      <c r="X31" s="89">
        <f t="shared" si="19"/>
        <v>46256165.679453872</v>
      </c>
      <c r="Y31" s="26">
        <f t="shared" si="10"/>
        <v>22640148.03874173</v>
      </c>
      <c r="Z31" s="28">
        <f>1/(1+$C$3)^5</f>
        <v>0.61391373659744797</v>
      </c>
      <c r="AA31" s="29">
        <f t="shared" si="25"/>
        <v>13899097.87958332</v>
      </c>
      <c r="AB31" s="27">
        <f t="shared" si="6"/>
        <v>-6409319.2546118759</v>
      </c>
    </row>
    <row r="32" spans="1:30" x14ac:dyDescent="0.25">
      <c r="A32" s="25" t="s">
        <v>83</v>
      </c>
      <c r="B32" s="88"/>
      <c r="C32" s="88">
        <f t="shared" si="3"/>
        <v>437530157.86918455</v>
      </c>
      <c r="D32" s="87">
        <f t="shared" si="7"/>
        <v>11506546.061250363</v>
      </c>
      <c r="E32" s="87"/>
      <c r="F32" s="87"/>
      <c r="G32" s="87">
        <f>(SUM($F$11:$F$18)-$H$19*13)*$L$2/4</f>
        <v>6759676.3301046882</v>
      </c>
      <c r="H32" s="87">
        <f t="shared" si="20"/>
        <v>14230897.5370625</v>
      </c>
      <c r="I32" s="87">
        <f t="shared" si="22"/>
        <v>270387053.20418715</v>
      </c>
      <c r="J32" s="85">
        <f t="shared" si="2"/>
        <v>0</v>
      </c>
      <c r="K32" s="85"/>
      <c r="L32" s="85">
        <f t="shared" si="4"/>
        <v>0</v>
      </c>
      <c r="M32" s="104">
        <f t="shared" si="21"/>
        <v>474133535.37525439</v>
      </c>
      <c r="N32" s="104">
        <f t="shared" si="14"/>
        <v>5513180.6438983055</v>
      </c>
      <c r="O32" s="104">
        <f t="shared" si="24"/>
        <v>2607734.4445638992</v>
      </c>
      <c r="P32" s="104">
        <f t="shared" si="27"/>
        <v>2154.6</v>
      </c>
      <c r="Q32" s="104">
        <f>'ПРОГНОЗ ДОХОДОВ И РАСХОДОВ НДС'!Q95</f>
        <v>7073678.2946419213</v>
      </c>
      <c r="R32" s="104">
        <f>'ПРОГНОЗ ДОХОДОВ И РАСХОДОВ НДС'!Q3</f>
        <v>7135855.9999999991</v>
      </c>
      <c r="S32" s="104"/>
      <c r="T32" s="104">
        <f t="shared" si="16"/>
        <v>11191.986964453943</v>
      </c>
      <c r="U32" s="104">
        <f t="shared" si="17"/>
        <v>7200025.788915338</v>
      </c>
      <c r="V32" s="104">
        <f t="shared" si="18"/>
        <v>7211217.7758797919</v>
      </c>
      <c r="W32" s="89">
        <f t="shared" si="23"/>
        <v>47200169.060667217</v>
      </c>
      <c r="X32" s="89">
        <f t="shared" si="19"/>
        <v>46256165.679453872</v>
      </c>
      <c r="Y32" s="26">
        <f t="shared" si="10"/>
        <v>22601704.234263569</v>
      </c>
      <c r="Z32" s="28">
        <f>1/(1+$C$3)^5</f>
        <v>0.61391373659744797</v>
      </c>
      <c r="AA32" s="29">
        <f t="shared" si="25"/>
        <v>13875496.699927108</v>
      </c>
      <c r="AB32" s="27">
        <f t="shared" si="6"/>
        <v>-7211217.7758797919</v>
      </c>
    </row>
    <row r="33" spans="1:28" x14ac:dyDescent="0.25">
      <c r="A33" s="25" t="s">
        <v>84</v>
      </c>
      <c r="B33" s="88"/>
      <c r="C33" s="88">
        <f t="shared" si="3"/>
        <v>426318466.55165732</v>
      </c>
      <c r="D33" s="87">
        <f t="shared" si="7"/>
        <v>11211691.317527257</v>
      </c>
      <c r="E33" s="87"/>
      <c r="F33" s="87"/>
      <c r="G33" s="87">
        <f>(SUM($F$11:$F$18)-$H$19*14)*$L$2/4</f>
        <v>6403903.8916781247</v>
      </c>
      <c r="H33" s="87">
        <f t="shared" si="20"/>
        <v>14230897.5370625</v>
      </c>
      <c r="I33" s="87">
        <f t="shared" si="22"/>
        <v>256156155.66712466</v>
      </c>
      <c r="J33" s="85">
        <f t="shared" si="2"/>
        <v>0</v>
      </c>
      <c r="K33" s="85"/>
      <c r="L33" s="85">
        <f t="shared" si="4"/>
        <v>0</v>
      </c>
      <c r="M33" s="104">
        <f t="shared" si="21"/>
        <v>468620354.73135608</v>
      </c>
      <c r="N33" s="104">
        <f t="shared" si="14"/>
        <v>5513180.6438983055</v>
      </c>
      <c r="O33" s="104">
        <f t="shared" si="24"/>
        <v>2577411.9510224583</v>
      </c>
      <c r="P33" s="104">
        <f t="shared" si="27"/>
        <v>2154.6</v>
      </c>
      <c r="Q33" s="104">
        <f>'ПРОГНОЗ ДОХОДОВ И РАСХОДОВ НДС'!R95</f>
        <v>7073678.2946419213</v>
      </c>
      <c r="R33" s="104">
        <f>'ПРОГНОЗ ДОХОДОВ И РАСХОДОВ НДС'!R3</f>
        <v>7135855.9999999991</v>
      </c>
      <c r="S33" s="104"/>
      <c r="T33" s="104">
        <f t="shared" si="16"/>
        <v>11191.986964453943</v>
      </c>
      <c r="U33" s="104">
        <f t="shared" si="17"/>
        <v>7200025.788915338</v>
      </c>
      <c r="V33" s="104">
        <f t="shared" si="18"/>
        <v>7211217.7758797919</v>
      </c>
      <c r="W33" s="89">
        <f t="shared" si="23"/>
        <v>47200169.060667217</v>
      </c>
      <c r="X33" s="89">
        <f t="shared" si="19"/>
        <v>46256165.679453872</v>
      </c>
      <c r="Y33" s="26">
        <f t="shared" si="10"/>
        <v>22987799.166231573</v>
      </c>
      <c r="Z33" s="28">
        <f>1/(1+$C$3)^5</f>
        <v>0.61391373659744797</v>
      </c>
      <c r="AA33" s="29">
        <f t="shared" si="25"/>
        <v>14112525.682292923</v>
      </c>
      <c r="AB33" s="27">
        <f t="shared" si="6"/>
        <v>-7211217.7758797919</v>
      </c>
    </row>
    <row r="34" spans="1:28" x14ac:dyDescent="0.25">
      <c r="A34" s="25" t="s">
        <v>85</v>
      </c>
      <c r="B34" s="88"/>
      <c r="C34" s="88">
        <f t="shared" si="3"/>
        <v>415394074.3378346</v>
      </c>
      <c r="D34" s="87">
        <f t="shared" si="7"/>
        <v>10924392.213822732</v>
      </c>
      <c r="E34" s="87"/>
      <c r="F34" s="87"/>
      <c r="G34" s="87">
        <f>(SUM($F$11:$F$18)-$H$19*15)*$L$2/4</f>
        <v>6048131.453251563</v>
      </c>
      <c r="H34" s="87">
        <f t="shared" si="20"/>
        <v>14230897.5370625</v>
      </c>
      <c r="I34" s="87">
        <f t="shared" si="22"/>
        <v>241925258.13006216</v>
      </c>
      <c r="J34" s="85">
        <f t="shared" si="2"/>
        <v>0</v>
      </c>
      <c r="K34" s="85"/>
      <c r="L34" s="85">
        <f t="shared" si="4"/>
        <v>0</v>
      </c>
      <c r="M34" s="104">
        <f t="shared" si="21"/>
        <v>463107174.08745778</v>
      </c>
      <c r="N34" s="104">
        <f t="shared" si="14"/>
        <v>5513180.6438983055</v>
      </c>
      <c r="O34" s="104">
        <f t="shared" si="24"/>
        <v>2547089.4574810178</v>
      </c>
      <c r="P34" s="104">
        <f t="shared" si="27"/>
        <v>2154.6</v>
      </c>
      <c r="Q34" s="104">
        <f>'ПРОГНОЗ ДОХОДОВ И РАСХОДОВ НДС'!S95</f>
        <v>7749977.711778881</v>
      </c>
      <c r="R34" s="104">
        <f>'ПРОГНОЗ ДОХОДОВ И РАСХОДОВ НДС'!S3</f>
        <v>3058224</v>
      </c>
      <c r="S34" s="104"/>
      <c r="T34" s="104">
        <f t="shared" si="16"/>
        <v>-844515.66812019853</v>
      </c>
      <c r="U34" s="104">
        <f t="shared" si="17"/>
        <v>7200025.788915338</v>
      </c>
      <c r="V34" s="104">
        <f t="shared" si="18"/>
        <v>6355510.1207951391</v>
      </c>
      <c r="W34" s="89">
        <f t="shared" si="23"/>
        <v>47200169.060667217</v>
      </c>
      <c r="X34" s="89">
        <f t="shared" si="19"/>
        <v>46256165.679453872</v>
      </c>
      <c r="Y34" s="26">
        <f t="shared" si="10"/>
        <v>23553302.336147271</v>
      </c>
      <c r="Z34" s="28">
        <f>1/(1+$C$3)^5</f>
        <v>0.61391373659744797</v>
      </c>
      <c r="AA34" s="29">
        <f t="shared" si="25"/>
        <v>14459695.846393572</v>
      </c>
      <c r="AB34" s="27">
        <f t="shared" si="6"/>
        <v>-6355510.1207951391</v>
      </c>
    </row>
    <row r="35" spans="1:28" x14ac:dyDescent="0.25">
      <c r="A35" s="25" t="s">
        <v>86</v>
      </c>
      <c r="B35" s="88"/>
      <c r="C35" s="88">
        <f t="shared" si="3"/>
        <v>404749619.20064557</v>
      </c>
      <c r="D35" s="87">
        <f t="shared" si="7"/>
        <v>10644455.137189038</v>
      </c>
      <c r="E35" s="87"/>
      <c r="F35" s="87"/>
      <c r="G35" s="87">
        <f>(SUM($F$11:$F$18)-$H$19*16)*$L$2/4</f>
        <v>5692359.0148250004</v>
      </c>
      <c r="H35" s="87">
        <f t="shared" si="20"/>
        <v>14230897.5370625</v>
      </c>
      <c r="I35" s="87">
        <f t="shared" si="22"/>
        <v>227694360.59299967</v>
      </c>
      <c r="J35" s="85">
        <f t="shared" si="2"/>
        <v>0</v>
      </c>
      <c r="K35" s="85"/>
      <c r="L35" s="85">
        <f t="shared" si="4"/>
        <v>0</v>
      </c>
      <c r="M35" s="104">
        <f t="shared" si="21"/>
        <v>457593993.44355947</v>
      </c>
      <c r="N35" s="104">
        <f t="shared" si="14"/>
        <v>5513180.6438983055</v>
      </c>
      <c r="O35" s="104">
        <f t="shared" si="24"/>
        <v>2516766.9639395769</v>
      </c>
      <c r="P35" s="104">
        <f t="shared" si="27"/>
        <v>2154.6</v>
      </c>
      <c r="Q35" s="104">
        <f>'ПРОГНОЗ ДОХОДОВ И РАСХОДОВ НДС'!T95</f>
        <v>7749079.6026422288</v>
      </c>
      <c r="R35" s="104">
        <f>'ПРОГНОЗ ДОХОДОВ И РАСХОДОВ НДС'!T3</f>
        <v>3394637.0764800003</v>
      </c>
      <c r="S35" s="104"/>
      <c r="T35" s="104">
        <f t="shared" si="16"/>
        <v>-783799.65470920096</v>
      </c>
      <c r="U35" s="104">
        <f t="shared" si="17"/>
        <v>7200025.788915338</v>
      </c>
      <c r="V35" s="104">
        <f t="shared" si="18"/>
        <v>6416226.1342061367</v>
      </c>
      <c r="W35" s="89">
        <f t="shared" si="23"/>
        <v>47200169.060667217</v>
      </c>
      <c r="X35" s="89">
        <f t="shared" si="19"/>
        <v>46256165.679453872</v>
      </c>
      <c r="Y35" s="26">
        <f t="shared" si="10"/>
        <v>23879579.363840923</v>
      </c>
      <c r="Z35" s="28">
        <f>1/(1+$C$3)^6</f>
        <v>0.55683794395358854</v>
      </c>
      <c r="AA35" s="29">
        <f t="shared" si="25"/>
        <v>13297055.875437722</v>
      </c>
      <c r="AB35" s="27">
        <f t="shared" si="6"/>
        <v>-6416226.1342061367</v>
      </c>
    </row>
    <row r="36" spans="1:28" x14ac:dyDescent="0.25">
      <c r="A36" s="25" t="s">
        <v>87</v>
      </c>
      <c r="B36" s="88"/>
      <c r="C36" s="88">
        <f t="shared" si="3"/>
        <v>394377927.76464373</v>
      </c>
      <c r="D36" s="87">
        <f t="shared" si="7"/>
        <v>10371691.436001809</v>
      </c>
      <c r="E36" s="87"/>
      <c r="F36" s="87"/>
      <c r="G36" s="87">
        <f>(SUM($F$11:$F$18)-$H$19*17)*$L$2/4</f>
        <v>5336586.5763984378</v>
      </c>
      <c r="H36" s="87">
        <f t="shared" si="20"/>
        <v>14230897.5370625</v>
      </c>
      <c r="I36" s="87">
        <f t="shared" si="22"/>
        <v>213463463.05593717</v>
      </c>
      <c r="J36" s="85">
        <f t="shared" si="2"/>
        <v>0</v>
      </c>
      <c r="K36" s="85"/>
      <c r="L36" s="85">
        <f t="shared" si="4"/>
        <v>0</v>
      </c>
      <c r="M36" s="104">
        <f>M35-N36</f>
        <v>452080812.79966116</v>
      </c>
      <c r="N36" s="104">
        <f t="shared" si="14"/>
        <v>5513180.6438983055</v>
      </c>
      <c r="O36" s="104">
        <f t="shared" si="24"/>
        <v>2486444.4703981364</v>
      </c>
      <c r="P36" s="104">
        <f t="shared" si="27"/>
        <v>2154.6</v>
      </c>
      <c r="Q36" s="104">
        <f>'ПРОГНОЗ ДОХОДОВ И РАСХОДОВ НДС'!U95</f>
        <v>7356625.426427599</v>
      </c>
      <c r="R36" s="104">
        <f>'ПРОГНОЗ ДОХОДОВ И РАСХОДОВ НДС'!U3</f>
        <v>7920819.8451200007</v>
      </c>
      <c r="S36" s="104"/>
      <c r="T36" s="104">
        <f t="shared" si="16"/>
        <v>101554.99536463246</v>
      </c>
      <c r="U36" s="104">
        <f t="shared" si="17"/>
        <v>7200025.788915338</v>
      </c>
      <c r="V36" s="104">
        <f t="shared" si="18"/>
        <v>7301580.7842799705</v>
      </c>
      <c r="W36" s="89">
        <f t="shared" si="23"/>
        <v>47200169.060667217</v>
      </c>
      <c r="X36" s="89">
        <f t="shared" si="19"/>
        <v>46256165.679453872</v>
      </c>
      <c r="Y36" s="26">
        <f t="shared" si="10"/>
        <v>23772773.821949728</v>
      </c>
      <c r="Z36" s="28">
        <f>1/(1+$C$3)^6</f>
        <v>0.55683794395358854</v>
      </c>
      <c r="AA36" s="29">
        <f t="shared" si="25"/>
        <v>13237582.497088179</v>
      </c>
      <c r="AB36" s="27">
        <f t="shared" si="6"/>
        <v>-7301580.7842799705</v>
      </c>
    </row>
    <row r="37" spans="1:28" x14ac:dyDescent="0.25">
      <c r="A37" s="25" t="s">
        <v>88</v>
      </c>
      <c r="B37" s="88"/>
      <c r="C37" s="88">
        <f t="shared" si="3"/>
        <v>384272010.47181737</v>
      </c>
      <c r="D37" s="87">
        <f t="shared" si="7"/>
        <v>10105917.292826379</v>
      </c>
      <c r="E37" s="87"/>
      <c r="F37" s="87"/>
      <c r="G37" s="87">
        <f>(SUM($F$11:$F$18)-$H$19*18)*$L$2/4</f>
        <v>4980814.1379718753</v>
      </c>
      <c r="H37" s="87">
        <f t="shared" si="20"/>
        <v>14230897.5370625</v>
      </c>
      <c r="I37" s="87">
        <f t="shared" si="22"/>
        <v>199232565.51887468</v>
      </c>
      <c r="J37" s="85">
        <f t="shared" si="2"/>
        <v>0</v>
      </c>
      <c r="K37" s="85"/>
      <c r="L37" s="85">
        <f t="shared" si="4"/>
        <v>0</v>
      </c>
      <c r="M37" s="104">
        <f t="shared" si="21"/>
        <v>446567632.15576285</v>
      </c>
      <c r="N37" s="104">
        <f t="shared" si="14"/>
        <v>5513180.6438983055</v>
      </c>
      <c r="O37" s="104">
        <f t="shared" si="24"/>
        <v>2456121.9768566955</v>
      </c>
      <c r="P37" s="104">
        <f t="shared" si="27"/>
        <v>2154.6</v>
      </c>
      <c r="Q37" s="104">
        <f>'ПРОГНОЗ ДОХОДОВ И РАСХОДОВ НДС'!V95</f>
        <v>7356625.426427599</v>
      </c>
      <c r="R37" s="104">
        <f>'ПРОГНОЗ ДОХОДОВ И РАСХОДОВ НДС'!V3</f>
        <v>7920819.8451200007</v>
      </c>
      <c r="S37" s="104"/>
      <c r="T37" s="104">
        <f t="shared" si="16"/>
        <v>101554.99536463246</v>
      </c>
      <c r="U37" s="104">
        <f t="shared" si="17"/>
        <v>7200025.788915338</v>
      </c>
      <c r="V37" s="104">
        <f t="shared" si="18"/>
        <v>7301580.7842799705</v>
      </c>
      <c r="W37" s="89">
        <f t="shared" si="23"/>
        <v>47200169.060667217</v>
      </c>
      <c r="X37" s="89">
        <f t="shared" si="19"/>
        <v>46256165.679453872</v>
      </c>
      <c r="Y37" s="26">
        <f t="shared" si="10"/>
        <v>24158868.753917731</v>
      </c>
      <c r="Z37" s="28">
        <f>1/(1+$C$3)^6</f>
        <v>0.55683794395358854</v>
      </c>
      <c r="AA37" s="29">
        <f t="shared" si="25"/>
        <v>13452574.805176143</v>
      </c>
      <c r="AB37" s="27">
        <f t="shared" si="6"/>
        <v>-7301580.7842799705</v>
      </c>
    </row>
    <row r="38" spans="1:28" x14ac:dyDescent="0.25">
      <c r="A38" s="25" t="s">
        <v>89</v>
      </c>
      <c r="B38" s="88"/>
      <c r="C38" s="88">
        <f t="shared" si="3"/>
        <v>374425056.87127548</v>
      </c>
      <c r="D38" s="87">
        <f t="shared" si="7"/>
        <v>9846953.6005418655</v>
      </c>
      <c r="E38" s="87"/>
      <c r="F38" s="87"/>
      <c r="G38" s="87">
        <f>(SUM($F$11:$F$18)-$H$19*19)*$L$2/4</f>
        <v>4625041.6995453117</v>
      </c>
      <c r="H38" s="87">
        <f t="shared" si="20"/>
        <v>14230897.5370625</v>
      </c>
      <c r="I38" s="87">
        <f t="shared" si="22"/>
        <v>185001667.98181218</v>
      </c>
      <c r="J38" s="85">
        <f t="shared" si="2"/>
        <v>0</v>
      </c>
      <c r="K38" s="85"/>
      <c r="L38" s="85">
        <f t="shared" si="4"/>
        <v>0</v>
      </c>
      <c r="M38" s="104">
        <f t="shared" si="21"/>
        <v>441054451.51186454</v>
      </c>
      <c r="N38" s="104">
        <f t="shared" si="14"/>
        <v>5513180.6438983055</v>
      </c>
      <c r="O38" s="104">
        <f t="shared" si="24"/>
        <v>2425799.483315255</v>
      </c>
      <c r="P38" s="104">
        <f t="shared" si="27"/>
        <v>2154.6</v>
      </c>
      <c r="Q38" s="104">
        <f>'ПРОГНОЗ ДОХОДОВ И РАСХОДОВ НДС'!W95</f>
        <v>8960179.0452500377</v>
      </c>
      <c r="R38" s="104">
        <f>'ПРОГНОЗ ДОХОДОВ И РАСХОДОВ НДС'!W3</f>
        <v>3394637.0764800003</v>
      </c>
      <c r="S38" s="104"/>
      <c r="T38" s="104">
        <f t="shared" si="16"/>
        <v>-1001797.5543786067</v>
      </c>
      <c r="U38" s="104">
        <f t="shared" si="17"/>
        <v>7200025.788915338</v>
      </c>
      <c r="V38" s="104">
        <f t="shared" si="18"/>
        <v>6198228.2345367316</v>
      </c>
      <c r="W38" s="89">
        <f t="shared" si="23"/>
        <v>47200169.060667217</v>
      </c>
      <c r="X38" s="89">
        <f t="shared" si="19"/>
        <v>46256165.679453872</v>
      </c>
      <c r="Y38" s="26">
        <f t="shared" si="10"/>
        <v>24044762.616806541</v>
      </c>
      <c r="Z38" s="28">
        <f>1/(1+$C$3)^6</f>
        <v>0.55683794395358854</v>
      </c>
      <c r="AA38" s="29">
        <f t="shared" si="25"/>
        <v>13389036.178394662</v>
      </c>
      <c r="AB38" s="27">
        <f t="shared" si="6"/>
        <v>-6198228.2345367316</v>
      </c>
    </row>
    <row r="39" spans="1:28" x14ac:dyDescent="0.25">
      <c r="A39" s="25" t="s">
        <v>90</v>
      </c>
      <c r="B39" s="88"/>
      <c r="C39" s="88">
        <f t="shared" si="3"/>
        <v>364830431.02963591</v>
      </c>
      <c r="D39" s="87">
        <f t="shared" si="7"/>
        <v>9594625.8416395932</v>
      </c>
      <c r="E39" s="87"/>
      <c r="F39" s="87"/>
      <c r="G39" s="87">
        <f>(SUM($F$11:$F$18)-$H$19*20)*$L$2/4</f>
        <v>4269269.2611187501</v>
      </c>
      <c r="H39" s="87">
        <f t="shared" si="20"/>
        <v>14230897.5370625</v>
      </c>
      <c r="I39" s="87">
        <f t="shared" si="22"/>
        <v>170770770.44474968</v>
      </c>
      <c r="J39" s="85">
        <f t="shared" si="2"/>
        <v>0</v>
      </c>
      <c r="K39" s="85"/>
      <c r="L39" s="85">
        <f t="shared" si="4"/>
        <v>0</v>
      </c>
      <c r="M39" s="104">
        <f t="shared" si="21"/>
        <v>435541270.86796623</v>
      </c>
      <c r="N39" s="104">
        <f t="shared" si="14"/>
        <v>5513180.6438983055</v>
      </c>
      <c r="O39" s="104">
        <f t="shared" si="24"/>
        <v>2395476.9897738141</v>
      </c>
      <c r="P39" s="104">
        <f t="shared" si="27"/>
        <v>2154.6</v>
      </c>
      <c r="Q39" s="104">
        <f>'ПРОГНОЗ ДОХОДОВ И РАСХОДОВ НДС'!X95</f>
        <v>8059042.7867479185</v>
      </c>
      <c r="R39" s="104">
        <f>'ПРОГНОЗ ДОХОДОВ И РАСХОДОВ НДС'!X3</f>
        <v>3751245.0613248004</v>
      </c>
      <c r="S39" s="104"/>
      <c r="T39" s="104">
        <f t="shared" si="16"/>
        <v>-775403.59057616128</v>
      </c>
      <c r="U39" s="104">
        <f t="shared" si="17"/>
        <v>7200025.788915338</v>
      </c>
      <c r="V39" s="104">
        <f t="shared" si="18"/>
        <v>6424622.1983391764</v>
      </c>
      <c r="W39" s="89">
        <f t="shared" si="23"/>
        <v>47200169.060667217</v>
      </c>
      <c r="X39" s="89">
        <f t="shared" si="19"/>
        <v>46256165.679453872</v>
      </c>
      <c r="Y39" s="26">
        <f t="shared" si="10"/>
        <v>25105599.843474206</v>
      </c>
      <c r="Z39" s="28">
        <f>1/(1+$C$3)^7</f>
        <v>0.50506850937231285</v>
      </c>
      <c r="AA39" s="29">
        <f t="shared" si="25"/>
        <v>12680047.889841288</v>
      </c>
      <c r="AB39" s="27">
        <f t="shared" si="6"/>
        <v>-6424622.1983391764</v>
      </c>
    </row>
    <row r="40" spans="1:28" x14ac:dyDescent="0.25">
      <c r="A40" s="25" t="s">
        <v>91</v>
      </c>
      <c r="B40" s="88"/>
      <c r="C40" s="88">
        <f t="shared" si="3"/>
        <v>355481667.05902141</v>
      </c>
      <c r="D40" s="87">
        <f t="shared" si="7"/>
        <v>9348763.9706144743</v>
      </c>
      <c r="E40" s="87"/>
      <c r="F40" s="87"/>
      <c r="G40" s="87">
        <f>(SUM($F$11:$F$18)-$H$19*21)*$L$2/4</f>
        <v>3913496.8226921875</v>
      </c>
      <c r="H40" s="87">
        <f t="shared" si="20"/>
        <v>14230897.5370625</v>
      </c>
      <c r="I40" s="87">
        <f t="shared" si="22"/>
        <v>156539872.90768719</v>
      </c>
      <c r="J40" s="85">
        <f t="shared" si="2"/>
        <v>0</v>
      </c>
      <c r="K40" s="85"/>
      <c r="L40" s="85">
        <f t="shared" si="4"/>
        <v>0</v>
      </c>
      <c r="M40" s="104">
        <f t="shared" si="21"/>
        <v>430028090.22406793</v>
      </c>
      <c r="N40" s="104">
        <f t="shared" si="14"/>
        <v>5513180.6438983055</v>
      </c>
      <c r="O40" s="104">
        <f t="shared" si="24"/>
        <v>2365154.4962323736</v>
      </c>
      <c r="P40" s="104">
        <f t="shared" si="27"/>
        <v>2154.6</v>
      </c>
      <c r="Q40" s="104">
        <f>'ПРОГНОЗ ДОХОДОВ И РАСХОДОВ НДС'!Y95</f>
        <v>7650890.4434847021</v>
      </c>
      <c r="R40" s="104">
        <f>'ПРОГНОЗ ДОХОДОВ И РАСХОДОВ НДС'!Y3</f>
        <v>8752905.1430912018</v>
      </c>
      <c r="S40" s="104"/>
      <c r="T40" s="104">
        <f t="shared" si="16"/>
        <v>198362.64592916984</v>
      </c>
      <c r="U40" s="104">
        <f t="shared" si="17"/>
        <v>7200025.788915338</v>
      </c>
      <c r="V40" s="104">
        <f t="shared" si="18"/>
        <v>7398388.4348445078</v>
      </c>
      <c r="W40" s="89">
        <f t="shared" si="23"/>
        <v>47200169.060667217</v>
      </c>
      <c r="X40" s="89">
        <f t="shared" si="19"/>
        <v>46256165.679453872</v>
      </c>
      <c r="Y40" s="26">
        <f t="shared" si="10"/>
        <v>24926080.8822001</v>
      </c>
      <c r="Z40" s="28">
        <f>1/(1+$C$3)^7</f>
        <v>0.50506850937231285</v>
      </c>
      <c r="AA40" s="29">
        <f t="shared" si="25"/>
        <v>12589378.515666509</v>
      </c>
      <c r="AB40" s="27">
        <f t="shared" si="6"/>
        <v>-7398388.4348445078</v>
      </c>
    </row>
    <row r="41" spans="1:28" x14ac:dyDescent="0.25">
      <c r="A41" s="25" t="s">
        <v>92</v>
      </c>
      <c r="B41" s="88"/>
      <c r="C41" s="88">
        <f t="shared" si="3"/>
        <v>346372464.7596513</v>
      </c>
      <c r="D41" s="87">
        <f t="shared" si="7"/>
        <v>9109202.2993701156</v>
      </c>
      <c r="E41" s="87"/>
      <c r="F41" s="87"/>
      <c r="G41" s="87">
        <f>(SUM($F$11:$F$18)-$H$19*22)*$L$2/4</f>
        <v>3557724.3842656258</v>
      </c>
      <c r="H41" s="87">
        <f t="shared" si="20"/>
        <v>14230897.5370625</v>
      </c>
      <c r="I41" s="87">
        <f t="shared" si="22"/>
        <v>142308975.37062469</v>
      </c>
      <c r="J41" s="85">
        <f t="shared" si="2"/>
        <v>0</v>
      </c>
      <c r="K41" s="85"/>
      <c r="L41" s="85">
        <f t="shared" si="4"/>
        <v>0</v>
      </c>
      <c r="M41" s="104">
        <f t="shared" si="21"/>
        <v>424514909.58016962</v>
      </c>
      <c r="N41" s="104">
        <f t="shared" si="14"/>
        <v>5513180.6438983055</v>
      </c>
      <c r="O41" s="104">
        <f t="shared" si="24"/>
        <v>2334832.0026909327</v>
      </c>
      <c r="P41" s="104">
        <f t="shared" si="27"/>
        <v>2154.6</v>
      </c>
      <c r="Q41" s="104">
        <f>'ПРОГНОЗ ДОХОДОВ И РАСХОДОВ НДС'!Z95</f>
        <v>7650890.4434847021</v>
      </c>
      <c r="R41" s="104">
        <f>'ПРОГНОЗ ДОХОДОВ И РАСХОДОВ НДС'!Z3</f>
        <v>8752905.1430912018</v>
      </c>
      <c r="S41" s="104"/>
      <c r="T41" s="104">
        <f t="shared" si="16"/>
        <v>198362.64592916984</v>
      </c>
      <c r="U41" s="104">
        <f t="shared" si="17"/>
        <v>7200025.788915338</v>
      </c>
      <c r="V41" s="104">
        <f t="shared" si="18"/>
        <v>7398388.4348445078</v>
      </c>
      <c r="W41" s="89">
        <f t="shared" si="23"/>
        <v>47200169.060667217</v>
      </c>
      <c r="X41" s="89">
        <f t="shared" si="19"/>
        <v>46256165.679453872</v>
      </c>
      <c r="Y41" s="26">
        <f t="shared" si="10"/>
        <v>25312175.814168103</v>
      </c>
      <c r="Z41" s="28">
        <f>1/(1+$C$3)^7</f>
        <v>0.50506850937231285</v>
      </c>
      <c r="AA41" s="29">
        <f t="shared" si="25"/>
        <v>12784382.907431792</v>
      </c>
      <c r="AB41" s="27">
        <f t="shared" si="6"/>
        <v>-7398388.4348445078</v>
      </c>
    </row>
    <row r="42" spans="1:28" x14ac:dyDescent="0.25">
      <c r="A42" s="25" t="s">
        <v>93</v>
      </c>
      <c r="B42" s="88"/>
      <c r="C42" s="88">
        <f t="shared" si="3"/>
        <v>337496685.37409091</v>
      </c>
      <c r="D42" s="87">
        <f t="shared" si="7"/>
        <v>8875779.3855604064</v>
      </c>
      <c r="E42" s="87"/>
      <c r="F42" s="87"/>
      <c r="G42" s="87">
        <f>(SUM($F$11:$F$18)-$H$19*23)*$L$2/4</f>
        <v>3201951.9458390623</v>
      </c>
      <c r="H42" s="87">
        <f t="shared" si="20"/>
        <v>14230897.5370625</v>
      </c>
      <c r="I42" s="87">
        <f t="shared" si="22"/>
        <v>128078077.8335622</v>
      </c>
      <c r="J42" s="85">
        <f t="shared" si="2"/>
        <v>0</v>
      </c>
      <c r="K42" s="85"/>
      <c r="L42" s="85">
        <f t="shared" si="4"/>
        <v>0</v>
      </c>
      <c r="M42" s="104">
        <f t="shared" si="21"/>
        <v>419001728.93627131</v>
      </c>
      <c r="N42" s="104">
        <f t="shared" si="14"/>
        <v>5513180.6438983055</v>
      </c>
      <c r="O42" s="104">
        <f t="shared" si="24"/>
        <v>2304509.5091494923</v>
      </c>
      <c r="P42" s="104">
        <f t="shared" si="27"/>
        <v>2154.6</v>
      </c>
      <c r="Q42" s="104">
        <f>'ПРОГНОЗ ДОХОДОВ И РАСХОДОВ НДС'!AA95</f>
        <v>8347800.0044600386</v>
      </c>
      <c r="R42" s="104">
        <f>'ПРОГНОЗ ДОХОДОВ И РАСХОДОВ НДС'!AA3</f>
        <v>3751245.0613248004</v>
      </c>
      <c r="S42" s="104"/>
      <c r="T42" s="104">
        <f t="shared" si="16"/>
        <v>-827379.88976434281</v>
      </c>
      <c r="U42" s="104">
        <f>W42/(1+$C$4)*$C$4</f>
        <v>7200025.788915338</v>
      </c>
      <c r="V42" s="104">
        <f t="shared" si="18"/>
        <v>6372645.8991509955</v>
      </c>
      <c r="W42" s="89">
        <f t="shared" si="23"/>
        <v>47200169.060667217</v>
      </c>
      <c r="X42" s="89">
        <f t="shared" si="19"/>
        <v>46256165.679453872</v>
      </c>
      <c r="Y42" s="26">
        <f t="shared" si="10"/>
        <v>26027103.720854282</v>
      </c>
      <c r="Z42" s="28">
        <f>1/(1+$C$3)^7</f>
        <v>0.50506850937231285</v>
      </c>
      <c r="AA42" s="29">
        <f t="shared" si="25"/>
        <v>13145470.47957045</v>
      </c>
      <c r="AB42" s="27">
        <f t="shared" si="6"/>
        <v>-6372645.8991509955</v>
      </c>
    </row>
    <row r="43" spans="1:28" x14ac:dyDescent="0.25">
      <c r="A43" s="25" t="s">
        <v>94</v>
      </c>
      <c r="B43" s="88"/>
      <c r="C43" s="88">
        <f t="shared" si="3"/>
        <v>328848347.45029855</v>
      </c>
      <c r="D43" s="87">
        <f t="shared" si="7"/>
        <v>8648337.923792351</v>
      </c>
      <c r="E43" s="87"/>
      <c r="F43" s="87"/>
      <c r="G43" s="87">
        <f>(SUM($F$11:$F$18)-$H$19*24)*$L$2/4</f>
        <v>2846179.5074124993</v>
      </c>
      <c r="H43" s="87">
        <f t="shared" si="20"/>
        <v>14230897.5370625</v>
      </c>
      <c r="I43" s="87">
        <f>I42-H43</f>
        <v>113847180.2964997</v>
      </c>
      <c r="J43" s="85">
        <f t="shared" si="2"/>
        <v>0</v>
      </c>
      <c r="K43" s="85"/>
      <c r="L43" s="85">
        <f t="shared" si="4"/>
        <v>0</v>
      </c>
      <c r="M43" s="104">
        <f t="shared" si="21"/>
        <v>413488548.292373</v>
      </c>
      <c r="N43" s="104">
        <f t="shared" si="14"/>
        <v>5513180.6438983055</v>
      </c>
      <c r="O43" s="104">
        <f t="shared" si="24"/>
        <v>2274187.0156080513</v>
      </c>
      <c r="P43" s="104">
        <f t="shared" si="27"/>
        <v>2154.6</v>
      </c>
      <c r="Q43" s="104">
        <f>'ПРОГНОЗ ДОХОДОВ И РАСХОДОВ НДС'!AB95</f>
        <v>8381404.4982178351</v>
      </c>
      <c r="R43" s="104">
        <f>'ПРОГНОЗ ДОХОДОВ И РАСХОДОВ НДС'!AB3</f>
        <v>4486489.0933444602</v>
      </c>
      <c r="S43" s="104"/>
      <c r="T43" s="104">
        <f t="shared" si="16"/>
        <v>-701084.77287720738</v>
      </c>
      <c r="U43" s="104">
        <f t="shared" si="17"/>
        <v>7200025.788915338</v>
      </c>
      <c r="V43" s="104">
        <f t="shared" si="18"/>
        <v>6498941.016038131</v>
      </c>
      <c r="W43" s="89">
        <f t="shared" si="23"/>
        <v>47200169.060667217</v>
      </c>
      <c r="X43" s="89">
        <f t="shared" si="19"/>
        <v>46256165.679453872</v>
      </c>
      <c r="Y43" s="26">
        <f t="shared" si="10"/>
        <v>26253299.042177357</v>
      </c>
      <c r="Z43" s="28">
        <f>1/(1+$C$3)^8</f>
        <v>0.458112098734478</v>
      </c>
      <c r="AA43" s="29">
        <f t="shared" si="25"/>
        <v>12026953.922915731</v>
      </c>
      <c r="AB43" s="27">
        <f t="shared" si="6"/>
        <v>-6498941.016038131</v>
      </c>
    </row>
    <row r="44" spans="1:28" x14ac:dyDescent="0.25">
      <c r="A44" s="25" t="s">
        <v>95</v>
      </c>
      <c r="B44" s="88"/>
      <c r="C44" s="88">
        <f t="shared" si="3"/>
        <v>320421622.8106817</v>
      </c>
      <c r="D44" s="87">
        <f t="shared" si="7"/>
        <v>8426724.6396168303</v>
      </c>
      <c r="E44" s="87"/>
      <c r="F44" s="87"/>
      <c r="G44" s="87">
        <f>(SUM($F$11:$F$18)-$H$19*25)*$L$2/4</f>
        <v>2490407.0689859376</v>
      </c>
      <c r="H44" s="87">
        <f t="shared" si="20"/>
        <v>14230897.5370625</v>
      </c>
      <c r="I44" s="87">
        <f t="shared" ref="I44:I50" si="28">I43-H44</f>
        <v>99616282.759437203</v>
      </c>
      <c r="J44" s="85">
        <f t="shared" si="2"/>
        <v>0</v>
      </c>
      <c r="K44" s="85"/>
      <c r="L44" s="85">
        <f t="shared" si="4"/>
        <v>0</v>
      </c>
      <c r="M44" s="104">
        <f t="shared" si="21"/>
        <v>407975367.64847469</v>
      </c>
      <c r="N44" s="104">
        <f t="shared" si="14"/>
        <v>5513180.6438983055</v>
      </c>
      <c r="O44" s="104">
        <f t="shared" si="24"/>
        <v>2243864.5220666109</v>
      </c>
      <c r="P44" s="104">
        <f t="shared" si="27"/>
        <v>2154.6</v>
      </c>
      <c r="Q44" s="104">
        <f>'ПРОГНОЗ ДОХОДОВ И РАСХОДОВ НДС'!AC95</f>
        <v>7956926.0612240909</v>
      </c>
      <c r="R44" s="104">
        <f>'ПРОГНОЗ ДОХОДОВ И РАСХОДОВ НДС'!AC3</f>
        <v>10468474.551137075</v>
      </c>
      <c r="S44" s="104"/>
      <c r="T44" s="104">
        <f t="shared" si="16"/>
        <v>452078.72818433726</v>
      </c>
      <c r="U44" s="104">
        <f t="shared" si="17"/>
        <v>7200025.788915338</v>
      </c>
      <c r="V44" s="104">
        <f t="shared" si="18"/>
        <v>7652104.5170996748</v>
      </c>
      <c r="W44" s="89">
        <f t="shared" si="23"/>
        <v>47200169.060667217</v>
      </c>
      <c r="X44" s="89">
        <f t="shared" si="19"/>
        <v>46256165.679453872</v>
      </c>
      <c r="Y44" s="26">
        <f t="shared" si="10"/>
        <v>25910708.910077553</v>
      </c>
      <c r="Z44" s="28">
        <f>1/(1+$C$3)^8</f>
        <v>0.458112098734478</v>
      </c>
      <c r="AA44" s="29">
        <f t="shared" si="25"/>
        <v>11870009.238493767</v>
      </c>
      <c r="AB44" s="27">
        <f t="shared" si="6"/>
        <v>-7652104.5170996748</v>
      </c>
    </row>
    <row r="45" spans="1:28" x14ac:dyDescent="0.25">
      <c r="A45" s="25" t="s">
        <v>96</v>
      </c>
      <c r="B45" s="88"/>
      <c r="C45" s="88">
        <f t="shared" si="3"/>
        <v>312210832.62444586</v>
      </c>
      <c r="D45" s="87">
        <f t="shared" si="7"/>
        <v>8210790.1862358293</v>
      </c>
      <c r="E45" s="87"/>
      <c r="F45" s="87"/>
      <c r="G45" s="87">
        <f>(SUM($F$11:$F$18)-$H$19*26)*$L$2/4</f>
        <v>2134634.6305593746</v>
      </c>
      <c r="H45" s="87">
        <f t="shared" si="20"/>
        <v>14230897.5370625</v>
      </c>
      <c r="I45" s="87">
        <f t="shared" si="28"/>
        <v>85385385.222374707</v>
      </c>
      <c r="J45" s="85">
        <f t="shared" si="2"/>
        <v>0</v>
      </c>
      <c r="K45" s="85"/>
      <c r="L45" s="85">
        <f t="shared" si="4"/>
        <v>0</v>
      </c>
      <c r="M45" s="104">
        <f t="shared" si="21"/>
        <v>402462187.00457639</v>
      </c>
      <c r="N45" s="104">
        <f t="shared" si="14"/>
        <v>5513180.6438983055</v>
      </c>
      <c r="O45" s="104">
        <f t="shared" si="24"/>
        <v>2213542.0285251699</v>
      </c>
      <c r="P45" s="104">
        <f t="shared" si="27"/>
        <v>2154.6</v>
      </c>
      <c r="Q45" s="104">
        <f>'ПРОГНОЗ ДОХОДОВ И РАСХОДОВ НДС'!AD95</f>
        <v>7956926.0612240909</v>
      </c>
      <c r="R45" s="104">
        <f>'ПРОГНОЗ ДОХОДОВ И РАСХОДОВ НДС'!AD3</f>
        <v>10468474.551137075</v>
      </c>
      <c r="S45" s="104"/>
      <c r="T45" s="104">
        <f t="shared" si="16"/>
        <v>452078.72818433726</v>
      </c>
      <c r="U45" s="104">
        <f t="shared" si="17"/>
        <v>7200025.788915338</v>
      </c>
      <c r="V45" s="104">
        <f t="shared" si="18"/>
        <v>7652104.5170996748</v>
      </c>
      <c r="W45" s="89">
        <f t="shared" si="23"/>
        <v>47200169.060667217</v>
      </c>
      <c r="X45" s="89">
        <f t="shared" si="19"/>
        <v>46256165.679453872</v>
      </c>
      <c r="Y45" s="26">
        <f t="shared" si="10"/>
        <v>26296803.842045568</v>
      </c>
      <c r="Z45" s="28">
        <f>1/(1+$C$3)^8</f>
        <v>0.458112098734478</v>
      </c>
      <c r="AA45" s="29">
        <f t="shared" si="25"/>
        <v>12046883.99808838</v>
      </c>
      <c r="AB45" s="27">
        <f t="shared" si="6"/>
        <v>-7652104.5170996748</v>
      </c>
    </row>
    <row r="46" spans="1:28" x14ac:dyDescent="0.25">
      <c r="A46" s="25" t="s">
        <v>97</v>
      </c>
      <c r="B46" s="88"/>
      <c r="C46" s="88">
        <f t="shared" si="3"/>
        <v>304210443.58058929</v>
      </c>
      <c r="D46" s="87">
        <f t="shared" si="7"/>
        <v>8000389.0438565603</v>
      </c>
      <c r="E46" s="87"/>
      <c r="F46" s="87"/>
      <c r="G46" s="87">
        <f>(SUM($F$11:$F$18)-$H$19*27)*$L$2/4</f>
        <v>1778862.1921328129</v>
      </c>
      <c r="H46" s="87">
        <f t="shared" si="20"/>
        <v>14230897.5370625</v>
      </c>
      <c r="I46" s="87">
        <f t="shared" si="28"/>
        <v>71154487.685312212</v>
      </c>
      <c r="J46" s="85">
        <f t="shared" si="2"/>
        <v>0</v>
      </c>
      <c r="K46" s="85"/>
      <c r="L46" s="85">
        <f t="shared" si="4"/>
        <v>0</v>
      </c>
      <c r="M46" s="104">
        <f t="shared" si="21"/>
        <v>396949006.36067808</v>
      </c>
      <c r="N46" s="104">
        <f t="shared" si="14"/>
        <v>5513180.6438983055</v>
      </c>
      <c r="O46" s="104">
        <f t="shared" si="24"/>
        <v>2183219.5349837295</v>
      </c>
      <c r="P46" s="104">
        <f t="shared" si="27"/>
        <v>2154.6</v>
      </c>
      <c r="Q46" s="104">
        <f>'ПРОГНОЗ ДОХОДОВ И РАСХОДОВ НДС'!AE95</f>
        <v>9581914.2296384424</v>
      </c>
      <c r="R46" s="104">
        <f>'ПРОГНОЗ ДОХОДОВ И РАСХОДОВ НДС'!AE3</f>
        <v>4486489.0933444602</v>
      </c>
      <c r="S46" s="104"/>
      <c r="T46" s="104">
        <f t="shared" si="16"/>
        <v>-917176.52453291684</v>
      </c>
      <c r="U46" s="104">
        <f t="shared" si="17"/>
        <v>7200025.788915338</v>
      </c>
      <c r="V46" s="104">
        <f t="shared" si="18"/>
        <v>6282849.264382421</v>
      </c>
      <c r="W46" s="89">
        <f t="shared" si="23"/>
        <v>47200169.060667217</v>
      </c>
      <c r="X46" s="89">
        <f t="shared" si="19"/>
        <v>46256165.679453872</v>
      </c>
      <c r="Y46" s="26">
        <f t="shared" si="10"/>
        <v>26427165.858316462</v>
      </c>
      <c r="Z46" s="28">
        <f>1/(1+$C$3)^8</f>
        <v>0.458112098734478</v>
      </c>
      <c r="AA46" s="29">
        <f t="shared" si="25"/>
        <v>12106604.414957497</v>
      </c>
      <c r="AB46" s="27">
        <f t="shared" si="6"/>
        <v>-6282849.264382421</v>
      </c>
    </row>
    <row r="47" spans="1:28" x14ac:dyDescent="0.25">
      <c r="A47" s="25" t="s">
        <v>98</v>
      </c>
      <c r="B47" s="88"/>
      <c r="C47" s="88">
        <f t="shared" si="3"/>
        <v>296415064.15896469</v>
      </c>
      <c r="D47" s="87">
        <f t="shared" si="7"/>
        <v>7795379.4216246102</v>
      </c>
      <c r="E47" s="87"/>
      <c r="F47" s="87"/>
      <c r="G47" s="87">
        <f>(SUM($F$11:$F$18)-$H$19*28)*$L$2/4</f>
        <v>1423089.7537062496</v>
      </c>
      <c r="H47" s="87">
        <f t="shared" si="20"/>
        <v>14230897.5370625</v>
      </c>
      <c r="I47" s="87">
        <f t="shared" si="28"/>
        <v>56923590.148249716</v>
      </c>
      <c r="J47" s="85">
        <f t="shared" si="2"/>
        <v>0</v>
      </c>
      <c r="K47" s="85"/>
      <c r="L47" s="85">
        <f t="shared" si="4"/>
        <v>0</v>
      </c>
      <c r="M47" s="104">
        <f t="shared" si="21"/>
        <v>391435825.71677977</v>
      </c>
      <c r="N47" s="104">
        <f t="shared" si="14"/>
        <v>5513180.6438983055</v>
      </c>
      <c r="O47" s="104">
        <f t="shared" si="24"/>
        <v>2152897.0414422886</v>
      </c>
      <c r="P47" s="104">
        <f t="shared" si="27"/>
        <v>2154.6</v>
      </c>
      <c r="Q47" s="104">
        <f>'ПРОГНОЗ ДОХОДОВ И РАСХОДОВ НДС'!AF95</f>
        <v>8716660.6781465486</v>
      </c>
      <c r="R47" s="104">
        <f>'ПРОГНОЗ ДОХОДОВ И РАСХОДОВ НДС'!AF3</f>
        <v>5365840.9556399751</v>
      </c>
      <c r="S47" s="104"/>
      <c r="T47" s="104">
        <f t="shared" si="16"/>
        <v>-603147.55005118321</v>
      </c>
      <c r="U47" s="104">
        <f t="shared" si="17"/>
        <v>7200025.788915338</v>
      </c>
      <c r="V47" s="104">
        <f t="shared" si="18"/>
        <v>6596878.2388641546</v>
      </c>
      <c r="W47" s="89">
        <f t="shared" si="23"/>
        <v>47200169.060667217</v>
      </c>
      <c r="X47" s="89">
        <f t="shared" si="19"/>
        <v>46256165.679453872</v>
      </c>
      <c r="Y47" s="26">
        <f t="shared" si="10"/>
        <v>27364485.367294628</v>
      </c>
      <c r="Z47" s="28">
        <f>1/(1+$C$3)^9</f>
        <v>0.41552124338087421</v>
      </c>
      <c r="AA47" s="29">
        <f t="shared" si="25"/>
        <v>11370524.984296001</v>
      </c>
      <c r="AB47" s="27">
        <f t="shared" si="6"/>
        <v>-6596878.2388641546</v>
      </c>
    </row>
    <row r="48" spans="1:28" x14ac:dyDescent="0.25">
      <c r="A48" s="25" t="s">
        <v>99</v>
      </c>
      <c r="B48" s="88"/>
      <c r="C48" s="88">
        <f t="shared" si="3"/>
        <v>288819440.99689466</v>
      </c>
      <c r="D48" s="87">
        <f t="shared" si="7"/>
        <v>7595623.1620700629</v>
      </c>
      <c r="E48" s="87"/>
      <c r="F48" s="87"/>
      <c r="G48" s="87">
        <f>(SUM($F$11:$F$18)-$H$19*29)*$L$2/4</f>
        <v>1067317.315279688</v>
      </c>
      <c r="H48" s="87">
        <f t="shared" si="20"/>
        <v>14230897.5370625</v>
      </c>
      <c r="I48" s="87">
        <f t="shared" si="28"/>
        <v>42692692.61118722</v>
      </c>
      <c r="J48" s="85">
        <f t="shared" si="2"/>
        <v>0</v>
      </c>
      <c r="K48" s="85"/>
      <c r="L48" s="85">
        <f t="shared" si="4"/>
        <v>0</v>
      </c>
      <c r="M48" s="104">
        <f t="shared" si="21"/>
        <v>385922645.07288146</v>
      </c>
      <c r="N48" s="104">
        <f t="shared" si="14"/>
        <v>5513180.6438983055</v>
      </c>
      <c r="O48" s="104">
        <f t="shared" si="24"/>
        <v>2122574.5479008481</v>
      </c>
      <c r="P48" s="104">
        <f t="shared" si="27"/>
        <v>2154.6</v>
      </c>
      <c r="Q48" s="104">
        <f>'ПРОГНОЗ ДОХОДОВ И РАСХОДОВ НДС'!AG95</f>
        <v>8275203.1036730558</v>
      </c>
      <c r="R48" s="104">
        <f>'ПРОГНОЗ ДОХОДОВ И РАСХОДОВ НДС'!AG3</f>
        <v>12520295.563159941</v>
      </c>
      <c r="S48" s="104"/>
      <c r="T48" s="104">
        <f t="shared" si="16"/>
        <v>764116.64270763914</v>
      </c>
      <c r="U48" s="104">
        <f t="shared" si="17"/>
        <v>7200025.788915338</v>
      </c>
      <c r="V48" s="104">
        <f t="shared" si="18"/>
        <v>7964142.4316229774</v>
      </c>
      <c r="W48" s="89">
        <f t="shared" si="23"/>
        <v>47200169.060667217</v>
      </c>
      <c r="X48" s="89">
        <f t="shared" si="19"/>
        <v>46256165.679453872</v>
      </c>
      <c r="Y48" s="26">
        <f t="shared" si="10"/>
        <v>26824773.680977304</v>
      </c>
      <c r="Z48" s="28">
        <f>1/(1+$C$3)^9</f>
        <v>0.41552124338087421</v>
      </c>
      <c r="AA48" s="29">
        <f t="shared" si="25"/>
        <v>11146263.313330239</v>
      </c>
      <c r="AB48" s="27">
        <f t="shared" si="6"/>
        <v>-7964142.4316229774</v>
      </c>
    </row>
    <row r="49" spans="1:28" x14ac:dyDescent="0.25">
      <c r="A49" s="25" t="s">
        <v>100</v>
      </c>
      <c r="B49" s="88"/>
      <c r="C49" s="88">
        <f t="shared" si="3"/>
        <v>281418455.34889251</v>
      </c>
      <c r="D49" s="87">
        <f t="shared" si="7"/>
        <v>7400985.6480021728</v>
      </c>
      <c r="E49" s="87"/>
      <c r="F49" s="87"/>
      <c r="G49" s="87">
        <f>(SUM($F$11:$F$18)-$H$19*30)*$L$2/4</f>
        <v>711544.87685312482</v>
      </c>
      <c r="H49" s="87">
        <f t="shared" si="20"/>
        <v>14230897.5370625</v>
      </c>
      <c r="I49" s="87">
        <f t="shared" si="28"/>
        <v>28461795.07412472</v>
      </c>
      <c r="J49" s="85">
        <f t="shared" si="2"/>
        <v>0</v>
      </c>
      <c r="K49" s="85"/>
      <c r="L49" s="85">
        <f t="shared" si="4"/>
        <v>0</v>
      </c>
      <c r="M49" s="104">
        <f t="shared" si="21"/>
        <v>380409464.42898315</v>
      </c>
      <c r="N49" s="104">
        <f t="shared" si="14"/>
        <v>5513180.6438983055</v>
      </c>
      <c r="O49" s="104">
        <f t="shared" si="24"/>
        <v>2092252.0543594072</v>
      </c>
      <c r="P49" s="104">
        <f t="shared" si="27"/>
        <v>2154.6</v>
      </c>
      <c r="Q49" s="104">
        <f>'ПРОГНОЗ ДОХОДОВ И РАСХОДОВ НДС'!AI95</f>
        <v>8994404.5962239783</v>
      </c>
      <c r="R49" s="104">
        <f>'ПРОГНОЗ ДОХОДОВ И РАСХОДОВ НДС'!AH3</f>
        <v>12520295.563159941</v>
      </c>
      <c r="S49" s="104"/>
      <c r="T49" s="104">
        <f t="shared" si="16"/>
        <v>634660.37404847308</v>
      </c>
      <c r="U49" s="104">
        <f t="shared" si="17"/>
        <v>7200025.788915338</v>
      </c>
      <c r="V49" s="104">
        <f t="shared" si="18"/>
        <v>7834686.1629638113</v>
      </c>
      <c r="W49" s="89">
        <f t="shared" si="23"/>
        <v>47200169.060667217</v>
      </c>
      <c r="X49" s="89">
        <f t="shared" si="19"/>
        <v>46256165.679453872</v>
      </c>
      <c r="Y49" s="26">
        <f t="shared" si="10"/>
        <v>26621123.389053553</v>
      </c>
      <c r="Z49" s="28">
        <f>1/(1+$C$3)^9</f>
        <v>0.41552124338087421</v>
      </c>
      <c r="AA49" s="29">
        <f t="shared" si="25"/>
        <v>11061642.290815204</v>
      </c>
      <c r="AB49" s="27">
        <f t="shared" si="6"/>
        <v>-7834686.1629638113</v>
      </c>
    </row>
    <row r="50" spans="1:28" x14ac:dyDescent="0.25">
      <c r="A50" s="25" t="s">
        <v>101</v>
      </c>
      <c r="B50" s="88"/>
      <c r="C50" s="88">
        <f t="shared" si="3"/>
        <v>274207119.63710266</v>
      </c>
      <c r="D50" s="87">
        <f t="shared" si="7"/>
        <v>7211335.7117898697</v>
      </c>
      <c r="E50" s="87"/>
      <c r="F50" s="87"/>
      <c r="G50" s="87">
        <f>(SUM($F$11:$F$18)-$H$19*31)*$L$2/4</f>
        <v>355772.43842656317</v>
      </c>
      <c r="H50" s="87">
        <f t="shared" si="20"/>
        <v>14230897.5370625</v>
      </c>
      <c r="I50" s="87">
        <f t="shared" si="28"/>
        <v>14230897.53706222</v>
      </c>
      <c r="J50" s="85">
        <f t="shared" si="2"/>
        <v>0</v>
      </c>
      <c r="K50" s="85"/>
      <c r="L50" s="85">
        <f t="shared" si="4"/>
        <v>0</v>
      </c>
      <c r="M50" s="104">
        <f t="shared" si="21"/>
        <v>374896283.78508484</v>
      </c>
      <c r="N50" s="104">
        <f t="shared" si="14"/>
        <v>5513180.6438983055</v>
      </c>
      <c r="O50" s="104">
        <f t="shared" si="24"/>
        <v>2061929.5608179665</v>
      </c>
      <c r="P50" s="104">
        <f t="shared" si="27"/>
        <v>2154.6</v>
      </c>
      <c r="Q50" s="104">
        <f>'ПРОГНОЗ ДОХОДОВ И РАСХОДОВ НДС'!AI95</f>
        <v>8994404.5962239783</v>
      </c>
      <c r="R50" s="104">
        <f>'ПРОГНОЗ ДОХОДОВ И РАСХОДОВ НДС'!AI3</f>
        <v>5365840.9556399751</v>
      </c>
      <c r="S50" s="104"/>
      <c r="T50" s="104">
        <f t="shared" si="16"/>
        <v>-653141.45530512067</v>
      </c>
      <c r="U50" s="104">
        <f t="shared" si="17"/>
        <v>7200025.788915338</v>
      </c>
      <c r="V50" s="104">
        <f t="shared" si="18"/>
        <v>6546884.3336102171</v>
      </c>
      <c r="W50" s="89">
        <f t="shared" si="23"/>
        <v>47200169.060667217</v>
      </c>
      <c r="X50" s="89">
        <f t="shared" si="19"/>
        <v>46256165.679453872</v>
      </c>
      <c r="Y50" s="26">
        <f t="shared" si="10"/>
        <v>28295020.15037515</v>
      </c>
      <c r="Z50" s="28">
        <f>1/(1+$C$3)^9</f>
        <v>0.41552124338087421</v>
      </c>
      <c r="AA50" s="29">
        <f t="shared" si="25"/>
        <v>11757181.954370772</v>
      </c>
      <c r="AB50" s="27">
        <f t="shared" si="6"/>
        <v>-6546884.3336102171</v>
      </c>
    </row>
    <row r="51" spans="1:28" x14ac:dyDescent="0.25">
      <c r="A51" s="25" t="s">
        <v>169</v>
      </c>
      <c r="B51" s="88"/>
      <c r="C51" s="88">
        <f t="shared" si="3"/>
        <v>267180574.09013572</v>
      </c>
      <c r="D51" s="87">
        <f t="shared" si="7"/>
        <v>7026545.546966942</v>
      </c>
      <c r="E51" s="87"/>
      <c r="F51" s="87"/>
      <c r="G51" s="87"/>
      <c r="H51" s="87"/>
      <c r="I51" s="87"/>
      <c r="J51" s="85">
        <f t="shared" si="2"/>
        <v>0</v>
      </c>
      <c r="K51" s="85"/>
      <c r="L51" s="85">
        <f t="shared" si="4"/>
        <v>0</v>
      </c>
      <c r="M51" s="104">
        <f t="shared" si="21"/>
        <v>369383103.14118654</v>
      </c>
      <c r="N51" s="104">
        <f t="shared" si="14"/>
        <v>5513180.6438983055</v>
      </c>
      <c r="O51" s="104">
        <f t="shared" si="24"/>
        <v>2031607.0672765258</v>
      </c>
      <c r="P51" s="104">
        <f t="shared" si="27"/>
        <v>2154.6</v>
      </c>
      <c r="Q51" s="104">
        <f>'ПРОГНОЗ ДОХОДОВ И РАСХОДОВ НДС'!AJ95</f>
        <v>9065327.1052724123</v>
      </c>
      <c r="R51" s="104">
        <f>'ПРОГНОЗ ДОХОДОВ И РАСХОДОВ НДС'!AJ3</f>
        <v>6417545.7829454085</v>
      </c>
      <c r="S51" s="104"/>
      <c r="T51" s="104">
        <f t="shared" si="16"/>
        <v>-476600.63801886071</v>
      </c>
      <c r="U51" s="104">
        <f t="shared" si="17"/>
        <v>7200025.788915338</v>
      </c>
      <c r="V51" s="104">
        <f t="shared" si="18"/>
        <v>6723425.1508964775</v>
      </c>
      <c r="W51" s="89">
        <f t="shared" si="23"/>
        <v>47200169.060667217</v>
      </c>
      <c r="X51" s="89">
        <f t="shared" si="19"/>
        <v>46256165.679453872</v>
      </c>
      <c r="Y51" s="26">
        <f t="shared" si="10"/>
        <v>28433651.756008461</v>
      </c>
      <c r="Z51" s="28">
        <f>1/(1+$C$3)^10</f>
        <v>0.37689007598304075</v>
      </c>
      <c r="AA51" s="29">
        <f t="shared" si="25"/>
        <v>10716361.17079735</v>
      </c>
      <c r="AB51" s="27">
        <f t="shared" si="6"/>
        <v>-6723425.1508964775</v>
      </c>
    </row>
    <row r="52" spans="1:28" x14ac:dyDescent="0.25">
      <c r="A52" s="25" t="s">
        <v>170</v>
      </c>
      <c r="B52" s="88"/>
      <c r="C52" s="88">
        <f t="shared" si="3"/>
        <v>260334083.4680334</v>
      </c>
      <c r="D52" s="87">
        <f t="shared" si="7"/>
        <v>6846490.6221023267</v>
      </c>
      <c r="E52" s="87"/>
      <c r="F52" s="87"/>
      <c r="G52" s="87"/>
      <c r="H52" s="87"/>
      <c r="I52" s="87"/>
      <c r="J52" s="85">
        <f t="shared" si="2"/>
        <v>0</v>
      </c>
      <c r="K52" s="85"/>
      <c r="L52" s="85">
        <f t="shared" si="4"/>
        <v>0</v>
      </c>
      <c r="M52" s="104">
        <f t="shared" si="21"/>
        <v>363869922.49728823</v>
      </c>
      <c r="N52" s="104">
        <f t="shared" si="14"/>
        <v>5513180.6438983055</v>
      </c>
      <c r="O52" s="104">
        <f t="shared" si="24"/>
        <v>2001284.5737350851</v>
      </c>
      <c r="P52" s="104">
        <f t="shared" si="27"/>
        <v>2154.6</v>
      </c>
      <c r="Q52" s="104">
        <f>'ПРОГНОЗ ДОХОДОВ И РАСХОДОВ НДС'!AK95</f>
        <v>8606211.2278199773</v>
      </c>
      <c r="R52" s="104">
        <f>'ПРОГНОЗ ДОХОДОВ И РАСХОДОВ НДС'!AK3</f>
        <v>14974273.493539287</v>
      </c>
      <c r="S52" s="104"/>
      <c r="T52" s="104">
        <f t="shared" si="16"/>
        <v>1146251.2078294756</v>
      </c>
      <c r="U52" s="104">
        <f t="shared" si="17"/>
        <v>7200025.788915338</v>
      </c>
      <c r="V52" s="104">
        <f t="shared" si="18"/>
        <v>8346276.9967448134</v>
      </c>
      <c r="W52" s="89">
        <f t="shared" si="23"/>
        <v>47200169.060667217</v>
      </c>
      <c r="X52" s="89">
        <f t="shared" si="19"/>
        <v>46256165.679453872</v>
      </c>
      <c r="Y52" s="26">
        <f t="shared" si="10"/>
        <v>27300238.281153992</v>
      </c>
      <c r="Z52" s="28">
        <f>1/(1+$C$3)^10</f>
        <v>0.37689007598304075</v>
      </c>
      <c r="AA52" s="29">
        <f t="shared" si="25"/>
        <v>10289188.880139247</v>
      </c>
      <c r="AB52" s="27">
        <f t="shared" si="6"/>
        <v>-8346276.9967448134</v>
      </c>
    </row>
    <row r="53" spans="1:28" x14ac:dyDescent="0.25">
      <c r="A53" s="25" t="s">
        <v>171</v>
      </c>
      <c r="B53" s="88"/>
      <c r="C53" s="88">
        <f t="shared" si="3"/>
        <v>253663033.87115592</v>
      </c>
      <c r="D53" s="87">
        <f t="shared" si="7"/>
        <v>6671049.5968774855</v>
      </c>
      <c r="E53" s="87"/>
      <c r="F53" s="87"/>
      <c r="G53" s="87"/>
      <c r="H53" s="87"/>
      <c r="I53" s="87"/>
      <c r="J53" s="85">
        <f t="shared" si="2"/>
        <v>0</v>
      </c>
      <c r="K53" s="85"/>
      <c r="L53" s="85">
        <f t="shared" si="4"/>
        <v>0</v>
      </c>
      <c r="M53" s="104">
        <f t="shared" si="21"/>
        <v>358356741.85338992</v>
      </c>
      <c r="N53" s="104">
        <f t="shared" si="14"/>
        <v>5513180.6438983055</v>
      </c>
      <c r="O53" s="104">
        <f t="shared" si="24"/>
        <v>1970962.0801936444</v>
      </c>
      <c r="P53" s="104">
        <f t="shared" si="27"/>
        <v>2154.6</v>
      </c>
      <c r="Q53" s="104">
        <f>'ПРОГНОЗ ДОХОДОВ И РАСХОДОВ НДС'!AL95</f>
        <v>8606211.2278199773</v>
      </c>
      <c r="R53" s="104">
        <f>'ПРОГНОЗ ДОХОДОВ И РАСХОДОВ НДС'!AL3</f>
        <v>14974273.493539287</v>
      </c>
      <c r="S53" s="104"/>
      <c r="T53" s="104">
        <f t="shared" si="16"/>
        <v>1146251.2078294756</v>
      </c>
      <c r="U53" s="104">
        <f t="shared" si="17"/>
        <v>7200025.788915338</v>
      </c>
      <c r="V53" s="104">
        <f t="shared" si="18"/>
        <v>8346276.9967448134</v>
      </c>
      <c r="W53" s="89">
        <f t="shared" si="23"/>
        <v>47200169.060667217</v>
      </c>
      <c r="X53" s="89">
        <f t="shared" si="19"/>
        <v>46256165.679453872</v>
      </c>
      <c r="Y53" s="26">
        <f t="shared" si="10"/>
        <v>27330560.774695434</v>
      </c>
      <c r="Z53" s="28">
        <f>1/(1+$C$3)^10</f>
        <v>0.37689007598304075</v>
      </c>
      <c r="AA53" s="29">
        <f t="shared" si="25"/>
        <v>10300617.127034076</v>
      </c>
      <c r="AB53" s="27">
        <f t="shared" si="6"/>
        <v>-8346276.9967448134</v>
      </c>
    </row>
    <row r="54" spans="1:28" x14ac:dyDescent="0.25">
      <c r="A54" s="25" t="s">
        <v>172</v>
      </c>
      <c r="B54" s="88"/>
      <c r="C54" s="88">
        <f t="shared" si="3"/>
        <v>247162929.63084164</v>
      </c>
      <c r="D54" s="87">
        <f t="shared" si="7"/>
        <v>6500104.240314276</v>
      </c>
      <c r="E54" s="87"/>
      <c r="F54" s="87"/>
      <c r="G54" s="87"/>
      <c r="H54" s="87"/>
      <c r="I54" s="87"/>
      <c r="J54" s="85">
        <f t="shared" si="2"/>
        <v>0</v>
      </c>
      <c r="K54" s="85"/>
      <c r="L54" s="85">
        <f t="shared" si="4"/>
        <v>0</v>
      </c>
      <c r="M54" s="104">
        <f t="shared" si="21"/>
        <v>352843561.20949161</v>
      </c>
      <c r="N54" s="104">
        <f t="shared" si="14"/>
        <v>5513180.6438983055</v>
      </c>
      <c r="O54" s="104">
        <f t="shared" si="24"/>
        <v>1940639.5866522037</v>
      </c>
      <c r="P54" s="104">
        <f t="shared" si="27"/>
        <v>2154.6</v>
      </c>
      <c r="Q54" s="104">
        <f>'ПРОГНОЗ ДОХОДОВ И РАСХОДОВ НДС'!AM95</f>
        <v>9337231.8150729369</v>
      </c>
      <c r="R54" s="104">
        <f>'ПРОГНОЗ ДОХОДОВ И РАСХОДОВ НДС'!AM3</f>
        <v>6417545.7829454085</v>
      </c>
      <c r="S54" s="104"/>
      <c r="T54" s="104">
        <f t="shared" si="16"/>
        <v>-525543.48578295507</v>
      </c>
      <c r="U54" s="104">
        <f t="shared" si="17"/>
        <v>7200025.788915338</v>
      </c>
      <c r="V54" s="104">
        <f t="shared" si="18"/>
        <v>6674482.3031323832</v>
      </c>
      <c r="W54" s="89">
        <f t="shared" si="23"/>
        <v>47200169.060667217</v>
      </c>
      <c r="X54" s="89">
        <f t="shared" si="19"/>
        <v>46256165.679453872</v>
      </c>
      <c r="Y54" s="26">
        <f t="shared" si="10"/>
        <v>28301657.374596342</v>
      </c>
      <c r="Z54" s="28">
        <f>1/(1+$C$3)^10</f>
        <v>0.37689007598304075</v>
      </c>
      <c r="AA54" s="29">
        <f t="shared" si="25"/>
        <v>10666613.7983576</v>
      </c>
      <c r="AB54" s="27">
        <f t="shared" si="6"/>
        <v>-6674482.3031323832</v>
      </c>
    </row>
    <row r="55" spans="1:28" x14ac:dyDescent="0.25">
      <c r="A55" s="25" t="s">
        <v>173</v>
      </c>
      <c r="B55" s="88"/>
      <c r="C55" s="88">
        <f t="shared" si="3"/>
        <v>240829390.2797434</v>
      </c>
      <c r="D55" s="87">
        <f t="shared" si="7"/>
        <v>6333539.3510982441</v>
      </c>
      <c r="E55" s="87"/>
      <c r="F55" s="87"/>
      <c r="G55" s="87"/>
      <c r="H55" s="87"/>
      <c r="I55" s="87"/>
      <c r="J55" s="85">
        <f t="shared" si="2"/>
        <v>0</v>
      </c>
      <c r="K55" s="85"/>
      <c r="L55" s="85">
        <f t="shared" si="4"/>
        <v>0</v>
      </c>
      <c r="M55" s="104">
        <f t="shared" si="21"/>
        <v>347330380.5655933</v>
      </c>
      <c r="N55" s="104">
        <f t="shared" si="14"/>
        <v>5513180.6438983055</v>
      </c>
      <c r="O55" s="104">
        <f t="shared" si="24"/>
        <v>1910317.093110763</v>
      </c>
      <c r="P55" s="104">
        <f t="shared" si="27"/>
        <v>2154.6</v>
      </c>
      <c r="Q55" s="104">
        <f>'ПРОГНОЗ ДОХОДОВ И РАСХОДОВ НДС'!AO95</f>
        <v>8950459.6769327763</v>
      </c>
      <c r="R55" s="104">
        <f>'ПРОГНОЗ ДОХОДОВ И РАСХОДОВ НДС'!AN3</f>
        <v>7675384.7564027105</v>
      </c>
      <c r="S55" s="104"/>
      <c r="T55" s="104">
        <f t="shared" si="16"/>
        <v>-229513.48569541192</v>
      </c>
      <c r="U55" s="104">
        <f t="shared" si="17"/>
        <v>7200025.788915338</v>
      </c>
      <c r="V55" s="104">
        <f t="shared" si="18"/>
        <v>6970512.3032199256</v>
      </c>
      <c r="W55" s="89">
        <f t="shared" si="23"/>
        <v>47200169.060667217</v>
      </c>
      <c r="X55" s="89">
        <f t="shared" si="19"/>
        <v>46256165.679453872</v>
      </c>
      <c r="Y55" s="26">
        <f t="shared" si="10"/>
        <v>28422722.006190412</v>
      </c>
      <c r="Z55" s="28">
        <f>1/(1+$C$3)^11</f>
        <v>0.34185046285178783</v>
      </c>
      <c r="AA55" s="29">
        <f t="shared" si="25"/>
        <v>9716320.6733238883</v>
      </c>
      <c r="AB55" s="27">
        <f t="shared" si="6"/>
        <v>-6970512.3032199256</v>
      </c>
    </row>
    <row r="56" spans="1:28" x14ac:dyDescent="0.25">
      <c r="A56" s="25" t="s">
        <v>174</v>
      </c>
      <c r="B56" s="88"/>
      <c r="C56" s="88">
        <f t="shared" si="3"/>
        <v>234658147.59979978</v>
      </c>
      <c r="D56" s="87">
        <f t="shared" si="7"/>
        <v>6171242.6799436212</v>
      </c>
      <c r="E56" s="87"/>
      <c r="F56" s="87"/>
      <c r="G56" s="87"/>
      <c r="H56" s="87"/>
      <c r="I56" s="87"/>
      <c r="J56" s="85">
        <f t="shared" si="2"/>
        <v>0</v>
      </c>
      <c r="K56" s="85"/>
      <c r="L56" s="85">
        <f t="shared" si="4"/>
        <v>0</v>
      </c>
      <c r="M56" s="104">
        <f t="shared" si="21"/>
        <v>341817199.92169499</v>
      </c>
      <c r="N56" s="104">
        <f t="shared" si="14"/>
        <v>5513180.6438983055</v>
      </c>
      <c r="O56" s="104">
        <f t="shared" si="24"/>
        <v>1879994.5995693223</v>
      </c>
      <c r="P56" s="104">
        <f t="shared" si="27"/>
        <v>2154.6</v>
      </c>
      <c r="Q56" s="104">
        <f>'ПРОГНОЗ ДОХОДОВ И РАСХОДОВ НДС'!AO95</f>
        <v>8950459.6769327763</v>
      </c>
      <c r="R56" s="104">
        <f>'ПРОГНОЗ ДОХОДОВ И РАСХОДОВ НДС'!AO3</f>
        <v>17909231.098272987</v>
      </c>
      <c r="S56" s="104"/>
      <c r="T56" s="104">
        <f t="shared" si="16"/>
        <v>1612578.8558412376</v>
      </c>
      <c r="U56" s="104">
        <f t="shared" si="17"/>
        <v>7200025.788915338</v>
      </c>
      <c r="V56" s="104">
        <f t="shared" si="18"/>
        <v>8812604.644756576</v>
      </c>
      <c r="W56" s="89">
        <f t="shared" si="23"/>
        <v>47200169.060667217</v>
      </c>
      <c r="X56" s="89">
        <f t="shared" si="19"/>
        <v>46256165.679453872</v>
      </c>
      <c r="Y56" s="26">
        <f t="shared" si="10"/>
        <v>26610952.158195198</v>
      </c>
      <c r="Z56" s="28">
        <f>1/(1+$C$3)^11</f>
        <v>0.34185046285178783</v>
      </c>
      <c r="AA56" s="29">
        <f t="shared" si="25"/>
        <v>9096966.3122058101</v>
      </c>
      <c r="AB56" s="27">
        <f t="shared" si="6"/>
        <v>-8812604.644756576</v>
      </c>
    </row>
    <row r="57" spans="1:28" x14ac:dyDescent="0.25">
      <c r="A57" s="25" t="s">
        <v>175</v>
      </c>
      <c r="B57" s="88"/>
      <c r="C57" s="88">
        <f t="shared" si="3"/>
        <v>228645042.74585205</v>
      </c>
      <c r="D57" s="87">
        <f t="shared" si="7"/>
        <v>6013104.8539477177</v>
      </c>
      <c r="E57" s="87"/>
      <c r="F57" s="87"/>
      <c r="G57" s="87"/>
      <c r="H57" s="87"/>
      <c r="I57" s="87"/>
      <c r="J57" s="85">
        <f t="shared" si="2"/>
        <v>0</v>
      </c>
      <c r="K57" s="85"/>
      <c r="L57" s="85">
        <f t="shared" si="4"/>
        <v>0</v>
      </c>
      <c r="M57" s="104">
        <f t="shared" si="21"/>
        <v>336304019.27779669</v>
      </c>
      <c r="N57" s="104">
        <f t="shared" si="14"/>
        <v>5513180.6438983055</v>
      </c>
      <c r="O57" s="104">
        <f t="shared" si="24"/>
        <v>1849672.1060278816</v>
      </c>
      <c r="P57" s="104">
        <f t="shared" si="27"/>
        <v>2154.6</v>
      </c>
      <c r="Q57" s="104">
        <f>'ПРОГНОЗ ДОХОДОВ И РАСХОДОВ НДС'!AP95</f>
        <v>8950459.6769327763</v>
      </c>
      <c r="R57" s="104">
        <f>'ПРОГНОЗ ДОХОДОВ И РАСХОДОВ НДС'!AP3</f>
        <v>17909231.098272987</v>
      </c>
      <c r="S57" s="104"/>
      <c r="T57" s="104">
        <f t="shared" si="16"/>
        <v>1612578.8558412376</v>
      </c>
      <c r="U57" s="104">
        <f t="shared" si="17"/>
        <v>7200025.788915338</v>
      </c>
      <c r="V57" s="104">
        <f>U57+T57</f>
        <v>8812604.644756576</v>
      </c>
      <c r="W57" s="89">
        <f t="shared" si="23"/>
        <v>47200169.060667217</v>
      </c>
      <c r="X57" s="89">
        <f t="shared" si="19"/>
        <v>46256165.679453872</v>
      </c>
      <c r="Y57" s="26">
        <f t="shared" si="10"/>
        <v>26641274.651736639</v>
      </c>
      <c r="Z57" s="28">
        <f>1/(1+$C$3)^11</f>
        <v>0.34185046285178783</v>
      </c>
      <c r="AA57" s="29">
        <f t="shared" si="25"/>
        <v>9107332.0706577729</v>
      </c>
      <c r="AB57" s="27">
        <f t="shared" si="6"/>
        <v>-8812604.644756576</v>
      </c>
    </row>
    <row r="58" spans="1:28" x14ac:dyDescent="0.25">
      <c r="A58" s="25" t="s">
        <v>176</v>
      </c>
      <c r="B58" s="88"/>
      <c r="C58" s="88">
        <f t="shared" si="3"/>
        <v>222786023.44296831</v>
      </c>
      <c r="D58" s="87">
        <f t="shared" si="7"/>
        <v>5859019.3028837303</v>
      </c>
      <c r="E58" s="87"/>
      <c r="F58" s="87"/>
      <c r="G58" s="87"/>
      <c r="H58" s="87"/>
      <c r="I58" s="87"/>
      <c r="J58" s="85">
        <f t="shared" si="2"/>
        <v>0</v>
      </c>
      <c r="K58" s="85"/>
      <c r="L58" s="85">
        <f>J58/(1+$C$4)</f>
        <v>0</v>
      </c>
      <c r="M58" s="104">
        <f t="shared" si="21"/>
        <v>330790838.63389838</v>
      </c>
      <c r="N58" s="104">
        <f t="shared" si="14"/>
        <v>5513180.6438983055</v>
      </c>
      <c r="O58" s="104">
        <f t="shared" si="24"/>
        <v>1819349.6124864409</v>
      </c>
      <c r="P58" s="104">
        <f t="shared" si="27"/>
        <v>2154.6</v>
      </c>
      <c r="Q58" s="104">
        <f>'ПРОГНОЗ ДОХОДОВ И РАСХОДОВ НДС'!AQ95</f>
        <v>10610923.312675854</v>
      </c>
      <c r="R58" s="104">
        <f>'ПРОГНОЗ ДОХОДОВ И РАСХОДОВ НДС'!AQ3</f>
        <v>7675384.7564027105</v>
      </c>
      <c r="S58" s="104"/>
      <c r="T58" s="104">
        <f t="shared" si="16"/>
        <v>-528396.94012916577</v>
      </c>
      <c r="U58" s="104">
        <f t="shared" si="17"/>
        <v>7200025.788915338</v>
      </c>
      <c r="V58" s="104">
        <f t="shared" si="18"/>
        <v>6671628.8487861725</v>
      </c>
      <c r="W58" s="89">
        <f t="shared" si="23"/>
        <v>47200169.060667217</v>
      </c>
      <c r="X58" s="89">
        <f t="shared" si="19"/>
        <v>46256165.679453872</v>
      </c>
      <c r="Y58" s="26">
        <f t="shared" si="10"/>
        <v>27152109.305505395</v>
      </c>
      <c r="Z58" s="28">
        <f>1/(1+$C$3)^11</f>
        <v>0.34185046285178783</v>
      </c>
      <c r="AA58" s="29">
        <f t="shared" si="25"/>
        <v>9281961.1334893554</v>
      </c>
      <c r="AB58" s="27">
        <f t="shared" si="6"/>
        <v>-6671628.8487861725</v>
      </c>
    </row>
    <row r="59" spans="1:28" x14ac:dyDescent="0.25">
      <c r="A59" s="82" t="s">
        <v>39</v>
      </c>
      <c r="B59" s="83">
        <f>SUM(B11:B58)</f>
        <v>650555315.98000002</v>
      </c>
      <c r="C59" s="83">
        <f t="shared" ref="C59:AB59" si="29">SUM(C11:C58)</f>
        <v>16916250086.507767</v>
      </c>
      <c r="D59" s="83">
        <f>SUM(D11:D58)</f>
        <v>427769292.53703177</v>
      </c>
      <c r="E59" s="83"/>
      <c r="F59" s="83"/>
      <c r="G59" s="83">
        <f>SUM(G11:G58)</f>
        <v>214032698.95741999</v>
      </c>
      <c r="H59" s="83"/>
      <c r="I59" s="83"/>
      <c r="J59" s="83">
        <f t="shared" si="29"/>
        <v>650555315.98000002</v>
      </c>
      <c r="K59" s="83">
        <f t="shared" si="29"/>
        <v>99237251.59016943</v>
      </c>
      <c r="L59" s="83">
        <f t="shared" si="29"/>
        <v>551318064.38983059</v>
      </c>
      <c r="M59" s="83">
        <f>M58</f>
        <v>330790838.63389838</v>
      </c>
      <c r="N59" s="83">
        <f t="shared" si="29"/>
        <v>220527225.7559323</v>
      </c>
      <c r="O59" s="83">
        <f t="shared" si="29"/>
        <v>96425529.461781397</v>
      </c>
      <c r="P59" s="83">
        <f t="shared" si="29"/>
        <v>68085.359999999986</v>
      </c>
      <c r="Q59" s="83">
        <f t="shared" si="29"/>
        <v>317263581.96664262</v>
      </c>
      <c r="R59" s="83">
        <f t="shared" si="29"/>
        <v>279088460.84091568</v>
      </c>
      <c r="S59" s="83">
        <f t="shared" ref="S59" si="30">SUM(S11:S58)</f>
        <v>0</v>
      </c>
      <c r="T59" s="83">
        <f t="shared" ref="T59" si="31">SUM(T11:T58)</f>
        <v>-6871521.8026308669</v>
      </c>
      <c r="U59" s="83">
        <f t="shared" si="29"/>
        <v>288001031.5566135</v>
      </c>
      <c r="V59" s="83">
        <f t="shared" si="29"/>
        <v>281129509.7539826</v>
      </c>
      <c r="W59" s="83">
        <f>SUM(W11:W58)</f>
        <v>1888006762.4266903</v>
      </c>
      <c r="X59" s="83">
        <f>SUM(X11:X58)</f>
        <v>1850246627.1781542</v>
      </c>
      <c r="Y59" s="83">
        <f>SUM(Y11:Y58)</f>
        <v>390009157.28849739</v>
      </c>
      <c r="Z59" s="83"/>
      <c r="AA59" s="83">
        <f t="shared" si="29"/>
        <v>-138209970.83584332</v>
      </c>
      <c r="AB59" s="235">
        <f t="shared" si="29"/>
        <v>-181892258.16381326</v>
      </c>
    </row>
    <row r="60" spans="1:28" hidden="1" x14ac:dyDescent="0.25">
      <c r="W60" s="115"/>
      <c r="X60" s="115"/>
      <c r="Y60" s="150" t="e">
        <f>W59/W60</f>
        <v>#DIV/0!</v>
      </c>
    </row>
    <row r="61" spans="1:28" hidden="1" x14ac:dyDescent="0.25">
      <c r="B61" s="39">
        <f>B59*0.9</f>
        <v>585499784.38200009</v>
      </c>
      <c r="D61" s="39">
        <f t="shared" ref="D61:U61" si="32">D59*0.9</f>
        <v>384992363.28332859</v>
      </c>
      <c r="G61" s="39">
        <f t="shared" si="32"/>
        <v>192629429.06167799</v>
      </c>
      <c r="K61" s="39">
        <f t="shared" si="32"/>
        <v>89313526.431152493</v>
      </c>
      <c r="O61" s="39">
        <f t="shared" si="32"/>
        <v>86782976.515603259</v>
      </c>
      <c r="P61" s="39">
        <f t="shared" si="32"/>
        <v>61276.823999999986</v>
      </c>
      <c r="Q61" s="39">
        <f t="shared" si="32"/>
        <v>285537223.76997834</v>
      </c>
      <c r="U61" s="39">
        <f t="shared" si="32"/>
        <v>259200928.40095216</v>
      </c>
      <c r="W61" s="39">
        <f>U61+Q61+P61+O61-K61+G61+D61+B61</f>
        <v>1705390455.8063879</v>
      </c>
      <c r="Y61" s="115"/>
    </row>
    <row r="62" spans="1:28" hidden="1" x14ac:dyDescent="0.25">
      <c r="W62" s="115"/>
      <c r="X62" s="115"/>
      <c r="Y62" s="115"/>
    </row>
    <row r="63" spans="1:28" hidden="1" x14ac:dyDescent="0.25">
      <c r="B63" s="39">
        <f>B61+D61+G61-K61+O61+P61+Q61+U61</f>
        <v>1705390455.8063877</v>
      </c>
      <c r="W63" s="115">
        <f>W61-W59</f>
        <v>-182616306.62030244</v>
      </c>
      <c r="X63" s="115"/>
    </row>
    <row r="64" spans="1:28" hidden="1" x14ac:dyDescent="0.25"/>
    <row r="65" hidden="1" x14ac:dyDescent="0.25"/>
    <row r="66" hidden="1" x14ac:dyDescent="0.25"/>
    <row r="67" hidden="1" x14ac:dyDescent="0.25"/>
    <row r="68" hidden="1" x14ac:dyDescent="0.25"/>
  </sheetData>
  <mergeCells count="10">
    <mergeCell ref="J9:L9"/>
    <mergeCell ref="M9:V9"/>
    <mergeCell ref="Y9:AB9"/>
    <mergeCell ref="B1:AA1"/>
    <mergeCell ref="A9:A10"/>
    <mergeCell ref="E2:F2"/>
    <mergeCell ref="E3:F3"/>
    <mergeCell ref="E4:F4"/>
    <mergeCell ref="E5:F5"/>
    <mergeCell ref="B9:I9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37"/>
  <sheetViews>
    <sheetView topLeftCell="C1" zoomScale="90" zoomScaleNormal="90" workbookViewId="0">
      <selection activeCell="T15" sqref="T15"/>
    </sheetView>
  </sheetViews>
  <sheetFormatPr defaultRowHeight="15" x14ac:dyDescent="0.25"/>
  <cols>
    <col min="1" max="1" width="7.5703125" bestFit="1" customWidth="1"/>
    <col min="2" max="2" width="39.140625" customWidth="1"/>
    <col min="3" max="3" width="16.7109375" bestFit="1" customWidth="1"/>
    <col min="4" max="4" width="17.7109375" bestFit="1" customWidth="1"/>
    <col min="5" max="6" width="13.7109375" customWidth="1"/>
    <col min="7" max="7" width="14" customWidth="1"/>
    <col min="8" max="8" width="14.140625" customWidth="1"/>
    <col min="9" max="9" width="13.85546875" customWidth="1"/>
    <col min="10" max="10" width="14.42578125" customWidth="1"/>
    <col min="11" max="11" width="13.42578125" customWidth="1"/>
    <col min="12" max="12" width="14.28515625" customWidth="1"/>
    <col min="13" max="14" width="16.5703125" bestFit="1" customWidth="1"/>
    <col min="15" max="15" width="17.85546875" bestFit="1" customWidth="1"/>
    <col min="16" max="16" width="12.28515625" hidden="1" customWidth="1"/>
    <col min="17" max="17" width="12" hidden="1" customWidth="1"/>
  </cols>
  <sheetData>
    <row r="1" spans="1:17" ht="16.5" thickBot="1" x14ac:dyDescent="0.3">
      <c r="A1" s="145" t="s">
        <v>37</v>
      </c>
      <c r="B1" s="145" t="s">
        <v>38</v>
      </c>
      <c r="C1" s="145">
        <v>2018</v>
      </c>
      <c r="D1" s="145">
        <v>2019</v>
      </c>
      <c r="E1" s="145">
        <v>2020</v>
      </c>
      <c r="F1" s="145">
        <v>2021</v>
      </c>
      <c r="G1" s="145">
        <v>2022</v>
      </c>
      <c r="H1" s="145">
        <v>2023</v>
      </c>
      <c r="I1" s="145">
        <v>2024</v>
      </c>
      <c r="J1" s="145">
        <v>2025</v>
      </c>
      <c r="K1" s="145">
        <v>2026</v>
      </c>
      <c r="L1" s="145">
        <v>2027</v>
      </c>
      <c r="M1" s="145">
        <v>2028</v>
      </c>
      <c r="N1" s="146">
        <v>2029</v>
      </c>
      <c r="O1" s="146" t="s">
        <v>39</v>
      </c>
    </row>
    <row r="2" spans="1:17" ht="16.5" thickBot="1" x14ac:dyDescent="0.3">
      <c r="A2" s="11">
        <v>1</v>
      </c>
      <c r="B2" s="12" t="s">
        <v>253</v>
      </c>
      <c r="C2" s="13">
        <f>C3+C4+C5+C6+C7+C10</f>
        <v>44509257.121631674</v>
      </c>
      <c r="D2" s="13">
        <f t="shared" ref="D2:N2" si="0">D3+D4+D5+D6+D7+D10</f>
        <v>632232203.08656347</v>
      </c>
      <c r="E2" s="13">
        <f t="shared" si="0"/>
        <v>107932596.46746384</v>
      </c>
      <c r="F2" s="13">
        <f t="shared" si="0"/>
        <v>104657641.34325579</v>
      </c>
      <c r="G2" s="13">
        <f t="shared" si="0"/>
        <v>98166829.577198952</v>
      </c>
      <c r="H2" s="13">
        <f t="shared" si="0"/>
        <v>93241708.942431331</v>
      </c>
      <c r="I2" s="13">
        <f t="shared" si="0"/>
        <v>89168678.16130057</v>
      </c>
      <c r="J2" s="13">
        <f t="shared" si="0"/>
        <v>83653702.457118779</v>
      </c>
      <c r="K2" s="13">
        <f t="shared" si="0"/>
        <v>80136685.065198541</v>
      </c>
      <c r="L2" s="13">
        <f t="shared" si="0"/>
        <v>75919260.130114853</v>
      </c>
      <c r="M2" s="13">
        <f t="shared" si="0"/>
        <v>73658554.531361252</v>
      </c>
      <c r="N2" s="13">
        <f t="shared" si="0"/>
        <v>76197604.596187845</v>
      </c>
      <c r="O2" s="158">
        <f>SUM(C2:N2)</f>
        <v>1559474721.4798272</v>
      </c>
      <c r="Q2" s="147">
        <f>O2-O3</f>
        <v>908919405.49982715</v>
      </c>
    </row>
    <row r="3" spans="1:17" ht="16.5" thickBot="1" x14ac:dyDescent="0.3">
      <c r="A3" s="15" t="s">
        <v>63</v>
      </c>
      <c r="B3" s="16" t="s">
        <v>40</v>
      </c>
      <c r="C3" s="13">
        <f>SUM(КОНЦЕССИЯ!B11:B14)</f>
        <v>43370354.398666672</v>
      </c>
      <c r="D3" s="13">
        <f>SUM(КОНЦЕССИЯ!B15:B18)</f>
        <v>607184961.5813334</v>
      </c>
      <c r="E3" s="13"/>
      <c r="F3" s="13"/>
      <c r="G3" s="13"/>
      <c r="H3" s="13"/>
      <c r="I3" s="13"/>
      <c r="J3" s="13"/>
      <c r="K3" s="14"/>
      <c r="L3" s="14"/>
      <c r="M3" s="14"/>
      <c r="N3" s="14"/>
      <c r="O3" s="158">
        <f t="shared" ref="O3:O22" si="1">SUM(C3:N3)</f>
        <v>650555315.98000002</v>
      </c>
    </row>
    <row r="4" spans="1:17" ht="16.5" thickBot="1" x14ac:dyDescent="0.3">
      <c r="A4" s="15" t="s">
        <v>64</v>
      </c>
      <c r="B4" s="16" t="s">
        <v>248</v>
      </c>
      <c r="C4" s="13">
        <f>SUM(КОНЦЕССИЯ!G11:G14)</f>
        <v>1138471.802965</v>
      </c>
      <c r="D4" s="13">
        <f>SUM(КОНЦЕССИЯ!G15:G18)</f>
        <v>25046379.665229999</v>
      </c>
      <c r="E4" s="13">
        <f>SUM(КОНЦЕССИЯ!G19:G22)</f>
        <v>43404237.488040626</v>
      </c>
      <c r="F4" s="13">
        <f>SUM(КОНЦЕССИЯ!G23:G26)</f>
        <v>37711878.473215625</v>
      </c>
      <c r="G4" s="13">
        <f>SUM(КОНЦЕССИЯ!G27:G30)</f>
        <v>32019519.458390627</v>
      </c>
      <c r="H4" s="13">
        <f>SUM(КОНЦЕССИЯ!G31:G34)</f>
        <v>26327160.443565626</v>
      </c>
      <c r="I4" s="13">
        <f>SUM(КОНЦЕССИЯ!G35:G38)</f>
        <v>20634801.428740624</v>
      </c>
      <c r="J4" s="13">
        <f>SUM(КОНЦЕССИЯ!G39:G42)</f>
        <v>14942442.413915627</v>
      </c>
      <c r="K4" s="14">
        <f>SUM(КОНЦЕССИЯ!G43:G46)</f>
        <v>9250083.3990906253</v>
      </c>
      <c r="L4" s="14">
        <f>SUM(КОНЦЕССИЯ!G47:G50)</f>
        <v>3557724.3842656254</v>
      </c>
      <c r="M4" s="14"/>
      <c r="N4" s="14"/>
      <c r="O4" s="158">
        <f t="shared" si="1"/>
        <v>214032698.95742002</v>
      </c>
    </row>
    <row r="5" spans="1:17" ht="16.5" thickBot="1" x14ac:dyDescent="0.3">
      <c r="A5" s="15" t="s">
        <v>275</v>
      </c>
      <c r="B5" s="16" t="s">
        <v>41</v>
      </c>
      <c r="C5" s="13">
        <f>SUM(КОНЦЕССИЯ!P11:P14)</f>
        <v>430.92</v>
      </c>
      <c r="D5" s="13">
        <f>SUM(КОНЦЕССИЯ!P15:P18)</f>
        <v>861.84</v>
      </c>
      <c r="E5" s="13">
        <f>SUM(КОНЦЕССИЯ!P19:P22)</f>
        <v>861.84</v>
      </c>
      <c r="F5" s="13">
        <f>SUM(КОНЦЕССИЯ!P23:P26)</f>
        <v>861.84</v>
      </c>
      <c r="G5" s="13">
        <f>SUM(КОНЦЕССИЯ!P27:P30)</f>
        <v>4740.12</v>
      </c>
      <c r="H5" s="13">
        <f>SUM(КОНЦЕССИЯ!P31:P34)</f>
        <v>8618.4</v>
      </c>
      <c r="I5" s="13">
        <f>SUM(КОНЦЕССИЯ!P35:P38)</f>
        <v>8618.4</v>
      </c>
      <c r="J5" s="13">
        <f>SUM(КОНЦЕССИЯ!P39:P42)</f>
        <v>8618.4</v>
      </c>
      <c r="K5" s="14">
        <f>SUM(КОНЦЕССИЯ!P43:P46)</f>
        <v>8618.4</v>
      </c>
      <c r="L5" s="14">
        <f>SUM(КОНЦЕССИЯ!P47:P50)</f>
        <v>8618.4</v>
      </c>
      <c r="M5" s="14">
        <f>SUM(КОНЦЕССИЯ!P51:P54)</f>
        <v>8618.4</v>
      </c>
      <c r="N5" s="14">
        <f>SUM(КОНЦЕССИЯ!P55:P58)</f>
        <v>8618.4</v>
      </c>
      <c r="O5" s="158">
        <f t="shared" si="1"/>
        <v>68085.36</v>
      </c>
    </row>
    <row r="6" spans="1:17" ht="16.5" thickBot="1" x14ac:dyDescent="0.3">
      <c r="A6" s="15" t="s">
        <v>276</v>
      </c>
      <c r="B6" s="16" t="s">
        <v>42</v>
      </c>
      <c r="C6" s="17"/>
      <c r="D6" s="17"/>
      <c r="E6" s="13">
        <f>SUM(КОНЦЕССИЯ!O19:O22)</f>
        <v>11825772.481161868</v>
      </c>
      <c r="F6" s="13">
        <f>SUM(КОНЦЕССИЯ!O23:O26)</f>
        <v>11340612.584498815</v>
      </c>
      <c r="G6" s="13">
        <f>SUM(КОНЦЕССИЯ!O27:O30)</f>
        <v>10855452.687835766</v>
      </c>
      <c r="H6" s="13">
        <f>SUM(КОНЦЕССИЯ!O31:O34)</f>
        <v>10370292.791172715</v>
      </c>
      <c r="I6" s="13">
        <f>SUM(КОНЦЕССИЯ!O35:O38)</f>
        <v>9885132.8945096638</v>
      </c>
      <c r="J6" s="13">
        <f>SUM(КОНЦЕССИЯ!O39:O42)</f>
        <v>9399972.9978466127</v>
      </c>
      <c r="K6" s="14">
        <f>SUM(КОНЦЕССИЯ!O43:O46)</f>
        <v>8914813.1011835616</v>
      </c>
      <c r="L6" s="14">
        <f>SUM(КОНЦЕССИЯ!O47:O50)</f>
        <v>8429653.2045205105</v>
      </c>
      <c r="M6" s="14">
        <f>SUM(КОНЦЕССИЯ!O51:O54)</f>
        <v>7944493.3078574585</v>
      </c>
      <c r="N6" s="14">
        <f>SUM(КОНЦЕССИЯ!O55:O58)</f>
        <v>7459333.4111944074</v>
      </c>
      <c r="O6" s="158">
        <f t="shared" si="1"/>
        <v>96425529.461781383</v>
      </c>
    </row>
    <row r="7" spans="1:17" ht="16.5" thickBot="1" x14ac:dyDescent="0.3">
      <c r="A7" s="15" t="s">
        <v>277</v>
      </c>
      <c r="B7" s="16" t="s">
        <v>273</v>
      </c>
      <c r="C7" s="17">
        <f>C8+C9</f>
        <v>0</v>
      </c>
      <c r="D7" s="17">
        <f t="shared" ref="D7:N7" si="2">D8+D9</f>
        <v>0</v>
      </c>
      <c r="E7" s="183">
        <f t="shared" si="2"/>
        <v>26990966.728261352</v>
      </c>
      <c r="F7" s="183">
        <f t="shared" si="2"/>
        <v>26669389.311541352</v>
      </c>
      <c r="G7" s="183">
        <f t="shared" si="2"/>
        <v>27083825.511812553</v>
      </c>
      <c r="H7" s="183">
        <f t="shared" si="2"/>
        <v>27187264.9271666</v>
      </c>
      <c r="I7" s="183">
        <f t="shared" si="2"/>
        <v>27217615.937302809</v>
      </c>
      <c r="J7" s="183">
        <f t="shared" si="2"/>
        <v>27594044.967179187</v>
      </c>
      <c r="K7" s="183">
        <f t="shared" si="2"/>
        <v>28085999.314619903</v>
      </c>
      <c r="L7" s="183">
        <f t="shared" si="2"/>
        <v>28942591.167061161</v>
      </c>
      <c r="M7" s="183">
        <f t="shared" si="2"/>
        <v>30090461.447518487</v>
      </c>
      <c r="N7" s="183">
        <f t="shared" si="2"/>
        <v>31267350.441519249</v>
      </c>
      <c r="O7" s="184">
        <f t="shared" si="1"/>
        <v>281129509.7539826</v>
      </c>
    </row>
    <row r="8" spans="1:17" s="182" customFormat="1" ht="16.5" thickBot="1" x14ac:dyDescent="0.3">
      <c r="A8" s="176" t="s">
        <v>278</v>
      </c>
      <c r="B8" s="177" t="s">
        <v>43</v>
      </c>
      <c r="C8" s="178"/>
      <c r="D8" s="178"/>
      <c r="E8" s="179">
        <f>SUM(КОНЦЕССИЯ!U19:U22)</f>
        <v>28800103.155661352</v>
      </c>
      <c r="F8" s="179">
        <f>SUM(КОНЦЕССИЯ!U23:U26)</f>
        <v>28800103.155661352</v>
      </c>
      <c r="G8" s="179">
        <f>SUM(КОНЦЕССИЯ!U27:U30)</f>
        <v>28800103.155661352</v>
      </c>
      <c r="H8" s="179">
        <f>SUM(КОНЦЕССИЯ!U31:U34)</f>
        <v>28800103.155661352</v>
      </c>
      <c r="I8" s="179">
        <f>SUM(КОНЦЕССИЯ!U35:U38)</f>
        <v>28800103.155661352</v>
      </c>
      <c r="J8" s="179">
        <f>SUM(КОНЦЕССИЯ!U39:U42)</f>
        <v>28800103.155661352</v>
      </c>
      <c r="K8" s="180">
        <f>SUM(КОНЦЕССИЯ!U43:U46)</f>
        <v>28800103.155661352</v>
      </c>
      <c r="L8" s="180">
        <f>SUM(КОНЦЕССИЯ!U47:U50)</f>
        <v>28800103.155661352</v>
      </c>
      <c r="M8" s="180">
        <f>SUM(КОНЦЕССИЯ!U51:U54)</f>
        <v>28800103.155661352</v>
      </c>
      <c r="N8" s="180">
        <f>SUM(КОНЦЕССИЯ!U55:U58)</f>
        <v>28800103.155661352</v>
      </c>
      <c r="O8" s="181">
        <f t="shared" si="1"/>
        <v>288001031.5566135</v>
      </c>
    </row>
    <row r="9" spans="1:17" s="182" customFormat="1" ht="16.5" thickBot="1" x14ac:dyDescent="0.3">
      <c r="A9" s="176" t="s">
        <v>279</v>
      </c>
      <c r="B9" s="177" t="s">
        <v>274</v>
      </c>
      <c r="C9" s="178"/>
      <c r="D9" s="178"/>
      <c r="E9" s="179">
        <f>SUM(КОНЦЕССИЯ!T19:T22)</f>
        <v>-1809136.4273999995</v>
      </c>
      <c r="F9" s="179">
        <f>SUM(КОНЦЕССИЯ!T23:T26)</f>
        <v>-2130713.8441199996</v>
      </c>
      <c r="G9" s="179">
        <f>SUM(КОНЦЕССИЯ!T27:T30)</f>
        <v>-1716277.6438488008</v>
      </c>
      <c r="H9" s="179">
        <f>SUM(КОНЦЕССИЯ!T31:T34)</f>
        <v>-1612838.2284947529</v>
      </c>
      <c r="I9" s="179">
        <f>SUM(КОНЦЕССИЯ!T35:T38)</f>
        <v>-1582487.2183585428</v>
      </c>
      <c r="J9" s="179">
        <f>SUM(КОНЦЕССИЯ!T39:T42)</f>
        <v>-1206058.1884821644</v>
      </c>
      <c r="K9" s="179">
        <f>SUM(КОНЦЕССИЯ!T43:T46)</f>
        <v>-714103.84104144969</v>
      </c>
      <c r="L9" s="179">
        <f>SUM(КОНЦЕССИЯ!T47:T50)</f>
        <v>142488.01139980834</v>
      </c>
      <c r="M9" s="179">
        <f>SUM(КОНЦЕССИЯ!T51:T54)</f>
        <v>1290358.2918571355</v>
      </c>
      <c r="N9" s="179">
        <f>SUM(КОНЦЕССИЯ!T55:T58)</f>
        <v>2467247.2858578973</v>
      </c>
      <c r="O9" s="181">
        <f t="shared" si="1"/>
        <v>-6871521.8026308678</v>
      </c>
    </row>
    <row r="10" spans="1:17" ht="16.5" thickBot="1" x14ac:dyDescent="0.3">
      <c r="A10" s="15" t="s">
        <v>280</v>
      </c>
      <c r="B10" s="16" t="s">
        <v>251</v>
      </c>
      <c r="C10" s="17"/>
      <c r="D10" s="17"/>
      <c r="E10" s="13">
        <f>SUM(КОНЦЕССИЯ!Q19:Q22)</f>
        <v>25710757.929999996</v>
      </c>
      <c r="F10" s="13">
        <f>SUM(КОНЦЕССИЯ!Q23:Q26)</f>
        <v>28934899.133999996</v>
      </c>
      <c r="G10" s="13">
        <f>SUM(КОНЦЕССИЯ!Q27:Q30)</f>
        <v>28203291.799160004</v>
      </c>
      <c r="H10" s="13">
        <f>SUM(КОНЦЕССИЯ!Q31:Q34)</f>
        <v>29348372.380526401</v>
      </c>
      <c r="I10" s="13">
        <f>SUM(КОНЦЕССИЯ!Q35:Q38)</f>
        <v>31422509.500747465</v>
      </c>
      <c r="J10" s="13">
        <f>SUM(КОНЦЕССИЯ!Q39:Q42)</f>
        <v>31708623.678177364</v>
      </c>
      <c r="K10" s="13">
        <f>SUM(КОНЦЕССИЯ!Q43:Q46)</f>
        <v>33877170.850304455</v>
      </c>
      <c r="L10" s="13">
        <f>SUM(КОНЦЕССИЯ!Q47:Q50)</f>
        <v>34980672.974267565</v>
      </c>
      <c r="M10" s="13">
        <f>SUM(КОНЦЕССИЯ!Q51:Q54)</f>
        <v>35614981.375985309</v>
      </c>
      <c r="N10" s="13">
        <f>SUM(КОНЦЕССИЯ!Q55:Q58)</f>
        <v>37462302.343474187</v>
      </c>
      <c r="O10" s="158">
        <f t="shared" si="1"/>
        <v>317263581.9666428</v>
      </c>
      <c r="Q10" s="147"/>
    </row>
    <row r="11" spans="1:17" ht="16.5" thickBot="1" x14ac:dyDescent="0.3">
      <c r="A11" s="11">
        <v>2</v>
      </c>
      <c r="B11" s="12" t="s">
        <v>44</v>
      </c>
      <c r="C11" s="13">
        <f>SUM(C12:C19)</f>
        <v>0</v>
      </c>
      <c r="D11" s="13">
        <f t="shared" ref="D11:N11" si="3">SUM(D12:D19)</f>
        <v>0</v>
      </c>
      <c r="E11" s="13">
        <f>SUM(E12:E19)</f>
        <v>185024662.71781552</v>
      </c>
      <c r="F11" s="13">
        <f t="shared" si="3"/>
        <v>185024662.71781552</v>
      </c>
      <c r="G11" s="13">
        <f t="shared" si="3"/>
        <v>185024662.71781552</v>
      </c>
      <c r="H11" s="13">
        <f t="shared" si="3"/>
        <v>185024662.71781552</v>
      </c>
      <c r="I11" s="13">
        <f t="shared" si="3"/>
        <v>185024662.71781552</v>
      </c>
      <c r="J11" s="13">
        <f t="shared" si="3"/>
        <v>185024662.71781552</v>
      </c>
      <c r="K11" s="13">
        <f t="shared" si="3"/>
        <v>185024662.71781552</v>
      </c>
      <c r="L11" s="13">
        <f t="shared" si="3"/>
        <v>185024662.71781552</v>
      </c>
      <c r="M11" s="13">
        <f t="shared" si="3"/>
        <v>185024662.71781552</v>
      </c>
      <c r="N11" s="13">
        <f t="shared" si="3"/>
        <v>185024662.71781552</v>
      </c>
      <c r="O11" s="158">
        <f t="shared" si="1"/>
        <v>1850246627.1781549</v>
      </c>
      <c r="P11" s="147"/>
    </row>
    <row r="12" spans="1:17" ht="16.5" thickBot="1" x14ac:dyDescent="0.3">
      <c r="A12" s="15" t="s">
        <v>65</v>
      </c>
      <c r="B12" s="16" t="s">
        <v>45</v>
      </c>
      <c r="C12" s="13"/>
      <c r="D12" s="13"/>
      <c r="E12" s="13">
        <f>КОНЦЕССИЯ!B59/10*КОНЦЕССИЯ!L4</f>
        <v>63754420.96604</v>
      </c>
      <c r="F12" s="13">
        <f>E12</f>
        <v>63754420.96604</v>
      </c>
      <c r="G12" s="13">
        <f t="shared" ref="G12:N12" si="4">F12</f>
        <v>63754420.96604</v>
      </c>
      <c r="H12" s="13">
        <f t="shared" si="4"/>
        <v>63754420.96604</v>
      </c>
      <c r="I12" s="13">
        <f t="shared" si="4"/>
        <v>63754420.96604</v>
      </c>
      <c r="J12" s="13">
        <f t="shared" si="4"/>
        <v>63754420.96604</v>
      </c>
      <c r="K12" s="13">
        <f t="shared" si="4"/>
        <v>63754420.96604</v>
      </c>
      <c r="L12" s="13">
        <f t="shared" si="4"/>
        <v>63754420.96604</v>
      </c>
      <c r="M12" s="13">
        <f t="shared" si="4"/>
        <v>63754420.96604</v>
      </c>
      <c r="N12" s="13">
        <f t="shared" si="4"/>
        <v>63754420.96604</v>
      </c>
      <c r="O12" s="158">
        <f t="shared" si="1"/>
        <v>637544209.66040003</v>
      </c>
      <c r="P12" s="148">
        <f>КОНЦЕССИЯ!B59*0.9</f>
        <v>585499784.38200009</v>
      </c>
    </row>
    <row r="13" spans="1:17" ht="32.25" thickBot="1" x14ac:dyDescent="0.3">
      <c r="A13" s="15" t="s">
        <v>66</v>
      </c>
      <c r="B13" s="16" t="s">
        <v>46</v>
      </c>
      <c r="C13" s="13"/>
      <c r="D13" s="13"/>
      <c r="E13" s="13">
        <f>КОНЦЕССИЯ!D59/10*КОНЦЕССИЯ!L4</f>
        <v>41921390.66862911</v>
      </c>
      <c r="F13" s="13">
        <f t="shared" ref="F13:F19" si="5">E13</f>
        <v>41921390.66862911</v>
      </c>
      <c r="G13" s="13">
        <f t="shared" ref="G13:N13" si="6">F13</f>
        <v>41921390.66862911</v>
      </c>
      <c r="H13" s="13">
        <f t="shared" si="6"/>
        <v>41921390.66862911</v>
      </c>
      <c r="I13" s="13">
        <f t="shared" si="6"/>
        <v>41921390.66862911</v>
      </c>
      <c r="J13" s="13">
        <f t="shared" si="6"/>
        <v>41921390.66862911</v>
      </c>
      <c r="K13" s="13">
        <f t="shared" si="6"/>
        <v>41921390.66862911</v>
      </c>
      <c r="L13" s="13">
        <f t="shared" si="6"/>
        <v>41921390.66862911</v>
      </c>
      <c r="M13" s="13">
        <f t="shared" si="6"/>
        <v>41921390.66862911</v>
      </c>
      <c r="N13" s="13">
        <f t="shared" si="6"/>
        <v>41921390.66862911</v>
      </c>
      <c r="O13" s="158">
        <f t="shared" si="1"/>
        <v>419213906.6862911</v>
      </c>
      <c r="P13" s="148">
        <f>КОНЦЕССИЯ!D59*0.9</f>
        <v>384992363.28332859</v>
      </c>
    </row>
    <row r="14" spans="1:17" ht="16.5" thickBot="1" x14ac:dyDescent="0.3">
      <c r="A14" s="15" t="s">
        <v>109</v>
      </c>
      <c r="B14" s="16" t="s">
        <v>47</v>
      </c>
      <c r="C14" s="13"/>
      <c r="D14" s="13"/>
      <c r="E14" s="13">
        <f>КОНЦЕССИЯ!O59/10*КОНЦЕССИЯ!L4</f>
        <v>9449701.8872545771</v>
      </c>
      <c r="F14" s="13">
        <f t="shared" si="5"/>
        <v>9449701.8872545771</v>
      </c>
      <c r="G14" s="13">
        <f t="shared" ref="G14:N14" si="7">F14</f>
        <v>9449701.8872545771</v>
      </c>
      <c r="H14" s="13">
        <f t="shared" si="7"/>
        <v>9449701.8872545771</v>
      </c>
      <c r="I14" s="13">
        <f t="shared" si="7"/>
        <v>9449701.8872545771</v>
      </c>
      <c r="J14" s="13">
        <f t="shared" si="7"/>
        <v>9449701.8872545771</v>
      </c>
      <c r="K14" s="13">
        <f t="shared" si="7"/>
        <v>9449701.8872545771</v>
      </c>
      <c r="L14" s="13">
        <f t="shared" si="7"/>
        <v>9449701.8872545771</v>
      </c>
      <c r="M14" s="13">
        <f t="shared" si="7"/>
        <v>9449701.8872545771</v>
      </c>
      <c r="N14" s="13">
        <f t="shared" si="7"/>
        <v>9449701.8872545771</v>
      </c>
      <c r="O14" s="158">
        <f t="shared" si="1"/>
        <v>94497018.872545794</v>
      </c>
      <c r="P14" s="148">
        <f>КОНЦЕССИЯ!O59*0.9</f>
        <v>86782976.515603259</v>
      </c>
    </row>
    <row r="15" spans="1:17" ht="32.25" thickBot="1" x14ac:dyDescent="0.3">
      <c r="A15" s="15" t="s">
        <v>281</v>
      </c>
      <c r="B15" s="16" t="s">
        <v>48</v>
      </c>
      <c r="C15" s="13"/>
      <c r="D15" s="13"/>
      <c r="E15" s="13">
        <f>КОНЦЕССИЯ!P59/10*КОНЦЕССИЯ!L4</f>
        <v>6672.3652799999982</v>
      </c>
      <c r="F15" s="13">
        <f t="shared" si="5"/>
        <v>6672.3652799999982</v>
      </c>
      <c r="G15" s="13">
        <f t="shared" ref="G15:N19" si="8">F15</f>
        <v>6672.3652799999982</v>
      </c>
      <c r="H15" s="13">
        <f t="shared" si="8"/>
        <v>6672.3652799999982</v>
      </c>
      <c r="I15" s="13">
        <f t="shared" si="8"/>
        <v>6672.3652799999982</v>
      </c>
      <c r="J15" s="13">
        <f t="shared" si="8"/>
        <v>6672.3652799999982</v>
      </c>
      <c r="K15" s="13">
        <f t="shared" si="8"/>
        <v>6672.3652799999982</v>
      </c>
      <c r="L15" s="13">
        <f t="shared" si="8"/>
        <v>6672.3652799999982</v>
      </c>
      <c r="M15" s="13">
        <f t="shared" si="8"/>
        <v>6672.3652799999982</v>
      </c>
      <c r="N15" s="13">
        <f t="shared" si="8"/>
        <v>6672.3652799999982</v>
      </c>
      <c r="O15" s="158">
        <f t="shared" si="1"/>
        <v>66723.652799999982</v>
      </c>
      <c r="P15" s="148">
        <f>КОНЦЕССИЯ!P59*0.9</f>
        <v>61276.823999999986</v>
      </c>
    </row>
    <row r="16" spans="1:17" ht="32.25" thickBot="1" x14ac:dyDescent="0.3">
      <c r="A16" s="15" t="s">
        <v>282</v>
      </c>
      <c r="B16" s="16" t="s">
        <v>49</v>
      </c>
      <c r="C16" s="13"/>
      <c r="D16" s="13"/>
      <c r="E16" s="13">
        <f>SUM(КОНЦЕССИЯ!V59/10)*КОНЦЕССИЯ!L4</f>
        <v>27550691.955890294</v>
      </c>
      <c r="F16" s="13">
        <f t="shared" si="5"/>
        <v>27550691.955890294</v>
      </c>
      <c r="G16" s="13">
        <f t="shared" si="8"/>
        <v>27550691.955890294</v>
      </c>
      <c r="H16" s="13">
        <f t="shared" si="8"/>
        <v>27550691.955890294</v>
      </c>
      <c r="I16" s="13">
        <f t="shared" si="8"/>
        <v>27550691.955890294</v>
      </c>
      <c r="J16" s="13">
        <f t="shared" si="8"/>
        <v>27550691.955890294</v>
      </c>
      <c r="K16" s="14">
        <f t="shared" si="8"/>
        <v>27550691.955890294</v>
      </c>
      <c r="L16" s="14">
        <f t="shared" si="8"/>
        <v>27550691.955890294</v>
      </c>
      <c r="M16" s="14">
        <f t="shared" si="8"/>
        <v>27550691.955890294</v>
      </c>
      <c r="N16" s="14">
        <f t="shared" si="8"/>
        <v>27550691.955890294</v>
      </c>
      <c r="O16" s="158">
        <f t="shared" si="1"/>
        <v>275506919.55890292</v>
      </c>
      <c r="P16" s="149">
        <f>КОНЦЕССИЯ!U59*0.9</f>
        <v>259200928.40095216</v>
      </c>
    </row>
    <row r="17" spans="1:16" ht="16.5" thickBot="1" x14ac:dyDescent="0.3">
      <c r="A17" s="15" t="s">
        <v>283</v>
      </c>
      <c r="B17" s="16" t="s">
        <v>50</v>
      </c>
      <c r="C17" s="13"/>
      <c r="D17" s="13"/>
      <c r="E17" s="13">
        <f>-КОНЦЕССИЯ!K59/10*КОНЦЕССИЯ!L4</f>
        <v>-9725250.6558366027</v>
      </c>
      <c r="F17" s="13">
        <f t="shared" si="5"/>
        <v>-9725250.6558366027</v>
      </c>
      <c r="G17" s="13">
        <f t="shared" si="8"/>
        <v>-9725250.6558366027</v>
      </c>
      <c r="H17" s="13">
        <f t="shared" si="8"/>
        <v>-9725250.6558366027</v>
      </c>
      <c r="I17" s="13">
        <f t="shared" si="8"/>
        <v>-9725250.6558366027</v>
      </c>
      <c r="J17" s="13">
        <f t="shared" si="8"/>
        <v>-9725250.6558366027</v>
      </c>
      <c r="K17" s="14">
        <f t="shared" si="8"/>
        <v>-9725250.6558366027</v>
      </c>
      <c r="L17" s="14">
        <f t="shared" si="8"/>
        <v>-9725250.6558366027</v>
      </c>
      <c r="M17" s="14">
        <f t="shared" si="8"/>
        <v>-9725250.6558366027</v>
      </c>
      <c r="N17" s="14">
        <f t="shared" si="8"/>
        <v>-9725250.6558366027</v>
      </c>
      <c r="O17" s="158">
        <f t="shared" si="1"/>
        <v>-97252506.558366016</v>
      </c>
      <c r="P17" s="149">
        <f>КОНЦЕССИЯ!K59*0.9</f>
        <v>89313526.431152493</v>
      </c>
    </row>
    <row r="18" spans="1:16" ht="16.5" thickBot="1" x14ac:dyDescent="0.3">
      <c r="A18" s="15" t="s">
        <v>284</v>
      </c>
      <c r="B18" s="16" t="s">
        <v>249</v>
      </c>
      <c r="C18" s="13"/>
      <c r="D18" s="13"/>
      <c r="E18" s="13">
        <f>КОНЦЕССИЯ!G59/10*КОНЦЕССИЯ!L4</f>
        <v>20975204.497827157</v>
      </c>
      <c r="F18" s="13">
        <f t="shared" si="5"/>
        <v>20975204.497827157</v>
      </c>
      <c r="G18" s="13">
        <f t="shared" si="8"/>
        <v>20975204.497827157</v>
      </c>
      <c r="H18" s="13">
        <f t="shared" si="8"/>
        <v>20975204.497827157</v>
      </c>
      <c r="I18" s="13">
        <f t="shared" si="8"/>
        <v>20975204.497827157</v>
      </c>
      <c r="J18" s="13">
        <f t="shared" si="8"/>
        <v>20975204.497827157</v>
      </c>
      <c r="K18" s="14">
        <f t="shared" si="8"/>
        <v>20975204.497827157</v>
      </c>
      <c r="L18" s="14">
        <f t="shared" si="8"/>
        <v>20975204.497827157</v>
      </c>
      <c r="M18" s="14">
        <f t="shared" si="8"/>
        <v>20975204.497827157</v>
      </c>
      <c r="N18" s="14">
        <f t="shared" si="8"/>
        <v>20975204.497827157</v>
      </c>
      <c r="O18" s="158">
        <f t="shared" si="1"/>
        <v>209752044.9782716</v>
      </c>
      <c r="P18" s="149">
        <f>КОНЦЕССИЯ!G59*0.9</f>
        <v>192629429.06167799</v>
      </c>
    </row>
    <row r="19" spans="1:16" ht="16.5" thickBot="1" x14ac:dyDescent="0.3">
      <c r="A19" s="15" t="s">
        <v>285</v>
      </c>
      <c r="B19" s="16" t="s">
        <v>247</v>
      </c>
      <c r="C19" s="13"/>
      <c r="D19" s="13"/>
      <c r="E19" s="13">
        <f>КОНЦЕССИЯ!Q59/10*КОНЦЕССИЯ!L4</f>
        <v>31091831.032730978</v>
      </c>
      <c r="F19" s="13">
        <f t="shared" si="5"/>
        <v>31091831.032730978</v>
      </c>
      <c r="G19" s="13">
        <f t="shared" si="8"/>
        <v>31091831.032730978</v>
      </c>
      <c r="H19" s="13">
        <f t="shared" si="8"/>
        <v>31091831.032730978</v>
      </c>
      <c r="I19" s="13">
        <f t="shared" si="8"/>
        <v>31091831.032730978</v>
      </c>
      <c r="J19" s="13">
        <f t="shared" si="8"/>
        <v>31091831.032730978</v>
      </c>
      <c r="K19" s="14">
        <f t="shared" si="8"/>
        <v>31091831.032730978</v>
      </c>
      <c r="L19" s="14">
        <f t="shared" si="8"/>
        <v>31091831.032730978</v>
      </c>
      <c r="M19" s="14">
        <f t="shared" si="8"/>
        <v>31091831.032730978</v>
      </c>
      <c r="N19" s="14">
        <f t="shared" si="8"/>
        <v>31091831.032730978</v>
      </c>
      <c r="O19" s="158">
        <f t="shared" si="1"/>
        <v>310918310.32730979</v>
      </c>
      <c r="P19" s="149">
        <f>КОНЦЕССИЯ!Q59*0.9</f>
        <v>285537223.76997834</v>
      </c>
    </row>
    <row r="20" spans="1:16" ht="16.5" thickBot="1" x14ac:dyDescent="0.3">
      <c r="A20" s="144" t="s">
        <v>51</v>
      </c>
      <c r="B20" s="12" t="s">
        <v>25</v>
      </c>
      <c r="C20" s="13"/>
      <c r="D20" s="13"/>
      <c r="E20" s="13">
        <f>КОНЦЕССИЯ!K19</f>
        <v>99237251.59016943</v>
      </c>
      <c r="F20" s="13"/>
      <c r="G20" s="13"/>
      <c r="H20" s="13"/>
      <c r="I20" s="13"/>
      <c r="J20" s="13"/>
      <c r="K20" s="14"/>
      <c r="L20" s="14"/>
      <c r="M20" s="14"/>
      <c r="N20" s="14"/>
      <c r="O20" s="158">
        <f t="shared" si="1"/>
        <v>99237251.59016943</v>
      </c>
    </row>
    <row r="21" spans="1:16" ht="32.25" hidden="1" thickBot="1" x14ac:dyDescent="0.3">
      <c r="A21" s="144" t="s">
        <v>117</v>
      </c>
      <c r="B21" s="12" t="s">
        <v>345</v>
      </c>
      <c r="C21" s="13">
        <v>0</v>
      </c>
      <c r="D21" s="13">
        <v>0</v>
      </c>
      <c r="E21" s="13">
        <f>SUM(КОНЦЕССИЯ!R19:R22)</f>
        <v>15660000</v>
      </c>
      <c r="F21" s="13">
        <f>SUM(КОНЦЕССИЯ!R23:R26)</f>
        <v>17097600</v>
      </c>
      <c r="G21" s="13">
        <f>SUM(КОНЦЕССИЯ!R27:R30)</f>
        <v>18668415.999999996</v>
      </c>
      <c r="H21" s="13">
        <f>SUM(КОНЦЕССИЯ!R31:R34)</f>
        <v>20388160</v>
      </c>
      <c r="I21" s="13">
        <f>SUM(КОНЦЕССИЯ!R35:R38)</f>
        <v>22630913.843200002</v>
      </c>
      <c r="J21" s="13">
        <f>SUM(КОНЦЕССИЯ!R39:R42)</f>
        <v>25008300.408832006</v>
      </c>
      <c r="K21" s="14">
        <f>SUM(КОНЦЕССИЯ!R43:R46)</f>
        <v>29909927.288963072</v>
      </c>
      <c r="L21" s="14">
        <f>SUM(КОНЦЕССИЯ!R47:R50)</f>
        <v>35772273.037599832</v>
      </c>
      <c r="M21" s="14">
        <f>SUM(КОНЦЕССИЯ!R51:R54)</f>
        <v>42783638.552969389</v>
      </c>
      <c r="N21" s="14">
        <f>SUM(КОНЦЕССИЯ!R55:R58)</f>
        <v>51169231.709351391</v>
      </c>
      <c r="O21" s="158">
        <f t="shared" si="1"/>
        <v>279088460.84091568</v>
      </c>
    </row>
    <row r="22" spans="1:16" ht="16.5" thickBot="1" x14ac:dyDescent="0.3">
      <c r="A22" s="18"/>
      <c r="B22" s="19" t="s">
        <v>346</v>
      </c>
      <c r="C22" s="13">
        <f>C11+C20-C2</f>
        <v>-44509257.121631674</v>
      </c>
      <c r="D22" s="13">
        <f t="shared" ref="D22:N22" si="9">D11+D20-D2</f>
        <v>-632232203.08656347</v>
      </c>
      <c r="E22" s="13">
        <f t="shared" si="9"/>
        <v>176329317.8405211</v>
      </c>
      <c r="F22" s="13">
        <f t="shared" si="9"/>
        <v>80367021.37455973</v>
      </c>
      <c r="G22" s="13">
        <f t="shared" si="9"/>
        <v>86857833.140616566</v>
      </c>
      <c r="H22" s="13">
        <f t="shared" si="9"/>
        <v>91782953.775384188</v>
      </c>
      <c r="I22" s="13">
        <f t="shared" si="9"/>
        <v>95855984.556514949</v>
      </c>
      <c r="J22" s="13">
        <f t="shared" si="9"/>
        <v>101370960.26069674</v>
      </c>
      <c r="K22" s="13">
        <f t="shared" si="9"/>
        <v>104887977.65261698</v>
      </c>
      <c r="L22" s="13">
        <f t="shared" si="9"/>
        <v>109105402.58770066</v>
      </c>
      <c r="M22" s="13">
        <f t="shared" si="9"/>
        <v>111366108.18645427</v>
      </c>
      <c r="N22" s="13">
        <f t="shared" si="9"/>
        <v>108827058.12162767</v>
      </c>
      <c r="O22" s="158">
        <f t="shared" si="1"/>
        <v>390009157.28849781</v>
      </c>
    </row>
    <row r="23" spans="1:16" ht="16.5" thickBot="1" x14ac:dyDescent="0.3">
      <c r="A23" s="20"/>
      <c r="B23" s="21" t="s">
        <v>52</v>
      </c>
      <c r="C23" s="22">
        <f>1/(1+КОНЦЕССИЯ!$C$3)^0</f>
        <v>1</v>
      </c>
      <c r="D23" s="22">
        <f>1/(1+КОНЦЕССИЯ!$C$3)^1</f>
        <v>0.90702962119695185</v>
      </c>
      <c r="E23" s="22">
        <f>1/(1+КОНЦЕССИЯ!$C$3)^2</f>
        <v>0.82270273372868585</v>
      </c>
      <c r="F23" s="22">
        <f>1/(1+КОНЦЕССИЯ!$C$3)^3</f>
        <v>0.74621574893162668</v>
      </c>
      <c r="G23" s="22">
        <f>1/(1+КОНЦЕССИЯ!$C$3)^4</f>
        <v>0.67683978808465306</v>
      </c>
      <c r="H23" s="22">
        <f>1/(1+КОНЦЕССИЯ!$C$3)^5</f>
        <v>0.61391373659744797</v>
      </c>
      <c r="I23" s="22">
        <f>1/(1+КОНЦЕССИЯ!$C$3)^6</f>
        <v>0.55683794395358854</v>
      </c>
      <c r="J23" s="22">
        <f>1/(1+КОНЦЕССИЯ!$C$3)^7</f>
        <v>0.50506850937231285</v>
      </c>
      <c r="K23" s="22">
        <f>1/(1+КОНЦЕССИЯ!$C$3)^8</f>
        <v>0.458112098734478</v>
      </c>
      <c r="L23" s="22">
        <f>1/(1+КОНЦЕССИЯ!$C$3)^9</f>
        <v>0.41552124338087421</v>
      </c>
      <c r="M23" s="22">
        <f>1/(1+КОНЦЕССИЯ!$C$3)^10</f>
        <v>0.37689007598304075</v>
      </c>
      <c r="N23" s="22">
        <f>1/(1+КОНЦЕССИЯ!$C$3)^11</f>
        <v>0.34185046285178783</v>
      </c>
      <c r="O23" s="153"/>
    </row>
    <row r="24" spans="1:16" ht="16.5" thickBot="1" x14ac:dyDescent="0.3">
      <c r="A24" s="20"/>
      <c r="B24" s="19" t="s">
        <v>53</v>
      </c>
      <c r="C24" s="23">
        <f>C22-(-C22-(-C22*C23))</f>
        <v>-44509257.121631674</v>
      </c>
      <c r="D24" s="23">
        <f t="shared" ref="D24" si="10">D22-(-D22-(-D22*D23))</f>
        <v>-691011070.49900699</v>
      </c>
      <c r="E24" s="23">
        <f>E22*E23</f>
        <v>145066611.82391104</v>
      </c>
      <c r="F24" s="23">
        <f t="shared" ref="F24:N24" si="11">F22*F23</f>
        <v>59971137.044421136</v>
      </c>
      <c r="G24" s="23">
        <f t="shared" si="11"/>
        <v>58788837.376387075</v>
      </c>
      <c r="H24" s="23">
        <f t="shared" si="11"/>
        <v>56346816.108196951</v>
      </c>
      <c r="I24" s="23">
        <f t="shared" si="11"/>
        <v>53376249.356096722</v>
      </c>
      <c r="J24" s="23">
        <f t="shared" si="11"/>
        <v>51199279.792510062</v>
      </c>
      <c r="K24" s="23">
        <f t="shared" si="11"/>
        <v>48050451.574455388</v>
      </c>
      <c r="L24" s="23">
        <f t="shared" si="11"/>
        <v>45335612.542812228</v>
      </c>
      <c r="M24" s="23">
        <f t="shared" si="11"/>
        <v>41972780.976328284</v>
      </c>
      <c r="N24" s="23">
        <f t="shared" si="11"/>
        <v>37202580.189676836</v>
      </c>
      <c r="O24" s="154">
        <f>SUM(C24:N24)</f>
        <v>-138209970.83584285</v>
      </c>
    </row>
    <row r="25" spans="1:16" ht="16.5" hidden="1" thickBot="1" x14ac:dyDescent="0.3">
      <c r="A25" s="20"/>
      <c r="B25" s="19" t="s">
        <v>53</v>
      </c>
      <c r="C25" s="23">
        <f t="shared" ref="C25:C29" si="12">C23-(-C23-(-C23*C24))</f>
        <v>44509259.121631674</v>
      </c>
      <c r="D25" s="23">
        <f t="shared" ref="D25:D29" si="13">D23-(-D23-(-D23*D24))</f>
        <v>626767511.33167374</v>
      </c>
      <c r="E25" s="23">
        <f t="shared" ref="E25:E29" si="14">E23*E24</f>
        <v>119346698.12028971</v>
      </c>
      <c r="F25" s="23">
        <f t="shared" ref="F25:F29" si="15">F23*F24</f>
        <v>44751406.943883941</v>
      </c>
      <c r="G25" s="23">
        <f t="shared" ref="G25:G29" si="16">G23*G24</f>
        <v>39790624.231576957</v>
      </c>
      <c r="H25" s="23">
        <f t="shared" ref="H25:H29" si="17">H23*H24</f>
        <v>34592084.422352463</v>
      </c>
      <c r="I25" s="23">
        <f t="shared" ref="I25:I29" si="18">I23*I24</f>
        <v>29721920.947402954</v>
      </c>
      <c r="J25" s="23">
        <f t="shared" ref="J25:J29" si="19">J23*J24</f>
        <v>25859143.925739035</v>
      </c>
      <c r="K25" s="23">
        <f t="shared" ref="K25:K29" si="20">K23*K24</f>
        <v>22012493.215913162</v>
      </c>
      <c r="L25" s="23">
        <f t="shared" ref="L25:L29" si="21">L23*L24</f>
        <v>18837910.093222894</v>
      </c>
      <c r="M25" s="23">
        <f t="shared" ref="M25:M29" si="22">M23*M24</f>
        <v>15819124.611387894</v>
      </c>
      <c r="N25" s="23">
        <f t="shared" ref="N25:N29" si="23">N23*N24</f>
        <v>12717719.257121779</v>
      </c>
      <c r="O25" s="154">
        <f t="shared" ref="O25:O29" si="24">SUM(C25:N25)</f>
        <v>1034725896.222196</v>
      </c>
    </row>
    <row r="26" spans="1:16" ht="16.5" hidden="1" thickBot="1" x14ac:dyDescent="0.3">
      <c r="A26" s="20"/>
      <c r="B26" s="19" t="s">
        <v>53</v>
      </c>
      <c r="C26" s="23">
        <f t="shared" si="12"/>
        <v>1981073969519520.2</v>
      </c>
      <c r="D26" s="23">
        <f t="shared" si="13"/>
        <v>4.3310328757727622E+17</v>
      </c>
      <c r="E26" s="23">
        <f t="shared" si="14"/>
        <v>1.7313221128681562E+16</v>
      </c>
      <c r="F26" s="23">
        <f t="shared" si="15"/>
        <v>2683792758762323.5</v>
      </c>
      <c r="G26" s="23">
        <f t="shared" si="16"/>
        <v>2339244537055104.5</v>
      </c>
      <c r="H26" s="23">
        <f t="shared" si="17"/>
        <v>1949153819745518.5</v>
      </c>
      <c r="I26" s="23">
        <f t="shared" si="18"/>
        <v>1586444663830774.5</v>
      </c>
      <c r="J26" s="23">
        <f t="shared" si="19"/>
        <v>1323969545048700</v>
      </c>
      <c r="K26" s="23">
        <f t="shared" si="20"/>
        <v>1057710239304263.1</v>
      </c>
      <c r="L26" s="23">
        <f t="shared" si="21"/>
        <v>854028193102684.87</v>
      </c>
      <c r="M26" s="23">
        <f t="shared" si="22"/>
        <v>663972652551028.37</v>
      </c>
      <c r="N26" s="23">
        <f t="shared" si="23"/>
        <v>473131970492870.31</v>
      </c>
      <c r="O26" s="154">
        <f t="shared" si="24"/>
        <v>4.6532903105537056E+17</v>
      </c>
    </row>
    <row r="27" spans="1:16" ht="16.5" hidden="1" thickBot="1" x14ac:dyDescent="0.3">
      <c r="A27" s="20"/>
      <c r="B27" s="19" t="s">
        <v>53</v>
      </c>
      <c r="C27" s="23">
        <f t="shared" si="12"/>
        <v>-8.8176134648463681E+22</v>
      </c>
      <c r="D27" s="23">
        <f t="shared" si="13"/>
        <v>-2.7145506970437563E+26</v>
      </c>
      <c r="E27" s="23">
        <f t="shared" si="14"/>
        <v>2.0662757755345799E+24</v>
      </c>
      <c r="F27" s="23">
        <f t="shared" si="15"/>
        <v>1.2010350190042168E+23</v>
      </c>
      <c r="G27" s="23">
        <f t="shared" si="16"/>
        <v>9.3080000359728855E+22</v>
      </c>
      <c r="H27" s="23">
        <f t="shared" si="17"/>
        <v>6.7425293484787755E+22</v>
      </c>
      <c r="I27" s="23">
        <f t="shared" si="18"/>
        <v>4.7152182885807538E+22</v>
      </c>
      <c r="J27" s="23">
        <f t="shared" si="19"/>
        <v>3.4236719018709566E+22</v>
      </c>
      <c r="K27" s="23">
        <f t="shared" si="20"/>
        <v>2.3282839467086978E+22</v>
      </c>
      <c r="L27" s="23">
        <f t="shared" si="21"/>
        <v>1.6088106318745978E+22</v>
      </c>
      <c r="M27" s="23">
        <f t="shared" si="22"/>
        <v>1.0503466129258476E+22</v>
      </c>
      <c r="N27" s="23">
        <f t="shared" si="23"/>
        <v>6.0171595722971498E+21</v>
      </c>
      <c r="O27" s="154">
        <f t="shared" si="24"/>
        <v>-2.6905908079435272E+26</v>
      </c>
    </row>
    <row r="28" spans="1:16" ht="16.5" hidden="1" thickBot="1" x14ac:dyDescent="0.3">
      <c r="A28" s="20"/>
      <c r="B28" s="19" t="s">
        <v>53</v>
      </c>
      <c r="C28" s="23">
        <f t="shared" si="12"/>
        <v>1.7468344508491964E+38</v>
      </c>
      <c r="D28" s="23">
        <f t="shared" si="13"/>
        <v>1.1756808311848375E+44</v>
      </c>
      <c r="E28" s="23">
        <f t="shared" si="14"/>
        <v>3.5773889414668168E+40</v>
      </c>
      <c r="F28" s="23">
        <f t="shared" si="15"/>
        <v>3.2233290870234866E+38</v>
      </c>
      <c r="G28" s="23">
        <f t="shared" si="16"/>
        <v>2.177368823505829E+38</v>
      </c>
      <c r="H28" s="23">
        <f t="shared" si="17"/>
        <v>1.3142226834333668E+38</v>
      </c>
      <c r="I28" s="23">
        <f t="shared" si="18"/>
        <v>7.4804328927162142E+37</v>
      </c>
      <c r="J28" s="23">
        <f t="shared" si="19"/>
        <v>4.5328373303161077E+37</v>
      </c>
      <c r="K28" s="23">
        <f t="shared" si="20"/>
        <v>2.4626497704415308E+37</v>
      </c>
      <c r="L28" s="23">
        <f t="shared" si="21"/>
        <v>1.3739696369842514E+37</v>
      </c>
      <c r="M28" s="23">
        <f t="shared" si="22"/>
        <v>6.9740142668236325E+36</v>
      </c>
      <c r="N28" s="23">
        <f t="shared" si="23"/>
        <v>2.8469105652109872E+36</v>
      </c>
      <c r="O28" s="154">
        <f t="shared" si="24"/>
        <v>1.1760487150322402E+44</v>
      </c>
    </row>
    <row r="29" spans="1:16" ht="16.5" hidden="1" thickBot="1" x14ac:dyDescent="0.3">
      <c r="A29" s="20"/>
      <c r="B29" s="19" t="s">
        <v>53</v>
      </c>
      <c r="C29" s="23">
        <f t="shared" si="12"/>
        <v>1.5402910974665385E+61</v>
      </c>
      <c r="D29" s="23">
        <f t="shared" si="13"/>
        <v>3.1914452197937834E+70</v>
      </c>
      <c r="E29" s="23">
        <f t="shared" si="14"/>
        <v>7.3918721094181766E+64</v>
      </c>
      <c r="F29" s="23">
        <f t="shared" si="15"/>
        <v>3.8713311112900978E+61</v>
      </c>
      <c r="G29" s="23">
        <f t="shared" si="16"/>
        <v>2.0266949087518495E+61</v>
      </c>
      <c r="H29" s="23">
        <f t="shared" si="17"/>
        <v>8.8611850134860062E+60</v>
      </c>
      <c r="I29" s="23">
        <f t="shared" si="18"/>
        <v>3.5271873982236523E+60</v>
      </c>
      <c r="J29" s="23">
        <f t="shared" si="19"/>
        <v>1.5518947803555018E+60</v>
      </c>
      <c r="K29" s="23">
        <f t="shared" si="20"/>
        <v>5.7337479268848758E+59</v>
      </c>
      <c r="L29" s="23">
        <f t="shared" si="21"/>
        <v>2.2104569598531452E+59</v>
      </c>
      <c r="M29" s="23">
        <f t="shared" si="22"/>
        <v>7.3251322636547408E+58</v>
      </c>
      <c r="N29" s="23">
        <f t="shared" si="23"/>
        <v>1.713031515893318E+58</v>
      </c>
      <c r="O29" s="154">
        <f t="shared" si="24"/>
        <v>3.1914526205867176E+70</v>
      </c>
    </row>
    <row r="30" spans="1:16" ht="32.25" thickBot="1" x14ac:dyDescent="0.3">
      <c r="A30" s="20"/>
      <c r="B30" s="19" t="s">
        <v>272</v>
      </c>
      <c r="C30" s="23">
        <f>C24</f>
        <v>-44509257.121631674</v>
      </c>
      <c r="D30" s="23">
        <f>C30+D24</f>
        <v>-735520327.62063861</v>
      </c>
      <c r="E30" s="23">
        <f t="shared" ref="E30:N30" si="25">D30+E24</f>
        <v>-590453715.79672754</v>
      </c>
      <c r="F30" s="23">
        <f t="shared" si="25"/>
        <v>-530482578.7523064</v>
      </c>
      <c r="G30" s="23">
        <f t="shared" si="25"/>
        <v>-471693741.37591934</v>
      </c>
      <c r="H30" s="23">
        <f t="shared" si="25"/>
        <v>-415346925.26772237</v>
      </c>
      <c r="I30" s="23">
        <f t="shared" si="25"/>
        <v>-361970675.91162562</v>
      </c>
      <c r="J30" s="23">
        <f t="shared" si="25"/>
        <v>-310771396.11911559</v>
      </c>
      <c r="K30" s="23">
        <f t="shared" si="25"/>
        <v>-262720944.54466021</v>
      </c>
      <c r="L30" s="23">
        <f t="shared" si="25"/>
        <v>-217385332.00184798</v>
      </c>
      <c r="M30" s="23">
        <f t="shared" si="25"/>
        <v>-175412551.0255197</v>
      </c>
      <c r="N30" s="23">
        <f t="shared" si="25"/>
        <v>-138209970.83584285</v>
      </c>
      <c r="O30" s="154">
        <f>N30</f>
        <v>-138209970.83584285</v>
      </c>
    </row>
    <row r="31" spans="1:16" hidden="1" x14ac:dyDescent="0.25">
      <c r="C31" s="186">
        <f>C3/1.18</f>
        <v>36754537.625988707</v>
      </c>
      <c r="D31" s="186">
        <f>D3/1.18</f>
        <v>514563526.76384187</v>
      </c>
    </row>
    <row r="32" spans="1:16" hidden="1" x14ac:dyDescent="0.25">
      <c r="C32" s="147">
        <f>C3-C31</f>
        <v>6615816.7726779655</v>
      </c>
      <c r="D32" s="147">
        <f>D3-D31</f>
        <v>92621434.817491531</v>
      </c>
    </row>
    <row r="33" spans="3:16" hidden="1" x14ac:dyDescent="0.25"/>
    <row r="34" spans="3:16" hidden="1" x14ac:dyDescent="0.25">
      <c r="C34" s="147">
        <f>C2-C3</f>
        <v>1138902.7229650021</v>
      </c>
      <c r="D34" s="147">
        <f t="shared" ref="D34:N34" si="26">D2-D3</f>
        <v>25047241.505230069</v>
      </c>
      <c r="E34" s="147">
        <f t="shared" si="26"/>
        <v>107932596.46746384</v>
      </c>
      <c r="F34" s="147">
        <f t="shared" si="26"/>
        <v>104657641.34325579</v>
      </c>
      <c r="G34" s="147">
        <f t="shared" si="26"/>
        <v>98166829.577198952</v>
      </c>
      <c r="H34" s="147">
        <f t="shared" si="26"/>
        <v>93241708.942431331</v>
      </c>
      <c r="I34" s="147">
        <f t="shared" si="26"/>
        <v>89168678.16130057</v>
      </c>
      <c r="J34" s="147">
        <f t="shared" si="26"/>
        <v>83653702.457118779</v>
      </c>
      <c r="K34" s="147">
        <f t="shared" si="26"/>
        <v>80136685.065198541</v>
      </c>
      <c r="L34" s="147">
        <f t="shared" si="26"/>
        <v>75919260.130114853</v>
      </c>
      <c r="M34" s="147">
        <f t="shared" si="26"/>
        <v>73658554.531361252</v>
      </c>
      <c r="N34" s="147">
        <f t="shared" si="26"/>
        <v>76197604.596187845</v>
      </c>
    </row>
    <row r="35" spans="3:16" hidden="1" x14ac:dyDescent="0.25"/>
    <row r="36" spans="3:16" hidden="1" x14ac:dyDescent="0.25">
      <c r="C36" s="147">
        <f>C14+C16+C20-C6-C7-C32</f>
        <v>-6615816.7726779655</v>
      </c>
      <c r="D36" s="147">
        <f t="shared" ref="D36:P36" si="27">D14+D16+D20-D6-D7-D32</f>
        <v>-92621434.817491531</v>
      </c>
      <c r="E36" s="147">
        <f t="shared" si="27"/>
        <v>97420906.223891079</v>
      </c>
      <c r="F36" s="147">
        <f t="shared" si="27"/>
        <v>-1009608.0528952964</v>
      </c>
      <c r="G36" s="147">
        <f t="shared" si="27"/>
        <v>-938884.35650344938</v>
      </c>
      <c r="H36" s="147">
        <f t="shared" si="27"/>
        <v>-557163.87519444153</v>
      </c>
      <c r="I36" s="147">
        <f t="shared" si="27"/>
        <v>-102354.98866760358</v>
      </c>
      <c r="J36" s="147">
        <f t="shared" si="27"/>
        <v>6375.8781190738082</v>
      </c>
      <c r="K36" s="147">
        <f t="shared" si="27"/>
        <v>-418.57265859469771</v>
      </c>
      <c r="L36" s="147">
        <f t="shared" si="27"/>
        <v>-371850.5284367986</v>
      </c>
      <c r="M36" s="147">
        <f t="shared" si="27"/>
        <v>-1034560.9122310728</v>
      </c>
      <c r="N36" s="147">
        <f t="shared" si="27"/>
        <v>-1726290.0095687844</v>
      </c>
      <c r="O36" s="147">
        <f>O14+O16+O20-O6-O7-O32</f>
        <v>91686150.805854142</v>
      </c>
      <c r="P36" s="147">
        <f t="shared" si="27"/>
        <v>345983904.9165554</v>
      </c>
    </row>
    <row r="37" spans="3:16" hidden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E19"/>
  <sheetViews>
    <sheetView workbookViewId="0">
      <selection activeCell="H8" sqref="H8"/>
    </sheetView>
  </sheetViews>
  <sheetFormatPr defaultRowHeight="15" x14ac:dyDescent="0.25"/>
  <cols>
    <col min="1" max="1" width="48.28515625" customWidth="1"/>
    <col min="2" max="2" width="21.7109375" customWidth="1"/>
    <col min="3" max="3" width="23.5703125" customWidth="1"/>
    <col min="5" max="5" width="10.85546875" hidden="1" customWidth="1"/>
  </cols>
  <sheetData>
    <row r="2" spans="1:5" ht="25.5" x14ac:dyDescent="0.25">
      <c r="A2" s="159"/>
      <c r="B2" s="160" t="s">
        <v>256</v>
      </c>
      <c r="C2" s="160" t="s">
        <v>257</v>
      </c>
    </row>
    <row r="3" spans="1:5" x14ac:dyDescent="0.25">
      <c r="A3" s="161" t="s">
        <v>258</v>
      </c>
      <c r="B3" s="162">
        <f>КОНЦЕССИЯ!L59</f>
        <v>551318064.38983059</v>
      </c>
      <c r="C3" s="163"/>
    </row>
    <row r="4" spans="1:5" x14ac:dyDescent="0.25">
      <c r="A4" s="161" t="s">
        <v>259</v>
      </c>
      <c r="B4" s="162">
        <f>B3*0.18</f>
        <v>99237251.590169504</v>
      </c>
      <c r="C4" s="163"/>
    </row>
    <row r="5" spans="1:5" ht="26.25" x14ac:dyDescent="0.25">
      <c r="A5" s="164" t="s">
        <v>260</v>
      </c>
      <c r="B5" s="162">
        <f>B3+B4</f>
        <v>650555315.98000014</v>
      </c>
      <c r="C5" s="163"/>
    </row>
    <row r="6" spans="1:5" x14ac:dyDescent="0.25">
      <c r="A6" s="161"/>
      <c r="B6" s="162"/>
      <c r="C6" s="163"/>
    </row>
    <row r="7" spans="1:5" x14ac:dyDescent="0.25">
      <c r="A7" s="164" t="s">
        <v>261</v>
      </c>
      <c r="B7" s="162">
        <f>SUM(B8:B12)</f>
        <v>1055559188.2828758</v>
      </c>
      <c r="C7" s="165">
        <f>B7/$B$5</f>
        <v>1.6225510150397826</v>
      </c>
    </row>
    <row r="8" spans="1:5" x14ac:dyDescent="0.25">
      <c r="A8" s="161" t="s">
        <v>262</v>
      </c>
      <c r="B8" s="166">
        <f>КОНЦЕССИЯ!D59</f>
        <v>427769292.53703177</v>
      </c>
      <c r="C8" s="171">
        <f t="shared" ref="C8:C17" si="0">B8/$B$5</f>
        <v>0.65754484212097741</v>
      </c>
      <c r="E8" s="147">
        <f>B9+B10+B11+B12</f>
        <v>627789895.74584401</v>
      </c>
    </row>
    <row r="9" spans="1:5" x14ac:dyDescent="0.25">
      <c r="A9" s="161" t="s">
        <v>263</v>
      </c>
      <c r="B9" s="166">
        <f>КОНЦЕССИЯ!O59</f>
        <v>96425529.461781397</v>
      </c>
      <c r="C9" s="171">
        <f t="shared" si="0"/>
        <v>0.14822033898305087</v>
      </c>
      <c r="E9">
        <f>E8*0.18</f>
        <v>113002181.23425192</v>
      </c>
    </row>
    <row r="10" spans="1:5" x14ac:dyDescent="0.25">
      <c r="A10" s="161" t="s">
        <v>264</v>
      </c>
      <c r="B10" s="166">
        <f>КОНЦЕССИЯ!P59</f>
        <v>68085.359999999986</v>
      </c>
      <c r="C10" s="171">
        <f t="shared" si="0"/>
        <v>1.0465729558667247E-4</v>
      </c>
      <c r="E10" s="147">
        <f>E8+E9</f>
        <v>740792076.98009586</v>
      </c>
    </row>
    <row r="11" spans="1:5" x14ac:dyDescent="0.25">
      <c r="A11" s="161" t="s">
        <v>268</v>
      </c>
      <c r="B11" s="166">
        <f>КОНЦЕССИЯ!G59</f>
        <v>214032698.95741999</v>
      </c>
      <c r="C11" s="171">
        <f t="shared" si="0"/>
        <v>0.3289999999999999</v>
      </c>
    </row>
    <row r="12" spans="1:5" x14ac:dyDescent="0.25">
      <c r="A12" s="161" t="s">
        <v>269</v>
      </c>
      <c r="B12" s="166">
        <f>КОНЦЕССИЯ!Q59</f>
        <v>317263581.96664262</v>
      </c>
      <c r="C12" s="171">
        <f t="shared" si="0"/>
        <v>0.4876811766401678</v>
      </c>
    </row>
    <row r="13" spans="1:5" x14ac:dyDescent="0.25">
      <c r="A13" s="161"/>
      <c r="B13" s="162"/>
      <c r="C13" s="165"/>
    </row>
    <row r="14" spans="1:5" x14ac:dyDescent="0.25">
      <c r="A14" s="164" t="s">
        <v>265</v>
      </c>
      <c r="B14" s="162">
        <f>SUM(B8:B12)*0.18</f>
        <v>190000653.89091763</v>
      </c>
      <c r="C14" s="165">
        <f t="shared" si="0"/>
        <v>0.29205918270716086</v>
      </c>
    </row>
    <row r="15" spans="1:5" x14ac:dyDescent="0.25">
      <c r="A15" s="161"/>
      <c r="B15" s="163"/>
      <c r="C15" s="165"/>
    </row>
    <row r="16" spans="1:5" x14ac:dyDescent="0.25">
      <c r="A16" s="164" t="s">
        <v>270</v>
      </c>
      <c r="B16" s="170">
        <f>B5+B7+B14</f>
        <v>1896115158.1537936</v>
      </c>
      <c r="C16" s="165"/>
    </row>
    <row r="17" spans="1:3" x14ac:dyDescent="0.25">
      <c r="A17" s="164" t="s">
        <v>271</v>
      </c>
      <c r="B17" s="167">
        <f>B16*0.98</f>
        <v>1858192854.9907176</v>
      </c>
      <c r="C17" s="165">
        <f t="shared" si="0"/>
        <v>2.8563179937920045</v>
      </c>
    </row>
    <row r="18" spans="1:3" x14ac:dyDescent="0.25">
      <c r="A18" s="168" t="s">
        <v>266</v>
      </c>
      <c r="B18" s="10"/>
    </row>
    <row r="19" spans="1:3" x14ac:dyDescent="0.25">
      <c r="A19" s="168" t="s">
        <v>267</v>
      </c>
      <c r="B19" s="169">
        <f>B17/10</f>
        <v>185819285.49907178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20" sqref="B20"/>
    </sheetView>
  </sheetViews>
  <sheetFormatPr defaultRowHeight="15" x14ac:dyDescent="0.25"/>
  <cols>
    <col min="2" max="2" width="29.85546875" bestFit="1" customWidth="1"/>
    <col min="3" max="12" width="12.85546875" bestFit="1" customWidth="1"/>
    <col min="13" max="13" width="14" bestFit="1" customWidth="1"/>
  </cols>
  <sheetData>
    <row r="1" spans="1:13" x14ac:dyDescent="0.25">
      <c r="A1" s="151" t="str">
        <f>'ПРОГНОЗ ДОХОДОВ И РАСХОДОВ НДС'!A2</f>
        <v>№, п/п</v>
      </c>
      <c r="B1" s="151" t="str">
        <f>'ПРОГНОЗ ДОХОДОВ И РАСХОДОВ НДС'!B2</f>
        <v xml:space="preserve">Показатель </v>
      </c>
      <c r="C1" s="151">
        <v>2020</v>
      </c>
      <c r="D1" s="151">
        <v>2021</v>
      </c>
      <c r="E1" s="151">
        <v>2022</v>
      </c>
      <c r="F1" s="151">
        <v>2023</v>
      </c>
      <c r="G1" s="151">
        <v>2024</v>
      </c>
      <c r="H1" s="151">
        <v>2025</v>
      </c>
      <c r="I1" s="151">
        <v>2026</v>
      </c>
      <c r="J1" s="151">
        <v>2027</v>
      </c>
      <c r="K1" s="151">
        <v>2028</v>
      </c>
      <c r="L1" s="151">
        <v>2029</v>
      </c>
      <c r="M1" s="151" t="s">
        <v>39</v>
      </c>
    </row>
    <row r="2" spans="1:13" x14ac:dyDescent="0.25">
      <c r="A2" s="151"/>
      <c r="B2" s="10" t="str">
        <f>'ПРОГНОЗ ДОХОДОВ И РАСХОДОВ НДС'!B3</f>
        <v>Выручка от оказываемых услуг</v>
      </c>
      <c r="C2" s="34">
        <f>'ПРОГНОЗ ДОХОДОВ И РАСХОДОВ НДС'!D3+'ПРОГНОЗ ДОХОДОВ И РАСХОДОВ НДС'!E3+'ПРОГНОЗ ДОХОДОВ И РАСХОДОВ НДС'!F3+'ПРОГНОЗ ДОХОДОВ И РАСХОДОВ НДС'!G3</f>
        <v>15660000</v>
      </c>
      <c r="D2" s="34">
        <f>SUM('ПРОГНОЗ ДОХОДОВ И РАСХОДОВ НДС'!H3:K3)</f>
        <v>17097600</v>
      </c>
      <c r="E2" s="34">
        <f>SUM('ПРОГНОЗ ДОХОДОВ И РАСХОДОВ НДС'!L3:O3)</f>
        <v>18668415.999999996</v>
      </c>
      <c r="F2" s="34">
        <f>SUM('ПРОГНОЗ ДОХОДОВ И РАСХОДОВ НДС'!P3:S3)</f>
        <v>20388160</v>
      </c>
      <c r="G2" s="34">
        <f>SUM('ПРОГНОЗ ДОХОДОВ И РАСХОДОВ НДС'!T3:W3)</f>
        <v>22630913.843200002</v>
      </c>
      <c r="H2" s="34">
        <f>SUM('ПРОГНОЗ ДОХОДОВ И РАСХОДОВ НДС'!X3:AA3)</f>
        <v>25008300.408832006</v>
      </c>
      <c r="I2" s="34">
        <f>SUM('ПРОГНОЗ ДОХОДОВ И РАСХОДОВ НДС'!AB3:AE3)</f>
        <v>29909927.288963072</v>
      </c>
      <c r="J2" s="34">
        <f>SUM('ПРОГНОЗ ДОХОДОВ И РАСХОДОВ НДС'!AF3:AI3)</f>
        <v>35772273.037599832</v>
      </c>
      <c r="K2" s="34">
        <f>SUM('ПРОГНОЗ ДОХОДОВ И РАСХОДОВ НДС'!AJ3:AM3)</f>
        <v>42783638.552969389</v>
      </c>
      <c r="L2" s="34">
        <f>SUM('ПРОГНОЗ ДОХОДОВ И РАСХОДОВ НДС'!AN3:AQ3)</f>
        <v>51169231.709351391</v>
      </c>
      <c r="M2" s="34">
        <f>SUM(C2:L2)</f>
        <v>279088460.84091568</v>
      </c>
    </row>
    <row r="3" spans="1:13" x14ac:dyDescent="0.25">
      <c r="A3" s="151" t="str">
        <f>'ПРОГНОЗ ДОХОДОВ И РАСХОДОВ НДС'!A4</f>
        <v>1.1.</v>
      </c>
      <c r="B3" s="10" t="str">
        <f>'ПРОГНОЗ ДОХОДОВ И РАСХОДОВ НДС'!B4</f>
        <v>пассажиропоток</v>
      </c>
      <c r="C3" s="34">
        <f>'ПРОГНОЗ ДОХОДОВ И РАСХОДОВ НДС'!D4+'ПРОГНОЗ ДОХОДОВ И РАСХОДОВ НДС'!E4+'ПРОГНОЗ ДОХОДОВ И РАСХОДОВ НДС'!F4+'ПРОГНОЗ ДОХОДОВ И РАСХОДОВ НДС'!G4</f>
        <v>313200</v>
      </c>
      <c r="D3" s="34">
        <f>SUM('ПРОГНОЗ ДОХОДОВ И РАСХОДОВ НДС'!H4:K4)</f>
        <v>328800</v>
      </c>
      <c r="E3" s="34">
        <f>SUM('ПРОГНОЗ ДОХОДОВ И РАСХОДОВ НДС'!L4:O4)</f>
        <v>345200</v>
      </c>
      <c r="F3" s="34">
        <f>SUM('ПРОГНОЗ ДОХОДОВ И РАСХОДОВ НДС'!P4:S4)</f>
        <v>362500</v>
      </c>
      <c r="G3" s="34">
        <f>SUM('ПРОГНОЗ ДОХОДОВ И РАСХОДОВ НДС'!T4:W4)</f>
        <v>386900</v>
      </c>
      <c r="H3" s="34">
        <f>SUM('ПРОГНОЗ ДОХОДОВ И РАСХОДОВ НДС'!X4:AA4)</f>
        <v>411100</v>
      </c>
      <c r="I3" s="34">
        <f>SUM('ПРОГНОЗ ДОХОДОВ И РАСХОДОВ НДС'!AB4:AE4)</f>
        <v>472764.99999999988</v>
      </c>
      <c r="J3" s="34">
        <f>SUM('ПРОГНОЗ ДОХОДОВ И РАСХОДОВ НДС'!AF4:AI4)</f>
        <v>543679.74999999988</v>
      </c>
      <c r="K3" s="34">
        <f>SUM('ПРОГНОЗ ДОХОДОВ И РАСХОДОВ НДС'!AJ4:AM4)</f>
        <v>625231.71249999967</v>
      </c>
      <c r="L3" s="34">
        <f>SUM('ПРОГНОЗ ДОХОДОВ И РАСХОДОВ НДС'!AN4:AQ4)</f>
        <v>719016.46937499975</v>
      </c>
      <c r="M3" s="34">
        <f>L3</f>
        <v>719016.46937499975</v>
      </c>
    </row>
    <row r="4" spans="1:13" hidden="1" x14ac:dyDescent="0.25">
      <c r="A4" s="151"/>
      <c r="B4" s="10" t="str">
        <f>'ПРОГНОЗ ДОХОДОВ И РАСХОДОВ НДС'!B5</f>
        <v>годовая сезонность</v>
      </c>
      <c r="C4" s="10">
        <f>'ПРОГНОЗ ДОХОДОВ И РАСХОДОВ НДС'!D5+'ПРОГНОЗ ДОХОДОВ И РАСХОДОВ НДС'!E5+'ПРОГНОЗ ДОХОДОВ И РАСХОДОВ НДС'!F5+'ПРОГНОЗ ДОХОДОВ И РАСХОДОВ НДС'!G5</f>
        <v>1</v>
      </c>
      <c r="D4" s="10">
        <f>SUM('ПРОГНОЗ ДОХОДОВ И РАСХОДОВ НДС'!H5:K5)</f>
        <v>1</v>
      </c>
      <c r="E4" s="10">
        <f>SUM('ПРОГНОЗ ДОХОДОВ И РАСХОДОВ НДС'!L5:O5)</f>
        <v>1</v>
      </c>
      <c r="F4" s="10">
        <f>SUM('ПРОГНОЗ ДОХОДОВ И РАСХОДОВ НДС'!P5:S5)</f>
        <v>1</v>
      </c>
      <c r="G4" s="10">
        <f>SUM('ПРОГНОЗ ДОХОДОВ И РАСХОДОВ НДС'!T5:W5)</f>
        <v>1</v>
      </c>
      <c r="H4" s="10">
        <f>SUM('ПРОГНОЗ ДОХОДОВ И РАСХОДОВ НДС'!X5:AA5)</f>
        <v>1</v>
      </c>
      <c r="I4" s="10">
        <f>SUM('ПРОГНОЗ ДОХОДОВ И РАСХОДОВ НДС'!AB5:AE5)</f>
        <v>1</v>
      </c>
      <c r="J4" s="10">
        <f>SUM('ПРОГНОЗ ДОХОДОВ И РАСХОДОВ НДС'!AF5:AI5)</f>
        <v>1</v>
      </c>
      <c r="K4" s="10">
        <f>SUM('ПРОГНОЗ ДОХОДОВ И РАСХОДОВ НДС'!AJ5:AM5)</f>
        <v>1</v>
      </c>
      <c r="L4" s="10">
        <f>SUM('ПРОГНОЗ ДОХОДОВ И РАСХОДОВ НДС'!AN5:AQ5)</f>
        <v>1</v>
      </c>
      <c r="M4" s="10">
        <f>SUM('ПРОГНОЗ ДОХОДОВ И РАСХОДОВ НДС'!AO5:AR5)</f>
        <v>0.85</v>
      </c>
    </row>
    <row r="5" spans="1:13" x14ac:dyDescent="0.25">
      <c r="A5" s="151" t="str">
        <f>'ПРОГНОЗ ДОХОДОВ И РАСХОДОВ НДС'!A6</f>
        <v>1.2.</v>
      </c>
      <c r="B5" s="10" t="str">
        <f>'ПРОГНОЗ ДОХОДОВ И РАСХОДОВ НДС'!B6</f>
        <v>стоимость проезда</v>
      </c>
      <c r="C5" s="10">
        <f>'ПРОГНОЗ ДОХОДОВ И РАСХОДОВ НДС'!D6</f>
        <v>50</v>
      </c>
      <c r="D5" s="155">
        <f>C5*D6</f>
        <v>52</v>
      </c>
      <c r="E5" s="155">
        <f>D5*E6</f>
        <v>54.08</v>
      </c>
      <c r="F5" s="155">
        <f t="shared" ref="F5:L5" si="0">E5*F6</f>
        <v>56.243200000000002</v>
      </c>
      <c r="G5" s="155">
        <f t="shared" si="0"/>
        <v>58.492928000000006</v>
      </c>
      <c r="H5" s="155">
        <f t="shared" si="0"/>
        <v>60.832645120000009</v>
      </c>
      <c r="I5" s="155">
        <f t="shared" si="0"/>
        <v>63.265950924800009</v>
      </c>
      <c r="J5" s="155">
        <f t="shared" si="0"/>
        <v>65.796588961792011</v>
      </c>
      <c r="K5" s="155">
        <f t="shared" si="0"/>
        <v>68.42845252026369</v>
      </c>
      <c r="L5" s="155">
        <f t="shared" si="0"/>
        <v>71.165590621074244</v>
      </c>
      <c r="M5" s="155"/>
    </row>
    <row r="6" spans="1:13" x14ac:dyDescent="0.25">
      <c r="A6" s="151"/>
      <c r="B6" s="10" t="str">
        <f>'ПРОГНОЗ ДОХОДОВ И РАСХОДОВ НДС'!B7</f>
        <v>инфляция</v>
      </c>
      <c r="C6" s="10">
        <f>'ПРОГНОЗ ДОХОДОВ И РАСХОДОВ НДС'!D7+'ПРОГНОЗ ДОХОДОВ И РАСХОДОВ НДС'!E7+'ПРОГНОЗ ДОХОДОВ И РАСХОДОВ НДС'!F7+'ПРОГНОЗ ДОХОДОВ И РАСХОДОВ НДС'!G7</f>
        <v>0</v>
      </c>
      <c r="D6" s="10">
        <f>SUM('ПРОГНОЗ ДОХОДОВ И РАСХОДОВ НДС'!H7:K7)</f>
        <v>1.04</v>
      </c>
      <c r="E6" s="10">
        <f>SUM('ПРОГНОЗ ДОХОДОВ И РАСХОДОВ НДС'!L7:O7)</f>
        <v>1.04</v>
      </c>
      <c r="F6" s="10">
        <f>SUM('ПРОГНОЗ ДОХОДОВ И РАСХОДОВ НДС'!P7:S7)</f>
        <v>1.04</v>
      </c>
      <c r="G6" s="10">
        <f>SUM('ПРОГНОЗ ДОХОДОВ И РАСХОДОВ НДС'!T7:W7)</f>
        <v>1.04</v>
      </c>
      <c r="H6" s="10">
        <f>SUM('ПРОГНОЗ ДОХОДОВ И РАСХОДОВ НДС'!X7:AA7)</f>
        <v>1.04</v>
      </c>
      <c r="I6" s="10">
        <f>SUM('ПРОГНОЗ ДОХОДОВ И РАСХОДОВ НДС'!AB7:AE7)</f>
        <v>1.04</v>
      </c>
      <c r="J6" s="10">
        <f>SUM('ПРОГНОЗ ДОХОДОВ И РАСХОДОВ НДС'!AF7:AI7)</f>
        <v>1.04</v>
      </c>
      <c r="K6" s="10">
        <f>SUM('ПРОГНОЗ ДОХОДОВ И РАСХОДОВ НДС'!AJ7:AM7)</f>
        <v>1.04</v>
      </c>
      <c r="L6" s="10">
        <f>SUM('ПРОГНОЗ ДОХОДОВ И РАСХОДОВ НДС'!AN7:AQ7)</f>
        <v>1.04</v>
      </c>
      <c r="M6" s="10"/>
    </row>
    <row r="7" spans="1:13" x14ac:dyDescent="0.25">
      <c r="A7" s="151"/>
      <c r="B7" s="10" t="str">
        <f>'ПРОГНОЗ ДОХОДОВ И РАСХОДОВ НДС'!B8</f>
        <v>справочно: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151"/>
      <c r="B8" s="10" t="str">
        <f>'ПРОГНОЗ ДОХОДОВ И РАСХОДОВ НДС'!B9</f>
        <v>максимальная загрузка</v>
      </c>
      <c r="C8" s="34">
        <f>'ПРОГНОЗ ДОХОДОВ И РАСХОДОВ НДС'!D9+'ПРОГНОЗ ДОХОДОВ И РАСХОДОВ НДС'!E9+'ПРОГНОЗ ДОХОДОВ И РАСХОДОВ НДС'!F9+'ПРОГНОЗ ДОХОДОВ И РАСХОДОВ НДС'!G9</f>
        <v>2160000</v>
      </c>
      <c r="D8" s="34">
        <f>SUM('ПРОГНОЗ ДОХОДОВ И РАСХОДОВ НДС'!H9:K9)</f>
        <v>2160000</v>
      </c>
      <c r="E8" s="34">
        <f>SUM('ПРОГНОЗ ДОХОДОВ И РАСХОДОВ НДС'!L9:O9)</f>
        <v>2160000</v>
      </c>
      <c r="F8" s="34">
        <f>SUM('ПРОГНОЗ ДОХОДОВ И РАСХОДОВ НДС'!P9:S9)</f>
        <v>2160000</v>
      </c>
      <c r="G8" s="34">
        <f>SUM('ПРОГНОЗ ДОХОДОВ И РАСХОДОВ НДС'!T9:W9)</f>
        <v>2160000</v>
      </c>
      <c r="H8" s="34">
        <f>SUM('ПРОГНОЗ ДОХОДОВ И РАСХОДОВ НДС'!X9:AA9)</f>
        <v>2160000</v>
      </c>
      <c r="I8" s="34">
        <f>SUM('ПРОГНОЗ ДОХОДОВ И РАСХОДОВ НДС'!AB9:AE9)</f>
        <v>2160000</v>
      </c>
      <c r="J8" s="34">
        <f>SUM('ПРОГНОЗ ДОХОДОВ И РАСХОДОВ НДС'!AF9:AI9)</f>
        <v>2160000</v>
      </c>
      <c r="K8" s="34">
        <f>SUM('ПРОГНОЗ ДОХОДОВ И РАСХОДОВ НДС'!AJ9:AM9)</f>
        <v>2160000</v>
      </c>
      <c r="L8" s="34">
        <f>SUM('ПРОГНОЗ ДОХОДОВ И РАСХОДОВ НДС'!AN9:AQ9)</f>
        <v>2160000</v>
      </c>
      <c r="M8" s="34">
        <f>L8</f>
        <v>2160000</v>
      </c>
    </row>
    <row r="9" spans="1:13" x14ac:dyDescent="0.25">
      <c r="A9" s="151"/>
      <c r="B9" s="10" t="str">
        <f>'ПРОГНОЗ ДОХОДОВ И РАСХОДОВ НДС'!B10</f>
        <v>процент заполняемости</v>
      </c>
      <c r="C9" s="43">
        <f>C3/C8</f>
        <v>0.14499999999999999</v>
      </c>
      <c r="D9" s="43">
        <f>D3/D8</f>
        <v>0.15222222222222223</v>
      </c>
      <c r="E9" s="43">
        <f t="shared" ref="E9:L9" si="1">E3/E8</f>
        <v>0.15981481481481483</v>
      </c>
      <c r="F9" s="43">
        <f t="shared" si="1"/>
        <v>0.16782407407407407</v>
      </c>
      <c r="G9" s="43">
        <f t="shared" si="1"/>
        <v>0.17912037037037037</v>
      </c>
      <c r="H9" s="43">
        <f t="shared" si="1"/>
        <v>0.19032407407407406</v>
      </c>
      <c r="I9" s="43">
        <f t="shared" si="1"/>
        <v>0.21887268518518513</v>
      </c>
      <c r="J9" s="43">
        <f t="shared" si="1"/>
        <v>0.25170358796296288</v>
      </c>
      <c r="K9" s="43">
        <f t="shared" si="1"/>
        <v>0.28945912615740726</v>
      </c>
      <c r="L9" s="43">
        <f t="shared" si="1"/>
        <v>0.3328779950810184</v>
      </c>
      <c r="M9" s="43">
        <f>M3/M8</f>
        <v>0.3328779950810184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C2" sqref="C2:M30"/>
    </sheetView>
  </sheetViews>
  <sheetFormatPr defaultRowHeight="15" x14ac:dyDescent="0.25"/>
  <cols>
    <col min="2" max="2" width="55.85546875" customWidth="1"/>
    <col min="3" max="12" width="12.85546875" bestFit="1" customWidth="1"/>
    <col min="13" max="13" width="14" bestFit="1" customWidth="1"/>
  </cols>
  <sheetData>
    <row r="1" spans="1:13" x14ac:dyDescent="0.25">
      <c r="A1" s="157" t="str">
        <f>'ПРОГНОЗ ДОХОДОВ И РАСХОДОВ НДС'!A66</f>
        <v>№, п/п</v>
      </c>
      <c r="B1" s="157" t="str">
        <f>'ПРОГНОЗ ДОХОДОВ И РАСХОДОВ НДС'!B66</f>
        <v xml:space="preserve">Показатель </v>
      </c>
      <c r="C1" s="157">
        <f>'доп. ДОХОДЫ по годам'!C1</f>
        <v>2020</v>
      </c>
      <c r="D1" s="157">
        <f>'доп. ДОХОДЫ по годам'!D1</f>
        <v>2021</v>
      </c>
      <c r="E1" s="157">
        <f>'доп. ДОХОДЫ по годам'!E1</f>
        <v>2022</v>
      </c>
      <c r="F1" s="157">
        <f>'доп. ДОХОДЫ по годам'!F1</f>
        <v>2023</v>
      </c>
      <c r="G1" s="157">
        <f>'доп. ДОХОДЫ по годам'!G1</f>
        <v>2024</v>
      </c>
      <c r="H1" s="157">
        <f>'доп. ДОХОДЫ по годам'!H1</f>
        <v>2025</v>
      </c>
      <c r="I1" s="157">
        <f>'доп. ДОХОДЫ по годам'!I1</f>
        <v>2026</v>
      </c>
      <c r="J1" s="157">
        <f>'доп. ДОХОДЫ по годам'!J1</f>
        <v>2027</v>
      </c>
      <c r="K1" s="157">
        <f>'доп. ДОХОДЫ по годам'!K1</f>
        <v>2028</v>
      </c>
      <c r="L1" s="157">
        <f>'доп. ДОХОДЫ по годам'!L1</f>
        <v>2029</v>
      </c>
      <c r="M1" s="157" t="str">
        <f>'доп. ДОХОДЫ по годам'!M1</f>
        <v>ИТОГО</v>
      </c>
    </row>
    <row r="2" spans="1:13" x14ac:dyDescent="0.25">
      <c r="A2" s="10">
        <f>'ПРОГНОЗ ДОХОДОВ И РАСХОДОВ НДС'!A67</f>
        <v>1</v>
      </c>
      <c r="B2" s="156" t="str">
        <f>'ПРОГНОЗ ДОХОДОВ И РАСХОДОВ НДС'!B67</f>
        <v>Mатериал для проведения регламентных работ</v>
      </c>
      <c r="C2" s="34">
        <f>SUM('ПРОГНОЗ ДОХОДОВ И РАСХОДОВ НДС'!D67:G67)</f>
        <v>3116380</v>
      </c>
      <c r="D2" s="34">
        <f>SUM('ПРОГНОЗ ДОХОДОВ И РАСХОДОВ НДС'!H67:K67)</f>
        <v>3241035.1999999997</v>
      </c>
      <c r="E2" s="34">
        <f>SUM('ПРОГНОЗ ДОХОДОВ И РАСХОДОВ НДС'!L67:O67)</f>
        <v>3370676.608</v>
      </c>
      <c r="F2" s="34">
        <f>SUM('ПРОГНОЗ ДОХОДОВ И РАСХОДОВ НДС'!P67:S67)</f>
        <v>3505503.6723200004</v>
      </c>
      <c r="G2" s="34">
        <f>SUM('ПРОГНОЗ ДОХОДОВ И РАСХОДОВ НДС'!T67:W67)</f>
        <v>3645723.8192128008</v>
      </c>
      <c r="H2" s="34">
        <f>SUM('ПРОГНОЗ ДОХОДОВ И РАСХОДОВ НДС'!X67:AA67)</f>
        <v>3791552.7719813129</v>
      </c>
      <c r="I2" s="34">
        <f>SUM('ПРОГНОЗ ДОХОДОВ И РАСХОДОВ НДС'!AB67:AE67)</f>
        <v>3943214.8828605656</v>
      </c>
      <c r="J2" s="34">
        <f>SUM('ПРОГНОЗ ДОХОДОВ И РАСХОДОВ НДС'!AF67:AI67)</f>
        <v>4100943.4781749886</v>
      </c>
      <c r="K2" s="34">
        <f>SUM('ПРОГНОЗ ДОХОДОВ И РАСХОДОВ НДС'!AJ67:AM67)</f>
        <v>4264981.217301988</v>
      </c>
      <c r="L2" s="34">
        <f>SUM('ПРОГНОЗ ДОХОДОВ И РАСХОДОВ НДС'!AN67:AQ67)</f>
        <v>4435580.4659940675</v>
      </c>
      <c r="M2" s="34">
        <f>SUM(C2:L2)</f>
        <v>37415592.115845725</v>
      </c>
    </row>
    <row r="3" spans="1:13" x14ac:dyDescent="0.25">
      <c r="A3" s="10">
        <f>'ПРОГНОЗ ДОХОДОВ И РАСХОДОВ НДС'!A68</f>
        <v>2</v>
      </c>
      <c r="B3" s="156" t="str">
        <f>'ПРОГНОЗ ДОХОДОВ И РАСХОДОВ НДС'!B68</f>
        <v>Офисные затраты</v>
      </c>
      <c r="C3" s="34">
        <f>SUM('ПРОГНОЗ ДОХОДОВ И РАСХОДОВ НДС'!D68:G68)</f>
        <v>769845.94000000006</v>
      </c>
      <c r="D3" s="34">
        <f>SUM('ПРОГНОЗ ДОХОДОВ И РАСХОДОВ НДС'!H68:K68)</f>
        <v>1251000</v>
      </c>
      <c r="E3" s="34">
        <f>SUM('ПРОГНОЗ ДОХОДОВ И РАСХОДОВ НДС'!L68:O68)</f>
        <v>1301040</v>
      </c>
      <c r="F3" s="34">
        <f>SUM('ПРОГНОЗ ДОХОДОВ И РАСХОДОВ НДС'!P68:S68)</f>
        <v>1353081.5999999999</v>
      </c>
      <c r="G3" s="34">
        <f>SUM('ПРОГНОЗ ДОХОДОВ И РАСХОДОВ НДС'!T68:W68)</f>
        <v>1407204.8640000001</v>
      </c>
      <c r="H3" s="34">
        <f>SUM('ПРОГНОЗ ДОХОДОВ И РАСХОДОВ НДС'!X68:AA68)</f>
        <v>1463493.05856</v>
      </c>
      <c r="I3" s="34">
        <f>SUM('ПРОГНОЗ ДОХОДОВ И РАСХОДОВ НДС'!AB68:AE68)</f>
        <v>1522032.7809024001</v>
      </c>
      <c r="J3" s="34">
        <f>SUM('ПРОГНОЗ ДОХОДОВ И РАСХОДОВ НДС'!AF68:AI68)</f>
        <v>1582914.0921384962</v>
      </c>
      <c r="K3" s="34">
        <f>SUM('ПРОГНОЗ ДОХОДОВ И РАСХОДОВ НДС'!AJ68:AM68)</f>
        <v>1646230.6558240359</v>
      </c>
      <c r="L3" s="34">
        <f>SUM('ПРОГНОЗ ДОХОДОВ И РАСХОДОВ НДС'!AN68:AQ68)</f>
        <v>1712079.8820569974</v>
      </c>
      <c r="M3" s="34">
        <f t="shared" ref="M3:M30" si="0">SUM(C3:L3)</f>
        <v>14008922.873481931</v>
      </c>
    </row>
    <row r="4" spans="1:13" x14ac:dyDescent="0.25">
      <c r="A4" s="10">
        <f>'ПРОГНОЗ ДОХОДОВ И РАСХОДОВ НДС'!A69</f>
        <v>3</v>
      </c>
      <c r="B4" s="156" t="str">
        <f>'ПРОГНОЗ ДОХОДОВ И РАСХОДОВ НДС'!B69</f>
        <v>Техническая поддержка, обучение, программы</v>
      </c>
      <c r="C4" s="34">
        <f>SUM('ПРОГНОЗ ДОХОДОВ И РАСХОДОВ НДС'!D69:G69)</f>
        <v>4326015.6850000005</v>
      </c>
      <c r="D4" s="34">
        <f>SUM('ПРОГНОЗ ДОХОДОВ И РАСХОДОВ НДС'!H69:K69)</f>
        <v>6244406.9767999984</v>
      </c>
      <c r="E4" s="34">
        <f>SUM('ПРОГНОЗ ДОХОДОВ И РАСХОДОВ НДС'!L69:O69)</f>
        <v>4605179.9556719996</v>
      </c>
      <c r="F4" s="34">
        <f>SUM('ПРОГНОЗ ДОХОДОВ И РАСХОДОВ НДС'!P69:S69)</f>
        <v>4806336.0632988801</v>
      </c>
      <c r="G4" s="34">
        <f>SUM('ПРОГНОЗ ДОХОДОВ И РАСХОДОВ НДС'!T69:W69)</f>
        <v>5898791.7308308361</v>
      </c>
      <c r="H4" s="34">
        <f>SUM('ПРОГНОЗ ДОХОДОВ И РАСХОДОВ НДС'!X69:AA69)</f>
        <v>5163957.1974640694</v>
      </c>
      <c r="I4" s="34">
        <f>SUM('ПРОГНОЗ ДОХОДОВ И РАСХОДОВ НДС'!AB69:AE69)</f>
        <v>6270717.7103626318</v>
      </c>
      <c r="J4" s="34">
        <f>SUM('ПРОГНОЗ ДОХОДОВ И РАСХОДОВ НДС'!AF69:AI69)</f>
        <v>5550760.2161771376</v>
      </c>
      <c r="K4" s="34">
        <f>SUM('ПРОГНОЗ ДОХОДОВ И РАСХОДОВ НДС'!AJ69:AM69)</f>
        <v>5755841.6598242242</v>
      </c>
      <c r="L4" s="34">
        <f>SUM('ПРОГНОЗ ДОХОДОВ И РАСХОДОВ НДС'!AN69:AQ69)</f>
        <v>6886277.5512171928</v>
      </c>
      <c r="M4" s="34">
        <f t="shared" si="0"/>
        <v>55508284.746646963</v>
      </c>
    </row>
    <row r="5" spans="1:13" ht="30" x14ac:dyDescent="0.25">
      <c r="A5" s="10" t="str">
        <f>'ПРОГНОЗ ДОХОДОВ И РАСХОДОВ НДС'!A70</f>
        <v>3.1.</v>
      </c>
      <c r="B5" s="156" t="str">
        <f>'ПРОГНОЗ ДОХОДОВ И РАСХОДОВ НДС'!B70</f>
        <v>Стоимость первой пересчалки каната силами и оборудованием эксплуатирующей организации</v>
      </c>
      <c r="C5" s="34">
        <f>SUM('ПРОГНОЗ ДОХОДОВ И РАСХОДОВ НДС'!D70:G70)</f>
        <v>0</v>
      </c>
      <c r="D5" s="34">
        <f>SUM('ПРОГНОЗ ДОХОДОВ И РАСХОДОВ НДС'!H70:K70)</f>
        <v>1801305.865</v>
      </c>
      <c r="E5" s="34">
        <f>SUM('ПРОГНОЗ ДОХОДОВ И РАСХОДОВ НДС'!L70:O70)</f>
        <v>0</v>
      </c>
      <c r="F5" s="34">
        <f>SUM('ПРОГНОЗ ДОХОДОВ И РАСХОДОВ НДС'!P70:S70)</f>
        <v>0</v>
      </c>
      <c r="G5" s="34">
        <f>SUM('ПРОГНОЗ ДОХОДОВ И РАСХОДОВ НДС'!T70:W70)</f>
        <v>0</v>
      </c>
      <c r="H5" s="34">
        <f>SUM('ПРОГНОЗ ДОХОДОВ И РАСХОДОВ НДС'!X70:AA70)</f>
        <v>0</v>
      </c>
      <c r="I5" s="34">
        <f>SUM('ПРОГНОЗ ДОХОДОВ И РАСХОДОВ НДС'!AB70:AE70)</f>
        <v>0</v>
      </c>
      <c r="J5" s="34">
        <f>SUM('ПРОГНОЗ ДОХОДОВ И РАСХОДОВ НДС'!AF70:AI70)</f>
        <v>0</v>
      </c>
      <c r="K5" s="34">
        <f>SUM('ПРОГНОЗ ДОХОДОВ И РАСХОДОВ НДС'!AJ70:AM70)</f>
        <v>0</v>
      </c>
      <c r="L5" s="34">
        <f>SUM('ПРОГНОЗ ДОХОДОВ И РАСХОДОВ НДС'!AN70:AQ70)</f>
        <v>0</v>
      </c>
      <c r="M5" s="34">
        <f t="shared" si="0"/>
        <v>1801305.865</v>
      </c>
    </row>
    <row r="6" spans="1:13" x14ac:dyDescent="0.25">
      <c r="A6" s="10" t="str">
        <f>'ПРОГНОЗ ДОХОДОВ И РАСХОДОВ НДС'!A71</f>
        <v>3.2.</v>
      </c>
      <c r="B6" s="156" t="str">
        <f>'ПРОГНОЗ ДОХОДОВ И РАСХОДОВ НДС'!B71</f>
        <v>Годовое Техобслуживание специалистами из России</v>
      </c>
      <c r="C6" s="34">
        <f>SUM('ПРОГНОЗ ДОХОДОВ И РАСХОДОВ НДС'!D71:G71)</f>
        <v>391130.01500000001</v>
      </c>
      <c r="D6" s="34">
        <f>SUM('ПРОГНОЗ ДОХОДОВ И РАСХОДОВ НДС'!H71:K71)</f>
        <v>391130.01500000001</v>
      </c>
      <c r="E6" s="34">
        <f>SUM('ПРОГНОЗ ДОХОДОВ И РАСХОДОВ НДС'!L71:O71)</f>
        <v>391130.01500000001</v>
      </c>
      <c r="F6" s="34">
        <f>SUM('ПРОГНОЗ ДОХОДОВ И РАСХОДОВ НДС'!P71:S71)</f>
        <v>423724.125</v>
      </c>
      <c r="G6" s="34">
        <f>SUM('ПРОГНОЗ ДОХОДОВ И РАСХОДОВ НДС'!T71:W71)</f>
        <v>1340875.3149999999</v>
      </c>
      <c r="H6" s="34">
        <f>SUM('ПРОГНОЗ ДОХОДОВ И РАСХОДОВ НДС'!X71:AA71)</f>
        <v>423724.125</v>
      </c>
      <c r="I6" s="34">
        <f>SUM('ПРОГНОЗ ДОХОДОВ И РАСХОДОВ НДС'!AB71:AE71)</f>
        <v>1340875.3149999999</v>
      </c>
      <c r="J6" s="34">
        <f>SUM('ПРОГНОЗ ДОХОДОВ И РАСХОДОВ НДС'!AF71:AI71)</f>
        <v>423724.125</v>
      </c>
      <c r="K6" s="34">
        <f>SUM('ПРОГНОЗ ДОХОДОВ И РАСХОДОВ НДС'!AJ71:AM71)</f>
        <v>423724.125</v>
      </c>
      <c r="L6" s="34">
        <f>SUM('ПРОГНОЗ ДОХОДОВ И РАСХОДОВ НДС'!AN71:AQ71)</f>
        <v>1340875.3149999999</v>
      </c>
      <c r="M6" s="34">
        <f t="shared" si="0"/>
        <v>6890912.4900000002</v>
      </c>
    </row>
    <row r="7" spans="1:13" ht="45" x14ac:dyDescent="0.25">
      <c r="A7" s="10" t="str">
        <f>'ПРОГНОЗ ДОХОДОВ И РАСХОДОВ НДС'!A72</f>
        <v>3.1.</v>
      </c>
      <c r="B7" s="156" t="str">
        <f>'ПРОГНОЗ ДОХОДОВ И РАСХОДОВ НДС'!B72</f>
        <v>Возможные затраты на текущий ремонт внутреннего интерьера пассажирских кабин на канатной дороге (при необходимости - капитальный)</v>
      </c>
      <c r="C7" s="34">
        <f>SUM('ПРОГНОЗ ДОХОДОВ И РАСХОДОВ НДС'!D72:G72)</f>
        <v>139000</v>
      </c>
      <c r="D7" s="34">
        <f>SUM('ПРОГНОЗ ДОХОДОВ И РАСХОДОВ НДС'!H72:K72)</f>
        <v>144560</v>
      </c>
      <c r="E7" s="34">
        <f>SUM('ПРОГНОЗ ДОХОДОВ И РАСХОДОВ НДС'!L72:O72)</f>
        <v>150342.40000000002</v>
      </c>
      <c r="F7" s="34">
        <f>SUM('ПРОГНОЗ ДОХОДОВ И РАСХОДОВ НДС'!P72:S72)</f>
        <v>156356.09600000005</v>
      </c>
      <c r="G7" s="34">
        <f>SUM('ПРОГНОЗ ДОХОДОВ И РАСХОДОВ НДС'!T72:W72)</f>
        <v>162610.33984000006</v>
      </c>
      <c r="H7" s="34">
        <f>SUM('ПРОГНОЗ ДОХОДОВ И РАСХОДОВ НДС'!X72:AA72)</f>
        <v>169114.75343360004</v>
      </c>
      <c r="I7" s="34">
        <f>SUM('ПРОГНОЗ ДОХОДОВ И РАСХОДОВ НДС'!AB72:AE72)</f>
        <v>175879.34357094404</v>
      </c>
      <c r="J7" s="34">
        <f>SUM('ПРОГНОЗ ДОХОДОВ И РАСХОДОВ НДС'!AF72:AI72)</f>
        <v>182914.51731378181</v>
      </c>
      <c r="K7" s="34">
        <f>SUM('ПРОГНОЗ ДОХОДОВ И РАСХОДОВ НДС'!AJ72:AM72)</f>
        <v>190231.09800633311</v>
      </c>
      <c r="L7" s="34">
        <f>SUM('ПРОГНОЗ ДОХОДОВ И РАСХОДОВ НДС'!AN72:AQ72)</f>
        <v>197840.34192658641</v>
      </c>
      <c r="M7" s="34">
        <f t="shared" si="0"/>
        <v>1668848.8900912455</v>
      </c>
    </row>
    <row r="8" spans="1:13" ht="45" x14ac:dyDescent="0.25">
      <c r="A8" s="10" t="str">
        <f>'ПРОГНОЗ ДОХОДОВ И РАСХОДОВ НДС'!A73</f>
        <v>3.3.</v>
      </c>
      <c r="B8" s="156" t="str">
        <f>'ПРОГНОЗ ДОХОДОВ И РАСХОДОВ НДС'!B73</f>
        <v>Программное обеспечение, Обучение по обслуживанию, по эксплуатации, по управлению, по технике безопасности.</v>
      </c>
      <c r="C8" s="34">
        <f>SUM('ПРОГНОЗ ДОХОДОВ И РАСХОДОВ НДС'!D73:G73)</f>
        <v>243250</v>
      </c>
      <c r="D8" s="34">
        <f>SUM('ПРОГНОЗ ДОХОДОВ И РАСХОДОВ НДС'!H73:K73)</f>
        <v>252980</v>
      </c>
      <c r="E8" s="34">
        <f>SUM('ПРОГНОЗ ДОХОДОВ И РАСХОДОВ НДС'!L73:O73)</f>
        <v>263099.2</v>
      </c>
      <c r="F8" s="34">
        <f>SUM('ПРОГНОЗ ДОХОДОВ И РАСХОДОВ НДС'!P73:S73)</f>
        <v>273623.16800000001</v>
      </c>
      <c r="G8" s="34">
        <f>SUM('ПРОГНОЗ ДОХОДОВ И РАСХОДОВ НДС'!T73:W73)</f>
        <v>284568.09471999999</v>
      </c>
      <c r="H8" s="34">
        <f>SUM('ПРОГНОЗ ДОХОДОВ И РАСХОДОВ НДС'!X73:AA73)</f>
        <v>295950.8185088</v>
      </c>
      <c r="I8" s="34">
        <f>SUM('ПРОГНОЗ ДОХОДОВ И РАСХОДОВ НДС'!AB73:AE73)</f>
        <v>307788.85124915204</v>
      </c>
      <c r="J8" s="34">
        <f>SUM('ПРОГНОЗ ДОХОДОВ И РАСХОДОВ НДС'!AF73:AI73)</f>
        <v>320100.40529911814</v>
      </c>
      <c r="K8" s="34">
        <f>SUM('ПРОГНОЗ ДОХОДОВ И РАСХОДОВ НДС'!AJ73:AM73)</f>
        <v>332904.42151108285</v>
      </c>
      <c r="L8" s="34">
        <f>SUM('ПРОГНОЗ ДОХОДОВ И РАСХОДОВ НДС'!AN73:AQ73)</f>
        <v>346220.59837152617</v>
      </c>
      <c r="M8" s="34">
        <f t="shared" si="0"/>
        <v>2920485.5576596791</v>
      </c>
    </row>
    <row r="9" spans="1:13" ht="135" x14ac:dyDescent="0.25">
      <c r="A9" s="10" t="str">
        <f>'ПРОГНОЗ ДОХОДОВ И РАСХОДОВ НДС'!A74</f>
        <v>3.4.</v>
      </c>
      <c r="B9" s="156" t="str">
        <f>'ПРОГНОЗ ДОХОДОВ И РАСХОДОВ НДС'!B74</f>
        <v>Обучение в Ростехнадзоре специалистов канатной дороги по специальностям: начальник дороги, машинист-оператор, электромеханик, обучение по верхолазным работам, обучение по охране труда при эксплуатации канатной дороги и иные виды обучения с получением дипломов и удостоверений с возможностью регистрации канатной дороги в Ростехнадзоре, ежегодная переаттестация с подтверждением обучения в соответсвии с российским законодательством</v>
      </c>
      <c r="C9" s="34">
        <f>SUM('ПРОГНОЗ ДОХОДОВ И РАСХОДОВ НДС'!D74:G74)</f>
        <v>139000</v>
      </c>
      <c r="D9" s="34">
        <f>SUM('ПРОГНОЗ ДОХОДОВ И РАСХОДОВ НДС'!H74:K74)</f>
        <v>104250</v>
      </c>
      <c r="E9" s="34">
        <f>SUM('ПРОГНОЗ ДОХОДОВ И РАСХОДОВ НДС'!L74:O74)</f>
        <v>108420</v>
      </c>
      <c r="F9" s="34">
        <f>SUM('ПРОГНОЗ ДОХОДОВ И РАСХОДОВ НДС'!P74:S74)</f>
        <v>112756.8</v>
      </c>
      <c r="G9" s="34">
        <f>SUM('ПРОГНОЗ ДОХОДОВ И РАСХОДОВ НДС'!T74:W74)</f>
        <v>117267.072</v>
      </c>
      <c r="H9" s="34">
        <f>SUM('ПРОГНОЗ ДОХОДОВ И РАСХОДОВ НДС'!X74:AA74)</f>
        <v>121957.75488000001</v>
      </c>
      <c r="I9" s="34">
        <f>SUM('ПРОГНОЗ ДОХОДОВ И РАСХОДОВ НДС'!AB74:AE74)</f>
        <v>126836.06507520001</v>
      </c>
      <c r="J9" s="34">
        <f>SUM('ПРОГНОЗ ДОХОДОВ И РАСХОДОВ НДС'!AF74:AI74)</f>
        <v>131909.50767820803</v>
      </c>
      <c r="K9" s="34">
        <f>SUM('ПРОГНОЗ ДОХОДОВ И РАСХОДОВ НДС'!AJ74:AM74)</f>
        <v>137185.88798533636</v>
      </c>
      <c r="L9" s="34">
        <f>SUM('ПРОГНОЗ ДОХОДОВ И РАСХОДОВ НДС'!AN74:AQ74)</f>
        <v>142673.3235047498</v>
      </c>
      <c r="M9" s="34">
        <f t="shared" si="0"/>
        <v>1242256.4111234942</v>
      </c>
    </row>
    <row r="10" spans="1:13" ht="30" x14ac:dyDescent="0.25">
      <c r="A10" s="10" t="str">
        <f>'ПРОГНОЗ ДОХОДОВ И РАСХОДОВ НДС'!A75</f>
        <v>3.5.</v>
      </c>
      <c r="B10" s="156" t="str">
        <f>'ПРОГНОЗ ДОХОДОВ И РАСХОДОВ НДС'!B75</f>
        <v>Ежегодное техническое освидетельствование канатной дороги лицензированной организацией от Ростехнадзора</v>
      </c>
      <c r="C10" s="34">
        <f>SUM('ПРОГНОЗ ДОХОДОВ И РАСХОДОВ НДС'!D75:G75)</f>
        <v>235231.09</v>
      </c>
      <c r="D10" s="34">
        <f>SUM('ПРОГНОЗ ДОХОДОВ И РАСХОДОВ НДС'!H75:K75)</f>
        <v>244640.33360000001</v>
      </c>
      <c r="E10" s="34">
        <f>SUM('ПРОГНОЗ ДОХОДОВ И РАСХОДОВ НДС'!L75:O75)</f>
        <v>254425.94694400002</v>
      </c>
      <c r="F10" s="34">
        <f>SUM('ПРОГНОЗ ДОХОДОВ И РАСХОДОВ НДС'!P75:S75)</f>
        <v>264602.98482176004</v>
      </c>
      <c r="G10" s="34">
        <f>SUM('ПРОГНОЗ ДОХОДОВ И РАСХОДОВ НДС'!T75:W75)</f>
        <v>275187.10421463044</v>
      </c>
      <c r="H10" s="34">
        <f>SUM('ПРОГНОЗ ДОХОДОВ И РАСХОДОВ НДС'!X75:AA75)</f>
        <v>286194.58838321565</v>
      </c>
      <c r="I10" s="34">
        <f>SUM('ПРОГНОЗ ДОХОДОВ И РАСХОДОВ НДС'!AB75:AE75)</f>
        <v>297642.37191854429</v>
      </c>
      <c r="J10" s="34">
        <f>SUM('ПРОГНОЗ ДОХОДОВ И РАСХОДОВ НДС'!AF75:AI75)</f>
        <v>309548.06679528602</v>
      </c>
      <c r="K10" s="34">
        <f>SUM('ПРОГНОЗ ДОХОДОВ И РАСХОДОВ НДС'!AJ75:AM75)</f>
        <v>321929.9894670975</v>
      </c>
      <c r="L10" s="34">
        <f>SUM('ПРОГНОЗ ДОХОДОВ И РАСХОДОВ НДС'!AN75:AQ75)</f>
        <v>334807.18904578144</v>
      </c>
      <c r="M10" s="34">
        <f t="shared" si="0"/>
        <v>2824209.6651903158</v>
      </c>
    </row>
    <row r="11" spans="1:13" ht="30" x14ac:dyDescent="0.25">
      <c r="A11" s="10" t="str">
        <f>'ПРОГНОЗ ДОХОДОВ И РАСХОДОВ НДС'!A76</f>
        <v>3.6.</v>
      </c>
      <c r="B11" s="156" t="str">
        <f>'ПРОГНОЗ ДОХОДОВ И РАСХОДОВ НДС'!B76</f>
        <v>Магнитная дефектоскопия несущего каната лицензированной организацией от Ростехнадзора</v>
      </c>
      <c r="C11" s="34">
        <f>SUM('ПРОГНОЗ ДОХОДОВ И РАСХОДОВ НДС'!D76:G76)</f>
        <v>224538.51499999998</v>
      </c>
      <c r="D11" s="34">
        <f>SUM('ПРОГНОЗ ДОХОДОВ И РАСХОДОВ НДС'!H76:K76)</f>
        <v>233520.05560000002</v>
      </c>
      <c r="E11" s="34">
        <f>SUM('ПРОГНОЗ ДОХОДОВ И РАСХОДОВ НДС'!L76:O76)</f>
        <v>242860.85782400001</v>
      </c>
      <c r="F11" s="34">
        <f>SUM('ПРОГНОЗ ДОХОДОВ И РАСХОДОВ НДС'!P76:S76)</f>
        <v>252575.29213696005</v>
      </c>
      <c r="G11" s="34">
        <f>SUM('ПРОГНОЗ ДОХОДОВ И РАСХОДОВ НДС'!T76:W76)</f>
        <v>262678.30382243847</v>
      </c>
      <c r="H11" s="34">
        <f>SUM('ПРОГНОЗ ДОХОДОВ И РАСХОДОВ НДС'!X76:AA76)</f>
        <v>273185.435975336</v>
      </c>
      <c r="I11" s="34">
        <f>SUM('ПРОГНОЗ ДОХОДОВ И РАСХОДОВ НДС'!AB76:AE76)</f>
        <v>284112.85341434949</v>
      </c>
      <c r="J11" s="34">
        <f>SUM('ПРОГНОЗ ДОХОДОВ И РАСХОДОВ НДС'!AF76:AI76)</f>
        <v>295477.36755092349</v>
      </c>
      <c r="K11" s="34">
        <f>SUM('ПРОГНОЗ ДОХОДОВ И РАСХОДОВ НДС'!AJ76:AM76)</f>
        <v>307296.46225296042</v>
      </c>
      <c r="L11" s="34">
        <f>SUM('ПРОГНОЗ ДОХОДОВ И РАСХОДОВ НДС'!AN76:AQ76)</f>
        <v>319588.32074307883</v>
      </c>
      <c r="M11" s="34">
        <f t="shared" si="0"/>
        <v>2695833.4643200468</v>
      </c>
    </row>
    <row r="12" spans="1:13" ht="30" x14ac:dyDescent="0.25">
      <c r="A12" s="10" t="str">
        <f>'ПРОГНОЗ ДОХОДОВ И РАСХОДОВ НДС'!A77</f>
        <v>3.7.</v>
      </c>
      <c r="B12" s="156" t="str">
        <f>'ПРОГНОЗ ДОХОДОВ И РАСХОДОВ НДС'!B77</f>
        <v xml:space="preserve">Договор с электроизмерительной лабораторией для составления технического отчета </v>
      </c>
      <c r="C12" s="34">
        <f>SUM('ПРОГНОЗ ДОХОДОВ И РАСХОДОВ НДС'!D77:G77)</f>
        <v>283467.565</v>
      </c>
      <c r="D12" s="34">
        <f>SUM('ПРОГНОЗ ДОХОДОВ И РАСХОДОВ НДС'!H77:K77)</f>
        <v>294806.26760000002</v>
      </c>
      <c r="E12" s="34">
        <f>SUM('ПРОГНОЗ ДОХОДОВ И РАСХОДОВ НДС'!L77:O77)</f>
        <v>306598.51830400008</v>
      </c>
      <c r="F12" s="34">
        <f>SUM('ПРОГНОЗ ДОХОДОВ И РАСХОДОВ НДС'!P77:S77)</f>
        <v>318862.45903616009</v>
      </c>
      <c r="G12" s="34">
        <f>SUM('ПРОГНОЗ ДОХОДОВ И РАСХОДОВ НДС'!T77:W77)</f>
        <v>331616.95739760646</v>
      </c>
      <c r="H12" s="34">
        <f>SUM('ПРОГНОЗ ДОХОДОВ И РАСХОДОВ НДС'!X77:AA77)</f>
        <v>344881.6356935107</v>
      </c>
      <c r="I12" s="34">
        <f>SUM('ПРОГНОЗ ДОХОДОВ И РАСХОДОВ НДС'!AB77:AE77)</f>
        <v>358676.90112125111</v>
      </c>
      <c r="J12" s="34">
        <f>SUM('ПРОГНОЗ ДОХОДОВ И РАСХОДОВ НДС'!AF77:AI77)</f>
        <v>373023.97716610116</v>
      </c>
      <c r="K12" s="34">
        <f>SUM('ПРОГНОЗ ДОХОДОВ И РАСХОДОВ НДС'!AJ77:AM77)</f>
        <v>387944.93625274522</v>
      </c>
      <c r="L12" s="34">
        <f>SUM('ПРОГНОЗ ДОХОДОВ И РАСХОДОВ НДС'!AN77:AQ77)</f>
        <v>403462.73370285507</v>
      </c>
      <c r="M12" s="34">
        <f t="shared" si="0"/>
        <v>3403341.9512742306</v>
      </c>
    </row>
    <row r="13" spans="1:13" ht="30" x14ac:dyDescent="0.25">
      <c r="A13" s="10" t="str">
        <f>'ПРОГНОЗ ДОХОДОВ И РАСХОДОВ НДС'!A78</f>
        <v>3.8.</v>
      </c>
      <c r="B13" s="156" t="str">
        <f>'ПРОГНОЗ ДОХОДОВ И РАСХОДОВ НДС'!B78</f>
        <v>Договор на страхование гражданской ответственности третьих лиц при эксплуатации  Особо опасного объекта</v>
      </c>
      <c r="C13" s="34">
        <f>SUM('ПРОГНОЗ ДОХОДОВ И РАСХОДОВ НДС'!D78:G78)</f>
        <v>104250</v>
      </c>
      <c r="D13" s="34">
        <f>SUM('ПРОГНОЗ ДОХОДОВ И РАСХОДОВ НДС'!H78:K78)</f>
        <v>108420</v>
      </c>
      <c r="E13" s="34">
        <f>SUM('ПРОГНОЗ ДОХОДОВ И РАСХОДОВ НДС'!L78:O78)</f>
        <v>112756.8</v>
      </c>
      <c r="F13" s="34">
        <f>SUM('ПРОГНОЗ ДОХОДОВ И РАСХОДОВ НДС'!P78:S78)</f>
        <v>117267.072</v>
      </c>
      <c r="G13" s="34">
        <f>SUM('ПРОГНОЗ ДОХОДОВ И РАСХОДОВ НДС'!T78:W78)</f>
        <v>121957.75488000001</v>
      </c>
      <c r="H13" s="34">
        <f>SUM('ПРОГНОЗ ДОХОДОВ И РАСХОДОВ НДС'!X78:AA78)</f>
        <v>126836.06507520001</v>
      </c>
      <c r="I13" s="34">
        <f>SUM('ПРОГНОЗ ДОХОДОВ И РАСХОДОВ НДС'!AB78:AE78)</f>
        <v>131909.50767820803</v>
      </c>
      <c r="J13" s="34">
        <f>SUM('ПРОГНОЗ ДОХОДОВ И РАСХОДОВ НДС'!AF78:AI78)</f>
        <v>137185.88798533636</v>
      </c>
      <c r="K13" s="34">
        <f>SUM('ПРОГНОЗ ДОХОДОВ И РАСХОДОВ НДС'!AJ78:AM78)</f>
        <v>142673.3235047498</v>
      </c>
      <c r="L13" s="34">
        <f>SUM('ПРОГНОЗ ДОХОДОВ И РАСХОДОВ НДС'!AN78:AQ78)</f>
        <v>148380.25644493979</v>
      </c>
      <c r="M13" s="34">
        <f t="shared" si="0"/>
        <v>1251636.667568434</v>
      </c>
    </row>
    <row r="14" spans="1:13" ht="45" x14ac:dyDescent="0.25">
      <c r="A14" s="10" t="str">
        <f>'ПРОГНОЗ ДОХОДОВ И РАСХОДОВ НДС'!A79</f>
        <v>3.9.</v>
      </c>
      <c r="B14" s="156" t="str">
        <f>'ПРОГНОЗ ДОХОДОВ И РАСХОДОВ НДС'!B79</f>
        <v>Договор на аварийно-спасательные работы при чрезвычайных ситуациях на особо опасном объекте (при необходимости)</v>
      </c>
      <c r="C14" s="34">
        <f>SUM('ПРОГНОЗ ДОХОДОВ И РАСХОДОВ НДС'!D79:G79)</f>
        <v>2566148.5</v>
      </c>
      <c r="D14" s="34">
        <f>SUM('ПРОГНОЗ ДОХОДОВ И РАСХОДОВ НДС'!H79:K79)</f>
        <v>2668794.44</v>
      </c>
      <c r="E14" s="34">
        <f>SUM('ПРОГНОЗ ДОХОДОВ И РАСХОДОВ НДС'!L79:O79)</f>
        <v>2775546.2176000001</v>
      </c>
      <c r="F14" s="34">
        <f>SUM('ПРОГНОЗ ДОХОДОВ И РАСХОДОВ НДС'!P79:S79)</f>
        <v>2886568.0663040001</v>
      </c>
      <c r="G14" s="34">
        <f>SUM('ПРОГНОЗ ДОХОДОВ И РАСХОДОВ НДС'!T79:W79)</f>
        <v>3002030.7889561607</v>
      </c>
      <c r="H14" s="34">
        <f>SUM('ПРОГНОЗ ДОХОДОВ И РАСХОДОВ НДС'!X79:AA79)</f>
        <v>3122112.0205144072</v>
      </c>
      <c r="I14" s="34">
        <f>SUM('ПРОГНОЗ ДОХОДОВ И РАСХОДОВ НДС'!AB79:AE79)</f>
        <v>3246996.5013349839</v>
      </c>
      <c r="J14" s="34">
        <f>SUM('ПРОГНОЗ ДОХОДОВ И РАСХОДОВ НДС'!AF79:AI79)</f>
        <v>3376876.361388383</v>
      </c>
      <c r="K14" s="34">
        <f>SUM('ПРОГНОЗ ДОХОДОВ И РАСХОДОВ НДС'!AJ79:AM79)</f>
        <v>3511951.4158439189</v>
      </c>
      <c r="L14" s="34">
        <f>SUM('ПРОГНОЗ ДОХОДОВ И РАСХОДОВ НДС'!AN79:AQ79)</f>
        <v>3652429.4724776754</v>
      </c>
      <c r="M14" s="34">
        <f t="shared" si="0"/>
        <v>30809453.784419525</v>
      </c>
    </row>
    <row r="15" spans="1:13" x14ac:dyDescent="0.25">
      <c r="A15" s="10">
        <f>'ПРОГНОЗ ДОХОДОВ И РАСХОДОВ НДС'!A80</f>
        <v>4</v>
      </c>
      <c r="B15" s="156" t="str">
        <f>'ПРОГНОЗ ДОХОДОВ И РАСХОДОВ НДС'!B80</f>
        <v>Юридические и бухгалтерские услуги</v>
      </c>
      <c r="C15" s="34">
        <f>SUM('ПРОГНОЗ ДОХОДОВ И РАСХОДОВ НДС'!D80:G80)</f>
        <v>5393999.2500000009</v>
      </c>
      <c r="D15" s="34">
        <f>SUM('ПРОГНОЗ ДОХОДОВ И РАСХОДОВ НДС'!H80:K80)</f>
        <v>5609759.2200000007</v>
      </c>
      <c r="E15" s="34">
        <f>SUM('ПРОГНОЗ ДОХОДОВ И РАСХОДОВ НДС'!L80:O80)</f>
        <v>5834149.5887999991</v>
      </c>
      <c r="F15" s="34">
        <f>SUM('ПРОГНОЗ ДОХОДОВ И РАСХОДОВ НДС'!P80:S80)</f>
        <v>6067515.5723520005</v>
      </c>
      <c r="G15" s="34">
        <f>SUM('ПРОГНОЗ ДОХОДОВ И РАСХОДОВ НДС'!T80:W80)</f>
        <v>6310216.1952460809</v>
      </c>
      <c r="H15" s="34">
        <f>SUM('ПРОГНОЗ ДОХОДОВ И РАСХОДОВ НДС'!X80:AA80)</f>
        <v>6562624.8430559225</v>
      </c>
      <c r="I15" s="34">
        <f>SUM('ПРОГНОЗ ДОХОДОВ И РАСХОДОВ НДС'!AB80:AE80)</f>
        <v>6825129.836778162</v>
      </c>
      <c r="J15" s="34">
        <f>SUM('ПРОГНОЗ ДОХОДОВ И РАСХОДОВ НДС'!AF80:AI80)</f>
        <v>7098135.0302492883</v>
      </c>
      <c r="K15" s="34">
        <f>SUM('ПРОГНОЗ ДОХОДОВ И РАСХОДОВ НДС'!AJ80:AM80)</f>
        <v>7382060.4314592592</v>
      </c>
      <c r="L15" s="34">
        <f>SUM('ПРОГНОЗ ДОХОДОВ И РАСХОДОВ НДС'!AN80:AQ80)</f>
        <v>7677342.8487176299</v>
      </c>
      <c r="M15" s="34">
        <f t="shared" si="0"/>
        <v>64760932.816658348</v>
      </c>
    </row>
    <row r="16" spans="1:13" ht="30" x14ac:dyDescent="0.25">
      <c r="A16" s="10" t="str">
        <f>'ПРОГНОЗ ДОХОДОВ И РАСХОДОВ НДС'!A81</f>
        <v>4.1.</v>
      </c>
      <c r="B16" s="156" t="str">
        <f>'ПРОГНОЗ ДОХОДОВ И РАСХОДОВ НДС'!B81</f>
        <v>Бухгалтерский учёт, аудиторское сопровождение, банковские издержки, официальные сборы</v>
      </c>
      <c r="C16" s="34">
        <f>SUM('ПРОГНОЗ ДОХОДОВ И РАСХОДОВ НДС'!D81:G81)</f>
        <v>3849231.0900000003</v>
      </c>
      <c r="D16" s="34">
        <f>SUM('ПРОГНОЗ ДОХОДОВ И РАСХОДОВ НДС'!H81:K81)</f>
        <v>4003200.3336</v>
      </c>
      <c r="E16" s="34">
        <f>SUM('ПРОГНОЗ ДОХОДОВ И РАСХОДОВ НДС'!L81:O81)</f>
        <v>4163328.3469440001</v>
      </c>
      <c r="F16" s="34">
        <f>SUM('ПРОГНОЗ ДОХОДОВ И РАСХОДОВ НДС'!P81:S81)</f>
        <v>4329861.4808217604</v>
      </c>
      <c r="G16" s="34">
        <f>SUM('ПРОГНОЗ ДОХОДОВ И РАСХОДОВ НДС'!T81:W81)</f>
        <v>4503055.9400546309</v>
      </c>
      <c r="H16" s="34">
        <f>SUM('ПРОГНОЗ ДОХОДОВ И РАСХОДОВ НДС'!X81:AA81)</f>
        <v>4683178.1776568163</v>
      </c>
      <c r="I16" s="34">
        <f>SUM('ПРОГНОЗ ДОХОДОВ И РАСХОДОВ НДС'!AB81:AE81)</f>
        <v>4870505.3047630899</v>
      </c>
      <c r="J16" s="34">
        <f>SUM('ПРОГНОЗ ДОХОДОВ И РАСХОДОВ НДС'!AF81:AI81)</f>
        <v>5065325.5169536136</v>
      </c>
      <c r="K16" s="34">
        <f>SUM('ПРОГНОЗ ДОХОДОВ И РАСХОДОВ НДС'!AJ81:AM81)</f>
        <v>5267938.5376317576</v>
      </c>
      <c r="L16" s="34">
        <f>SUM('ПРОГНОЗ ДОХОДОВ И РАСХОДОВ НДС'!AN81:AQ81)</f>
        <v>5478656.0791370282</v>
      </c>
      <c r="M16" s="34">
        <f t="shared" si="0"/>
        <v>46214280.807562694</v>
      </c>
    </row>
    <row r="17" spans="1:13" ht="105" x14ac:dyDescent="0.25">
      <c r="A17" s="10" t="str">
        <f>'ПРОГНОЗ ДОХОДОВ И РАСХОДОВ НДС'!A82</f>
        <v>4.2.</v>
      </c>
      <c r="B17" s="156" t="str">
        <f>'ПРОГНОЗ ДОХОДОВ И РАСХОДОВ НДС'!B82</f>
        <v xml:space="preserve">Обслуживание  системы контроля и доступа на канатную дорогус возможностью продажи билетов (пластиковых магнитных карточек), обеспечивающий проход расчетного количества посетителей, карточко-приемником, возможность продажи билетов через терминал, возможность считывания билетов, купленных через Интернет, кассовыми аппаратами </v>
      </c>
      <c r="C17" s="34">
        <f>SUM('ПРОГНОЗ ДОХОДОВ И РАСХОДОВ НДС'!D82:G82)</f>
        <v>347500</v>
      </c>
      <c r="D17" s="34">
        <f>SUM('ПРОГНОЗ ДОХОДОВ И РАСХОДОВ НДС'!H82:K82)</f>
        <v>361400</v>
      </c>
      <c r="E17" s="34">
        <f>SUM('ПРОГНОЗ ДОХОДОВ И РАСХОДОВ НДС'!L82:O82)</f>
        <v>375856</v>
      </c>
      <c r="F17" s="34">
        <f>SUM('ПРОГНОЗ ДОХОДОВ И РАСХОДОВ НДС'!P82:S82)</f>
        <v>390890.24000000005</v>
      </c>
      <c r="G17" s="34">
        <f>SUM('ПРОГНОЗ ДОХОДОВ И РАСХОДОВ НДС'!T82:W82)</f>
        <v>406525.84960000007</v>
      </c>
      <c r="H17" s="34">
        <f>SUM('ПРОГНОЗ ДОХОДОВ И РАСХОДОВ НДС'!X82:AA82)</f>
        <v>422786.88358400011</v>
      </c>
      <c r="I17" s="34">
        <f>SUM('ПРОГНОЗ ДОХОДОВ И РАСХОДОВ НДС'!AB82:AE82)</f>
        <v>439698.3589273601</v>
      </c>
      <c r="J17" s="34">
        <f>SUM('ПРОГНОЗ ДОХОДОВ И РАСХОДОВ НДС'!AF82:AI82)</f>
        <v>457286.29328445456</v>
      </c>
      <c r="K17" s="34">
        <f>SUM('ПРОГНОЗ ДОХОДОВ И РАСХОДОВ НДС'!AJ82:AM82)</f>
        <v>475577.74501583277</v>
      </c>
      <c r="L17" s="34">
        <f>SUM('ПРОГНОЗ ДОХОДОВ И РАСХОДОВ НДС'!AN82:AQ82)</f>
        <v>494600.8548164661</v>
      </c>
      <c r="M17" s="34">
        <f t="shared" si="0"/>
        <v>4172122.2252281136</v>
      </c>
    </row>
    <row r="18" spans="1:13" ht="45" x14ac:dyDescent="0.25">
      <c r="A18" s="10" t="str">
        <f>'ПРОГНОЗ ДОХОДОВ И РАСХОДОВ НДС'!A83</f>
        <v>4.3.</v>
      </c>
      <c r="B18" s="156" t="str">
        <f>'ПРОГНОЗ ДОХОДОВ И РАСХОДОВ НДС'!B83</f>
        <v>Ежегодное обслуживание работы системы с возможностью дистанционного обслуживания, либо фактическим присутствием специалиста.</v>
      </c>
      <c r="C18" s="34">
        <f>SUM('ПРОГНОЗ ДОХОДОВ И РАСХОДОВ НДС'!D83:G83)</f>
        <v>757057.94000000006</v>
      </c>
      <c r="D18" s="34">
        <f>SUM('ПРОГНОЗ ДОХОДОВ И РАСХОДОВ НДС'!H83:K83)</f>
        <v>787340.25760000001</v>
      </c>
      <c r="E18" s="34">
        <f>SUM('ПРОГНОЗ ДОХОДОВ И РАСХОДОВ НДС'!L83:O83)</f>
        <v>818833.86790399998</v>
      </c>
      <c r="F18" s="34">
        <f>SUM('ПРОГНОЗ ДОХОДОВ И РАСХОДОВ НДС'!P83:S83)</f>
        <v>851587.22262016009</v>
      </c>
      <c r="G18" s="34">
        <f>SUM('ПРОГНОЗ ДОХОДОВ И РАСХОДОВ НДС'!T83:W83)</f>
        <v>885650.71152496641</v>
      </c>
      <c r="H18" s="34">
        <f>SUM('ПРОГНОЗ ДОХОДОВ И РАСХОДОВ НДС'!X83:AA83)</f>
        <v>921076.73998596508</v>
      </c>
      <c r="I18" s="34">
        <f>SUM('ПРОГНОЗ ДОХОДОВ И РАСХОДОВ НДС'!AB83:AE83)</f>
        <v>957919.80958540377</v>
      </c>
      <c r="J18" s="34">
        <f>SUM('ПРОГНОЗ ДОХОДОВ И РАСХОДОВ НДС'!AF83:AI83)</f>
        <v>996236.60196881997</v>
      </c>
      <c r="K18" s="34">
        <f>SUM('ПРОГНОЗ ДОХОДОВ И РАСХОДОВ НДС'!AJ83:AM83)</f>
        <v>1036086.0660475728</v>
      </c>
      <c r="L18" s="34">
        <f>SUM('ПРОГНОЗ ДОХОДОВ И РАСХОДОВ НДС'!AN83:AQ83)</f>
        <v>1077529.5086894757</v>
      </c>
      <c r="M18" s="34">
        <f t="shared" si="0"/>
        <v>9089318.7259263638</v>
      </c>
    </row>
    <row r="19" spans="1:13" x14ac:dyDescent="0.25">
      <c r="A19" s="10" t="str">
        <f>'ПРОГНОЗ ДОХОДОВ И РАСХОДОВ НДС'!A84</f>
        <v>4.4.</v>
      </c>
      <c r="B19" s="156" t="str">
        <f>'ПРОГНОЗ ДОХОДОВ И РАСХОДОВ НДС'!B84</f>
        <v>Оплата труда кассиров</v>
      </c>
      <c r="C19" s="34">
        <f>SUM('ПРОГНОЗ ДОХОДОВ И РАСХОДОВ НДС'!D84:G84)</f>
        <v>362156.16000000003</v>
      </c>
      <c r="D19" s="34">
        <f>SUM('ПРОГНОЗ ДОХОДОВ И РАСХОДОВ НДС'!H84:K84)</f>
        <v>376642.40639999998</v>
      </c>
      <c r="E19" s="34">
        <f>SUM('ПРОГНОЗ ДОХОДОВ И РАСХОДОВ НДС'!L84:O84)</f>
        <v>391708.102656</v>
      </c>
      <c r="F19" s="34">
        <f>SUM('ПРОГНОЗ ДОХОДОВ И РАСХОДОВ НДС'!P84:S84)</f>
        <v>407376.42676224001</v>
      </c>
      <c r="G19" s="34">
        <f>SUM('ПРОГНОЗ ДОХОДОВ И РАСХОДОВ НДС'!T84:W84)</f>
        <v>423671.48383272963</v>
      </c>
      <c r="H19" s="34">
        <f>SUM('ПРОГНОЗ ДОХОДОВ И РАСХОДОВ НДС'!X84:AA84)</f>
        <v>440618.34318603878</v>
      </c>
      <c r="I19" s="34">
        <f>SUM('ПРОГНОЗ ДОХОДОВ И РАСХОДОВ НДС'!AB84:AE84)</f>
        <v>458243.07691348036</v>
      </c>
      <c r="J19" s="34">
        <f>SUM('ПРОГНОЗ ДОХОДОВ И РАСХОДОВ НДС'!AF84:AI84)</f>
        <v>476572.79999001959</v>
      </c>
      <c r="K19" s="34">
        <f>SUM('ПРОГНОЗ ДОХОДОВ И РАСХОДОВ НДС'!AJ84:AM84)</f>
        <v>495635.71198962035</v>
      </c>
      <c r="L19" s="34">
        <f>SUM('ПРОГНОЗ ДОХОДОВ И РАСХОДОВ НДС'!AN84:AQ84)</f>
        <v>515461.14046920522</v>
      </c>
      <c r="M19" s="34">
        <f t="shared" si="0"/>
        <v>4348085.6521993345</v>
      </c>
    </row>
    <row r="20" spans="1:13" x14ac:dyDescent="0.25">
      <c r="A20" s="10" t="str">
        <f>'ПРОГНОЗ ДОХОДОВ И РАСХОДОВ НДС'!A85</f>
        <v>4.5.</v>
      </c>
      <c r="B20" s="156" t="str">
        <f>'ПРОГНОЗ ДОХОДОВ И РАСХОДОВ НДС'!B85</f>
        <v>Ежедневная инкассация</v>
      </c>
      <c r="C20" s="34">
        <f>SUM('ПРОГНОЗ ДОХОДОВ И РАСХОДОВ НДС'!D85:G85)</f>
        <v>78054.06</v>
      </c>
      <c r="D20" s="34">
        <f>SUM('ПРОГНОЗ ДОХОДОВ И РАСХОДОВ НДС'!H85:K85)</f>
        <v>81176.222399999999</v>
      </c>
      <c r="E20" s="34">
        <f>SUM('ПРОГНОЗ ДОХОДОВ И РАСХОДОВ НДС'!L85:O85)</f>
        <v>84423.271295999992</v>
      </c>
      <c r="F20" s="34">
        <f>SUM('ПРОГНОЗ ДОХОДОВ И РАСХОДОВ НДС'!P85:S85)</f>
        <v>87800.202147839998</v>
      </c>
      <c r="G20" s="34">
        <f>SUM('ПРОГНОЗ ДОХОДОВ И РАСХОДОВ НДС'!T85:W85)</f>
        <v>91312.210233753591</v>
      </c>
      <c r="H20" s="34">
        <f>SUM('ПРОГНОЗ ДОХОДОВ И РАСХОДОВ НДС'!X85:AA85)</f>
        <v>94964.698643103737</v>
      </c>
      <c r="I20" s="34">
        <f>SUM('ПРОГНОЗ ДОХОДОВ И РАСХОДОВ НДС'!AB85:AE85)</f>
        <v>98763.28658882789</v>
      </c>
      <c r="J20" s="34">
        <f>SUM('ПРОГНОЗ ДОХОДОВ И РАСХОДОВ НДС'!AF85:AI85)</f>
        <v>102713.81805238102</v>
      </c>
      <c r="K20" s="34">
        <f>SUM('ПРОГНОЗ ДОХОДОВ И РАСХОДОВ НДС'!AJ85:AM85)</f>
        <v>106822.37077447625</v>
      </c>
      <c r="L20" s="34">
        <f>SUM('ПРОГНОЗ ДОХОДОВ И РАСХОДОВ НДС'!AN85:AQ85)</f>
        <v>111095.26560545531</v>
      </c>
      <c r="M20" s="34">
        <f t="shared" si="0"/>
        <v>937125.40574183769</v>
      </c>
    </row>
    <row r="21" spans="1:13" x14ac:dyDescent="0.25">
      <c r="A21" s="10">
        <f>'ПРОГНОЗ ДОХОДОВ И РАСХОДОВ НДС'!A86</f>
        <v>5</v>
      </c>
      <c r="B21" s="156" t="str">
        <f>'ПРОГНОЗ ДОХОДОВ И РАСХОДОВ НДС'!B86</f>
        <v>Внешний сервис</v>
      </c>
      <c r="C21" s="34">
        <f>SUM('ПРОГНОЗ ДОХОДОВ И РАСХОДОВ НДС'!D86:G86)</f>
        <v>3125192.6</v>
      </c>
      <c r="D21" s="34">
        <f>SUM('ПРОГНОЗ ДОХОДОВ И РАСХОДОВ НДС'!H86:K86)</f>
        <v>3250200.304</v>
      </c>
      <c r="E21" s="34">
        <f>SUM('ПРОГНОЗ ДОХОДОВ И РАСХОДОВ НДС'!L86:O86)</f>
        <v>3380208.3161599999</v>
      </c>
      <c r="F21" s="34">
        <f>SUM('ПРОГНОЗ ДОХОДОВ И РАСХОДОВ НДС'!P86:S86)</f>
        <v>3515416.6488064001</v>
      </c>
      <c r="G21" s="34">
        <f>SUM('ПРОГНОЗ ДОХОДОВ И РАСХОДОВ НДС'!T86:W86)</f>
        <v>3656033.3147586565</v>
      </c>
      <c r="H21" s="34">
        <f>SUM('ПРОГНОЗ ДОХОДОВ И РАСХОДОВ НДС'!X86:AA86)</f>
        <v>3802274.6473490023</v>
      </c>
      <c r="I21" s="34">
        <f>SUM('ПРОГНОЗ ДОХОДОВ И РАСХОДОВ НДС'!AB86:AE86)</f>
        <v>3954365.6332429633</v>
      </c>
      <c r="J21" s="34">
        <f>SUM('ПРОГНОЗ ДОХОДОВ И РАСХОДОВ НДС'!AF86:AI86)</f>
        <v>4112540.2585726818</v>
      </c>
      <c r="K21" s="34">
        <f>SUM('ПРОГНОЗ ДОХОДОВ И РАСХОДОВ НДС'!AJ86:AM86)</f>
        <v>4277041.8689155895</v>
      </c>
      <c r="L21" s="34">
        <f>SUM('ПРОГНОЗ ДОХОДОВ И РАСХОДОВ НДС'!AN86:AQ86)</f>
        <v>4448123.5436722124</v>
      </c>
      <c r="M21" s="34">
        <f t="shared" si="0"/>
        <v>37521397.135477513</v>
      </c>
    </row>
    <row r="22" spans="1:13" ht="45" x14ac:dyDescent="0.25">
      <c r="A22" s="10" t="str">
        <f>'ПРОГНОЗ ДОХОДОВ И РАСХОДОВ НДС'!A87</f>
        <v>5.1.</v>
      </c>
      <c r="B22" s="156" t="str">
        <f>'ПРОГНОЗ ДОХОДОВ И РАСХОДОВ НДС'!B87</f>
        <v>Уборочные работы (разовые, постоянные, утро-вечер, закупка уборочного инвентаря и закупка моющих средств)</v>
      </c>
      <c r="C22" s="34">
        <f>SUM('ПРОГНОЗ ДОХОДОВ И РАСХОДОВ НДС'!D87:G87)</f>
        <v>1018564.2000000001</v>
      </c>
      <c r="D22" s="34">
        <f>SUM('ПРОГНОЗ ДОХОДОВ И РАСХОДОВ НДС'!H87:K87)</f>
        <v>1059306.7679999999</v>
      </c>
      <c r="E22" s="34">
        <f>SUM('ПРОГНОЗ ДОХОДОВ И РАСХОДОВ НДС'!L87:O87)</f>
        <v>1101679.0387200001</v>
      </c>
      <c r="F22" s="34">
        <f>SUM('ПРОГНОЗ ДОХОДОВ И РАСХОДОВ НДС'!P87:S87)</f>
        <v>1145746.2002687999</v>
      </c>
      <c r="G22" s="34">
        <f>SUM('ПРОГНОЗ ДОХОДОВ И РАСХОДОВ НДС'!T87:W87)</f>
        <v>1191576.048279552</v>
      </c>
      <c r="H22" s="34">
        <f>SUM('ПРОГНОЗ ДОХОДОВ И РАСХОДОВ НДС'!X87:AA87)</f>
        <v>1239239.0902107342</v>
      </c>
      <c r="I22" s="34">
        <f>SUM('ПРОГНОЗ ДОХОДОВ И РАСХОДОВ НДС'!AB87:AE87)</f>
        <v>1288808.6538191636</v>
      </c>
      <c r="J22" s="34">
        <f>SUM('ПРОГНОЗ ДОХОДОВ И РАСХОДОВ НДС'!AF87:AI87)</f>
        <v>1340360.9999719302</v>
      </c>
      <c r="K22" s="34">
        <f>SUM('ПРОГНОЗ ДОХОДОВ И РАСХОДОВ НДС'!AJ87:AM87)</f>
        <v>1393975.4399708074</v>
      </c>
      <c r="L22" s="34">
        <f>SUM('ПРОГНОЗ ДОХОДОВ И РАСХОДОВ НДС'!AN87:AQ87)</f>
        <v>1449734.4575696397</v>
      </c>
      <c r="M22" s="34">
        <f t="shared" si="0"/>
        <v>12228990.896810628</v>
      </c>
    </row>
    <row r="23" spans="1:13" ht="45" x14ac:dyDescent="0.25">
      <c r="A23" s="10" t="str">
        <f>'ПРОГНОЗ ДОХОДОВ И РАСХОДОВ НДС'!A88</f>
        <v>5.2.</v>
      </c>
      <c r="B23" s="156" t="str">
        <f>'ПРОГНОЗ ДОХОДОВ И РАСХОДОВ НДС'!B88</f>
        <v>Охрана (круглосуточная охрана с количеством постов, обеспечивающих сохранность имущества и безопасность посетителей на объекте "Канатная дорога"</v>
      </c>
      <c r="C23" s="34">
        <f>SUM('ПРОГНОЗ ДОХОДОВ И РАСХОДОВ НДС'!D88:G88)</f>
        <v>2037128.4000000001</v>
      </c>
      <c r="D23" s="34">
        <f>SUM('ПРОГНОЗ ДОХОДОВ И РАСХОДОВ НДС'!H88:K88)</f>
        <v>2118613.5359999998</v>
      </c>
      <c r="E23" s="34">
        <f>SUM('ПРОГНОЗ ДОХОДОВ И РАСХОДОВ НДС'!L88:O88)</f>
        <v>2203358.0774400001</v>
      </c>
      <c r="F23" s="34">
        <f>SUM('ПРОГНОЗ ДОХОДОВ И РАСХОДОВ НДС'!P88:S88)</f>
        <v>2291492.4005375998</v>
      </c>
      <c r="G23" s="34">
        <f>SUM('ПРОГНОЗ ДОХОДОВ И РАСХОДОВ НДС'!T88:W88)</f>
        <v>2383152.096559104</v>
      </c>
      <c r="H23" s="34">
        <f>SUM('ПРОГНОЗ ДОХОДОВ И РАСХОДОВ НДС'!X88:AA88)</f>
        <v>2478478.1804214683</v>
      </c>
      <c r="I23" s="34">
        <f>SUM('ПРОГНОЗ ДОХОДОВ И РАСХОДОВ НДС'!AB88:AE88)</f>
        <v>2577617.3076383271</v>
      </c>
      <c r="J23" s="34">
        <f>SUM('ПРОГНОЗ ДОХОДОВ И РАСХОДОВ НДС'!AF88:AI88)</f>
        <v>2680721.9999438603</v>
      </c>
      <c r="K23" s="34">
        <f>SUM('ПРОГНОЗ ДОХОДОВ И РАСХОДОВ НДС'!AJ88:AM88)</f>
        <v>2787950.8799416148</v>
      </c>
      <c r="L23" s="34">
        <f>SUM('ПРОГНОЗ ДОХОДОВ И РАСХОДОВ НДС'!AN88:AQ88)</f>
        <v>2899468.9151392793</v>
      </c>
      <c r="M23" s="34">
        <f t="shared" si="0"/>
        <v>24457981.793621257</v>
      </c>
    </row>
    <row r="24" spans="1:13" x14ac:dyDescent="0.25">
      <c r="A24" s="10" t="str">
        <f>'ПРОГНОЗ ДОХОДОВ И РАСХОДОВ НДС'!A89</f>
        <v>5.3.</v>
      </c>
      <c r="B24" s="156" t="str">
        <f>'ПРОГНОЗ ДОХОДОВ И РАСХОДОВ НДС'!B89</f>
        <v xml:space="preserve">Затраты на электроэнергию </v>
      </c>
      <c r="C24" s="34">
        <f>SUM('ПРОГНОЗ ДОХОДОВ И РАСХОДОВ НДС'!D89:G89)</f>
        <v>69500</v>
      </c>
      <c r="D24" s="34">
        <f>SUM('ПРОГНОЗ ДОХОДОВ И РАСХОДОВ НДС'!H89:K89)</f>
        <v>72280</v>
      </c>
      <c r="E24" s="34">
        <f>SUM('ПРОГНОЗ ДОХОДОВ И РАСХОДОВ НДС'!L89:O89)</f>
        <v>75171.200000000012</v>
      </c>
      <c r="F24" s="34">
        <f>SUM('ПРОГНОЗ ДОХОДОВ И РАСХОДОВ НДС'!P89:S89)</f>
        <v>78178.048000000024</v>
      </c>
      <c r="G24" s="34">
        <f>SUM('ПРОГНОЗ ДОХОДОВ И РАСХОДОВ НДС'!T89:W89)</f>
        <v>81305.169920000029</v>
      </c>
      <c r="H24" s="34">
        <f>SUM('ПРОГНОЗ ДОХОДОВ И РАСХОДОВ НДС'!X89:AA89)</f>
        <v>84557.376716800019</v>
      </c>
      <c r="I24" s="34">
        <f>SUM('ПРОГНОЗ ДОХОДОВ И РАСХОДОВ НДС'!AB89:AE89)</f>
        <v>87939.671785472019</v>
      </c>
      <c r="J24" s="34">
        <f>SUM('ПРОГНОЗ ДОХОДОВ И РАСХОДОВ НДС'!AF89:AI89)</f>
        <v>91457.258656890903</v>
      </c>
      <c r="K24" s="34">
        <f>SUM('ПРОГНОЗ ДОХОДОВ И РАСХОДОВ НДС'!AJ89:AM89)</f>
        <v>95115.549003166554</v>
      </c>
      <c r="L24" s="34">
        <f>SUM('ПРОГНОЗ ДОХОДОВ И РАСХОДОВ НДС'!AN89:AQ89)</f>
        <v>98920.170963293203</v>
      </c>
      <c r="M24" s="34">
        <f t="shared" si="0"/>
        <v>834424.44504562276</v>
      </c>
    </row>
    <row r="25" spans="1:13" x14ac:dyDescent="0.25">
      <c r="A25" s="10">
        <f>'ПРОГНОЗ ДОХОДОВ И РАСХОДОВ НДС'!A90</f>
        <v>6</v>
      </c>
      <c r="B25" s="156" t="str">
        <f>'ПРОГНОЗ ДОХОДОВ И РАСХОДОВ НДС'!B90</f>
        <v>Кадры и прочее</v>
      </c>
      <c r="C25" s="34">
        <f>SUM('ПРОГНОЗ ДОХОДОВ И РАСХОДОВ НДС'!D90:G90)</f>
        <v>4604604.4550000001</v>
      </c>
      <c r="D25" s="34">
        <f>SUM('ПРОГНОЗ ДОХОДОВ И РАСХОДОВ НДС'!H90:K90)</f>
        <v>4788788.6332</v>
      </c>
      <c r="E25" s="34">
        <f>SUM('ПРОГНОЗ ДОХОДОВ И РАСХОДОВ НДС'!L90:O90)</f>
        <v>4980340.1785279997</v>
      </c>
      <c r="F25" s="34">
        <f>SUM('ПРОГНОЗ ДОХОДОВ И РАСХОДОВ НДС'!P90:S90)</f>
        <v>5179553.785669121</v>
      </c>
      <c r="G25" s="34">
        <f>SUM('ПРОГНОЗ ДОХОДОВ И РАСХОДОВ НДС'!T90:W90)</f>
        <v>5386735.9370958861</v>
      </c>
      <c r="H25" s="34">
        <f>SUM('ПРОГНОЗ ДОХОДОВ И РАСХОДОВ НДС'!X90:AA90)</f>
        <v>5602205.3745797221</v>
      </c>
      <c r="I25" s="34">
        <f>SUM('ПРОГНОЗ ДОХОДОВ И РАСХОДОВ НДС'!AB90:AE90)</f>
        <v>5826293.5895629106</v>
      </c>
      <c r="J25" s="34">
        <f>SUM('ПРОГНОЗ ДОХОДОВ И РАСХОДОВ НДС'!AF90:AI90)</f>
        <v>6059345.3331454275</v>
      </c>
      <c r="K25" s="34">
        <f>SUM('ПРОГНОЗ ДОХОДОВ И РАСХОДОВ НДС'!AJ90:AM90)</f>
        <v>6301719.1464712452</v>
      </c>
      <c r="L25" s="34">
        <f>SUM('ПРОГНОЗ ДОХОДОВ И РАСХОДОВ НДС'!AN90:AQ90)</f>
        <v>6553787.9123300947</v>
      </c>
      <c r="M25" s="34">
        <f t="shared" si="0"/>
        <v>55283374.345582396</v>
      </c>
    </row>
    <row r="26" spans="1:13" ht="45" x14ac:dyDescent="0.25">
      <c r="A26" s="10" t="str">
        <f>'ПРОГНОЗ ДОХОДОВ И РАСХОДОВ НДС'!A91</f>
        <v>6.1.</v>
      </c>
      <c r="B26" s="156" t="str">
        <f>'ПРОГНОЗ ДОХОДОВ И РАСХОДОВ НДС'!B91</f>
        <v>Годовые затраты по кадрам, поиск кадров, контракты по наёму персонала и т.п., представительские расходы, прочее</v>
      </c>
      <c r="C26" s="34">
        <f>SUM('ПРОГНОЗ ДОХОДОВ И РАСХОДОВ НДС'!D91:G91)</f>
        <v>69500</v>
      </c>
      <c r="D26" s="34">
        <f>SUM('ПРОГНОЗ ДОХОДОВ И РАСХОДОВ НДС'!H91:K91)</f>
        <v>72280</v>
      </c>
      <c r="E26" s="34">
        <f>SUM('ПРОГНОЗ ДОХОДОВ И РАСХОДОВ НДС'!L91:O91)</f>
        <v>75171.200000000012</v>
      </c>
      <c r="F26" s="34">
        <f>SUM('ПРОГНОЗ ДОХОДОВ И РАСХОДОВ НДС'!P91:S91)</f>
        <v>78178.048000000024</v>
      </c>
      <c r="G26" s="34">
        <f>SUM('ПРОГНОЗ ДОХОДОВ И РАСХОДОВ НДС'!T91:W91)</f>
        <v>81305.169920000029</v>
      </c>
      <c r="H26" s="34">
        <f>SUM('ПРОГНОЗ ДОХОДОВ И РАСХОДОВ НДС'!X91:AA91)</f>
        <v>84557.376716800019</v>
      </c>
      <c r="I26" s="34">
        <f>SUM('ПРОГНОЗ ДОХОДОВ И РАСХОДОВ НДС'!AB91:AE91)</f>
        <v>87939.671785472019</v>
      </c>
      <c r="J26" s="34">
        <f>SUM('ПРОГНОЗ ДОХОДОВ И РАСХОДОВ НДС'!AF91:AI91)</f>
        <v>91457.258656890903</v>
      </c>
      <c r="K26" s="34">
        <f>SUM('ПРОГНОЗ ДОХОДОВ И РАСХОДОВ НДС'!AJ91:AM91)</f>
        <v>95115.549003166554</v>
      </c>
      <c r="L26" s="34">
        <f>SUM('ПРОГНОЗ ДОХОДОВ И РАСХОДОВ НДС'!AN91:AQ91)</f>
        <v>98920.170963293203</v>
      </c>
      <c r="M26" s="34">
        <f t="shared" si="0"/>
        <v>834424.44504562276</v>
      </c>
    </row>
    <row r="27" spans="1:13" ht="30" x14ac:dyDescent="0.25">
      <c r="A27" s="10" t="str">
        <f>'ПРОГНОЗ ДОХОДОВ И РАСХОДОВ НДС'!A92</f>
        <v>6.2.</v>
      </c>
      <c r="B27" s="156" t="str">
        <f>'ПРОГНОЗ ДОХОДОВ И РАСХОДОВ НДС'!B92</f>
        <v>Спецодежда, экипировка (на персонал канатной дороги, кассиров, уборщиц, сотрудников охраны)</v>
      </c>
      <c r="C27" s="34">
        <f>SUM('ПРОГНОЗ ДОХОДОВ И РАСХОДОВ НДС'!D92:G92)</f>
        <v>160384.45500000002</v>
      </c>
      <c r="D27" s="34">
        <f>SUM('ПРОГНОЗ ДОХОДОВ И РАСХОДОВ НДС'!H92:K92)</f>
        <v>166799.83320000002</v>
      </c>
      <c r="E27" s="34">
        <f>SUM('ПРОГНОЗ ДОХОДОВ И РАСХОДОВ НДС'!L92:O92)</f>
        <v>173471.82652800003</v>
      </c>
      <c r="F27" s="34">
        <f>SUM('ПРОГНОЗ ДОХОДОВ И РАСХОДОВ НДС'!P92:S92)</f>
        <v>180410.69958912002</v>
      </c>
      <c r="G27" s="34">
        <f>SUM('ПРОГНОЗ ДОХОДОВ И РАСХОДОВ НДС'!T92:W92)</f>
        <v>187627.12757268484</v>
      </c>
      <c r="H27" s="34">
        <f>SUM('ПРОГНОЗ ДОХОДОВ И РАСХОДОВ НДС'!X92:AA92)</f>
        <v>195132.21267559225</v>
      </c>
      <c r="I27" s="34">
        <f>SUM('ПРОГНОЗ ДОХОДОВ И РАСХОДОВ НДС'!AB92:AE92)</f>
        <v>202937.50118261593</v>
      </c>
      <c r="J27" s="34">
        <f>SUM('ПРОГНОЗ ДОХОДОВ И РАСХОДОВ НДС'!AF92:AI92)</f>
        <v>211055.00122992057</v>
      </c>
      <c r="K27" s="34">
        <f>SUM('ПРОГНОЗ ДОХОДОВ И РАСХОДОВ НДС'!AJ92:AM92)</f>
        <v>219497.20127911741</v>
      </c>
      <c r="L27" s="34">
        <f>SUM('ПРОГНОЗ ДОХОДОВ И РАСХОДОВ НДС'!AN92:AQ92)</f>
        <v>228277.08933028209</v>
      </c>
      <c r="M27" s="34">
        <f t="shared" si="0"/>
        <v>1925592.9475873334</v>
      </c>
    </row>
    <row r="28" spans="1:13" x14ac:dyDescent="0.25">
      <c r="A28" s="10" t="str">
        <f>'ПРОГНОЗ ДОХОДОВ И РАСХОДОВ НДС'!A93</f>
        <v>6.3.</v>
      </c>
      <c r="B28" s="156" t="str">
        <f>'ПРОГНОЗ ДОХОДОВ И РАСХОДОВ НДС'!B93</f>
        <v>ФОТ</v>
      </c>
      <c r="C28" s="34">
        <f>SUM('ПРОГНОЗ ДОХОДОВ И РАСХОДОВ НДС'!D93:G93)</f>
        <v>3360000</v>
      </c>
      <c r="D28" s="34">
        <f>SUM('ПРОГНОЗ ДОХОДОВ И РАСХОДОВ НДС'!H93:K93)</f>
        <v>3494400.0000000005</v>
      </c>
      <c r="E28" s="34">
        <f>SUM('ПРОГНОЗ ДОХОДОВ И РАСХОДОВ НДС'!L93:O93)</f>
        <v>3634176.0000000005</v>
      </c>
      <c r="F28" s="34">
        <f>SUM('ПРОГНОЗ ДОХОДОВ И РАСХОДОВ НДС'!P93:S93)</f>
        <v>3779543.0400000005</v>
      </c>
      <c r="G28" s="34">
        <f>SUM('ПРОГНОЗ ДОХОДОВ И РАСХОДОВ НДС'!T93:W93)</f>
        <v>3930724.7616000008</v>
      </c>
      <c r="H28" s="34">
        <f>SUM('ПРОГНОЗ ДОХОДОВ И РАСХОДОВ НДС'!X93:AA93)</f>
        <v>4087953.7520640008</v>
      </c>
      <c r="I28" s="34">
        <f>SUM('ПРОГНОЗ ДОХОДОВ И РАСХОДОВ НДС'!AB93:AE93)</f>
        <v>4251471.9021465611</v>
      </c>
      <c r="J28" s="34">
        <f>SUM('ПРОГНОЗ ДОХОДОВ И РАСХОДОВ НДС'!AF93:AI93)</f>
        <v>4421530.7782324236</v>
      </c>
      <c r="K28" s="34">
        <f>SUM('ПРОГНОЗ ДОХОДОВ И РАСХОДОВ НДС'!AJ93:AM93)</f>
        <v>4598392.0093617206</v>
      </c>
      <c r="L28" s="34">
        <f>SUM('ПРОГНОЗ ДОХОДОВ И РАСХОДОВ НДС'!AN93:AQ93)</f>
        <v>4782327.6897361903</v>
      </c>
      <c r="M28" s="34">
        <f t="shared" si="0"/>
        <v>40340519.933140896</v>
      </c>
    </row>
    <row r="29" spans="1:13" x14ac:dyDescent="0.25">
      <c r="A29" s="10" t="str">
        <f>'ПРОГНОЗ ДОХОДОВ И РАСХОДОВ НДС'!A94</f>
        <v>6.5.</v>
      </c>
      <c r="B29" s="156" t="str">
        <f>'ПРОГНОЗ ДОХОДОВ И РАСХОДОВ НДС'!B94</f>
        <v>Страховые взносы с ФОТ</v>
      </c>
      <c r="C29" s="34">
        <f>SUM('ПРОГНОЗ ДОХОДОВ И РАСХОДОВ НДС'!D94:G94)</f>
        <v>1014720</v>
      </c>
      <c r="D29" s="34">
        <f>SUM('ПРОГНОЗ ДОХОДОВ И РАСХОДОВ НДС'!H94:K94)</f>
        <v>1055308.8</v>
      </c>
      <c r="E29" s="34">
        <f>SUM('ПРОГНОЗ ДОХОДОВ И РАСХОДОВ НДС'!L94:O94)</f>
        <v>1097521.152</v>
      </c>
      <c r="F29" s="34">
        <f>SUM('ПРОГНОЗ ДОХОДОВ И РАСХОДОВ НДС'!P94:S94)</f>
        <v>1141421.9980800003</v>
      </c>
      <c r="G29" s="34">
        <f>SUM('ПРОГНОЗ ДОХОДОВ И РАСХОДОВ НДС'!T94:W94)</f>
        <v>1187078.8780032003</v>
      </c>
      <c r="H29" s="34">
        <f>SUM('ПРОГНОЗ ДОХОДОВ И РАСХОДОВ НДС'!X94:AA94)</f>
        <v>1234562.0331233284</v>
      </c>
      <c r="I29" s="34">
        <f>SUM('ПРОГНОЗ ДОХОДОВ И РАСХОДОВ НДС'!AB94:AE94)</f>
        <v>1283944.5144482616</v>
      </c>
      <c r="J29" s="34">
        <f>SUM('ПРОГНОЗ ДОХОДОВ И РАСХОДОВ НДС'!AF94:AI94)</f>
        <v>1335302.295026192</v>
      </c>
      <c r="K29" s="34">
        <f>SUM('ПРОГНОЗ ДОХОДОВ И РАСХОДОВ НДС'!AJ94:AM94)</f>
        <v>1388714.3868272398</v>
      </c>
      <c r="L29" s="34">
        <f>SUM('ПРОГНОЗ ДОХОДОВ И РАСХОДОВ НДС'!AN94:AQ94)</f>
        <v>1444262.9623003295</v>
      </c>
      <c r="M29" s="34">
        <f t="shared" si="0"/>
        <v>12182837.019808553</v>
      </c>
    </row>
    <row r="30" spans="1:13" x14ac:dyDescent="0.25">
      <c r="A30" s="10">
        <f>'ПРОГНОЗ ДОХОДОВ И РАСХОДОВ НДС'!A95</f>
        <v>0</v>
      </c>
      <c r="B30" s="10" t="str">
        <f>'ПРОГНОЗ ДОХОДОВ И РАСХОДОВ НДС'!B95</f>
        <v>ИТОГО</v>
      </c>
      <c r="C30" s="34">
        <f>SUM('ПРОГНОЗ ДОХОДОВ И РАСХОДОВ НДС'!D95:G95)</f>
        <v>25710757.929999996</v>
      </c>
      <c r="D30" s="34">
        <f>SUM('ПРОГНОЗ ДОХОДОВ И РАСХОДОВ НДС'!H95:K95)</f>
        <v>28934899.133999996</v>
      </c>
      <c r="E30" s="34">
        <f>SUM('ПРОГНОЗ ДОХОДОВ И РАСХОДОВ НДС'!L95:O95)</f>
        <v>28203291.799160004</v>
      </c>
      <c r="F30" s="34">
        <f>SUM('ПРОГНОЗ ДОХОДОВ И РАСХОДОВ НДС'!P95:S95)</f>
        <v>29348372.380526401</v>
      </c>
      <c r="G30" s="34">
        <f>SUM('ПРОГНОЗ ДОХОДОВ И РАСХОДОВ НДС'!T95:W95)</f>
        <v>31422509.500747465</v>
      </c>
      <c r="H30" s="34">
        <f>SUM('ПРОГНОЗ ДОХОДОВ И РАСХОДОВ НДС'!X95:AA95)</f>
        <v>31708623.678177364</v>
      </c>
      <c r="I30" s="34">
        <f>SUM('ПРОГНОЗ ДОХОДОВ И РАСХОДОВ НДС'!AB95:AE95)</f>
        <v>33877170.850304455</v>
      </c>
      <c r="J30" s="34">
        <f>SUM('ПРОГНОЗ ДОХОДОВ И РАСХОДОВ НДС'!AF95:AI95)</f>
        <v>34261471.48171664</v>
      </c>
      <c r="K30" s="34">
        <f>SUM('ПРОГНОЗ ДОХОДОВ И РАСХОДОВ НДС'!AJ95:AM95)</f>
        <v>35614981.375985309</v>
      </c>
      <c r="L30" s="34">
        <f>SUM('ПРОГНОЗ ДОХОДОВ И РАСХОДОВ НДС'!AN95:AQ95)</f>
        <v>37939782.85602472</v>
      </c>
      <c r="M30" s="34">
        <f t="shared" si="0"/>
        <v>317021860.98664236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ПРОГНОЗ ДОХОДОВ И РАСХОДОВ НДС</vt:lpstr>
      <vt:lpstr>ДДС</vt:lpstr>
      <vt:lpstr>БДР</vt:lpstr>
      <vt:lpstr>ИСХОДНЫЕ ДАННЫЕ ДЛЯ КОНЦЕССИИ</vt:lpstr>
      <vt:lpstr>КОНЦЕССИЯ</vt:lpstr>
      <vt:lpstr>ИТОГ</vt:lpstr>
      <vt:lpstr>СВОД</vt:lpstr>
      <vt:lpstr>доп. ДОХОДЫ по годам</vt:lpstr>
      <vt:lpstr>доп. РАСХОДЫ по годам</vt:lpstr>
      <vt:lpstr>доп. РАСХОДЫ ЕВРО</vt:lpstr>
      <vt:lpstr>Лист3</vt:lpstr>
      <vt:lpstr>Лист4</vt:lpstr>
      <vt:lpstr>Лист1</vt:lpstr>
      <vt:lpstr>Лист3!_Hlk428518501</vt:lpstr>
      <vt:lpstr>Лист4!_Hlk428519580</vt:lpstr>
      <vt:lpstr>Лист4!_Hlk428520224</vt:lpstr>
      <vt:lpstr>Лист3!OLE_LINK43</vt:lpstr>
      <vt:lpstr>Лист3!OLE_LINK47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2017-11-27T10:31:22Z</dcterms:created>
  <dcterms:modified xsi:type="dcterms:W3CDTF">2017-12-21T06:07:07Z</dcterms:modified>
</cp:coreProperties>
</file>