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540" yWindow="15" windowWidth="14205" windowHeight="11010" tabRatio="730" activeTab="55"/>
  </bookViews>
  <sheets>
    <sheet name="Пр1" sheetId="1" r:id="rId1"/>
    <sheet name="Пр2" sheetId="2" state="hidden" r:id="rId2"/>
    <sheet name="Пр_3" sheetId="3" r:id="rId3"/>
    <sheet name="Пр4" sheetId="4" state="hidden" r:id="rId4"/>
    <sheet name="Пр5" sheetId="5" r:id="rId5"/>
    <sheet name="Пр6" sheetId="6" state="hidden" r:id="rId6"/>
    <sheet name="Пр7"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12" sheetId="14" r:id="rId14"/>
    <sheet name="Пр.13" sheetId="15" state="hidden" r:id="rId15"/>
    <sheet name="Пр12_" sheetId="17" state="hidden" r:id="rId16"/>
    <sheet name="Пр_15" sheetId="18" state="hidden" r:id="rId17"/>
    <sheet name="Пр3" sheetId="20" state="hidden" r:id="rId18"/>
    <sheet name="Пр13" sheetId="22" state="hidden" r:id="rId19"/>
    <sheet name="Пр_18" sheetId="23" state="hidden" r:id="rId20"/>
    <sheet name="Пр_19" sheetId="24" state="hidden" r:id="rId21"/>
    <sheet name="Пр20" sheetId="25" state="hidden" r:id="rId22"/>
    <sheet name="Пр_20" sheetId="26" state="hidden" r:id="rId23"/>
    <sheet name="Пр_21" sheetId="27" state="hidden" r:id="rId24"/>
    <sheet name="Пр_22" sheetId="28" state="hidden" r:id="rId25"/>
    <sheet name="Пр_23" sheetId="29" state="hidden" r:id="rId26"/>
    <sheet name="Пр 10." sheetId="30" state="hidden" r:id="rId27"/>
    <sheet name="КВСР" sheetId="31" state="hidden" r:id="rId28"/>
    <sheet name="КЦСР" sheetId="32" state="hidden" r:id="rId29"/>
    <sheet name="КВР" sheetId="33" state="hidden" r:id="rId30"/>
    <sheet name="20" sheetId="34" state="hidden" r:id="rId31"/>
    <sheet name="21" sheetId="35" state="hidden" r:id="rId32"/>
    <sheet name="22" sheetId="36" state="hidden" r:id="rId33"/>
    <sheet name="Лист1" sheetId="37" state="hidden" r:id="rId34"/>
    <sheet name="Лист2" sheetId="38" state="hidden" r:id="rId35"/>
    <sheet name="Пр13-" sheetId="39" state="hidden" r:id="rId36"/>
    <sheet name="Пр14-" sheetId="40" state="hidden" r:id="rId37"/>
    <sheet name="Лист3" sheetId="41" state="hidden" r:id="rId38"/>
    <sheet name="Лист4" sheetId="42" state="hidden" r:id="rId39"/>
    <sheet name="Лист5" sheetId="43" state="hidden" r:id="rId40"/>
    <sheet name="LOG" sheetId="44" state="hidden" r:id="rId41"/>
    <sheet name="Пр17" sheetId="46" state="hidden" r:id="rId42"/>
    <sheet name="Пр.14" sheetId="16" r:id="rId43"/>
    <sheet name="Пр.18" sheetId="47" state="hidden" r:id="rId44"/>
    <sheet name="Пр19" sheetId="48" state="hidden" r:id="rId45"/>
    <sheet name="Пр.21" sheetId="50" state="hidden" r:id="rId46"/>
    <sheet name="Пр.19" sheetId="49" state="hidden" r:id="rId47"/>
    <sheet name="Пр.20" sheetId="55" state="hidden" r:id="rId48"/>
    <sheet name="Пр21" sheetId="56" state="hidden" r:id="rId49"/>
    <sheet name="КФСР" sheetId="51" state="hidden" r:id="rId50"/>
    <sheet name="Пр15" sheetId="21" state="hidden" r:id="rId51"/>
    <sheet name="Пр16" sheetId="45" state="hidden" r:id="rId52"/>
    <sheet name="Пр.17" sheetId="62" state="hidden" r:id="rId53"/>
    <sheet name="Программа" sheetId="53" state="hidden" r:id="rId54"/>
    <sheet name="Пр.-18" sheetId="60" r:id="rId55"/>
    <sheet name="Пр.-21" sheetId="61" r:id="rId56"/>
    <sheet name="Пр. 22" sheetId="64" state="hidden" r:id="rId57"/>
    <sheet name="Направление" sheetId="52" state="hidden" r:id="rId58"/>
    <sheet name="Лист6" sheetId="65" state="hidden" r:id="rId59"/>
  </sheets>
  <definedNames>
    <definedName name="_GoBack" localSheetId="6">Пр7!$A$48</definedName>
    <definedName name="_xlnm._FilterDatabase" localSheetId="27">КВСР!$A$2:$B$1166</definedName>
    <definedName name="_xlnm._FilterDatabase" localSheetId="49">КФСР!$A$1400:$B$1478</definedName>
    <definedName name="_xlnm._FilterDatabase" localSheetId="28">КЦСР!$A$2036:$B$3271</definedName>
    <definedName name="_xlnm._FilterDatabase" localSheetId="14" hidden="1">Пр.13!$A$8:$L$473</definedName>
    <definedName name="_xlnm._FilterDatabase" localSheetId="42">Пр.14!$C$1:$D$219</definedName>
    <definedName name="_xlnm._FilterDatabase" localSheetId="0" hidden="1">Пр1!$A$9:$L$166</definedName>
    <definedName name="_xlnm._FilterDatabase" localSheetId="13" hidden="1">Пр12!$A$8:$I$1222</definedName>
    <definedName name="_xlnm._FilterDatabase" localSheetId="1" hidden="1">Пр2!$A$9:$O$97</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Пр12!$A$9:$F$1175</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Пр12!$A$9:$F$1175</definedName>
    <definedName name="Z_91923F83_3A6B_4204_9891_178562AB34F1_.wvu.PrintArea" localSheetId="2">Пр_3!$A$1:$B$120</definedName>
    <definedName name="Z_91923F83_3A6B_4204_9891_178562AB34F1_.wvu.PrintArea" localSheetId="0">Пр1!$A$1:$I$166</definedName>
    <definedName name="Z_91923F83_3A6B_4204_9891_178562AB34F1_.wvu.PrintArea" localSheetId="13">Пр12!$A$1:$F$1175</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Пр12!$A$9:$F$1175</definedName>
    <definedName name="Z_A5E41FC9_89B1_40D2_B587_57BC4C5E4715_.wvu.PrintArea" localSheetId="2">Пр_3!$A$1:$B$120</definedName>
    <definedName name="Z_A5E41FC9_89B1_40D2_B587_57BC4C5E4715_.wvu.PrintArea" localSheetId="0">Пр1!$A$1:$I$166</definedName>
    <definedName name="Z_A5E41FC9_89B1_40D2_B587_57BC4C5E4715_.wvu.PrintArea" localSheetId="13">Пр12!$A$1:$F$1175</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Пр12!$A$9:$F$1175</definedName>
    <definedName name="Z_B3311466_F005_49F1_A579_3E6CECE305A8_.wvu.PrintArea" localSheetId="2">Пр_3!$A$1:$B$120</definedName>
    <definedName name="Z_B3311466_F005_49F1_A579_3E6CECE305A8_.wvu.PrintArea" localSheetId="0">Пр1!$A$1:$I$166</definedName>
    <definedName name="Z_B3311466_F005_49F1_A579_3E6CECE305A8_.wvu.PrintArea" localSheetId="13">Пр12!$A$1:$F$1175</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Пр12!$A$9:$F$1175</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Пр12!$A$9:$F$1175</definedName>
    <definedName name="Z_E5662E33_D4B0_43EA_9B06_C8DA9DFDBEF6_.wvu.PrintArea" localSheetId="2">Пр_3!$A$1:$B$120</definedName>
    <definedName name="Z_E5662E33_D4B0_43EA_9B06_C8DA9DFDBEF6_.wvu.PrintArea" localSheetId="0">Пр1!$A$1:$I$166</definedName>
    <definedName name="Z_E5662E33_D4B0_43EA_9B06_C8DA9DFDBEF6_.wvu.PrintArea" localSheetId="13">Пр12!$A$1:$F$1175</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Пр12!$A$9:$F$1175</definedName>
    <definedName name="Z_F3607253_7816_4CF7_9CFD_2ADFFAD916F8_.wvu.PrintArea" localSheetId="2">Пр_3!$A$1:$B$120</definedName>
    <definedName name="Z_F3607253_7816_4CF7_9CFD_2ADFFAD916F8_.wvu.PrintArea" localSheetId="0">Пр1!$A$1:$I$166</definedName>
    <definedName name="Z_F3607253_7816_4CF7_9CFD_2ADFFAD916F8_.wvu.PrintArea" localSheetId="13">Пр12!$A$1:$F$1175</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29">КВР!$A$1820:$B$1930</definedName>
    <definedName name="_xlnm.Print_Area" localSheetId="27">КВСР!$A$1000:$B$1167</definedName>
    <definedName name="_xlnm.Print_Area" localSheetId="49">КФСР!$A$1:$B$1501</definedName>
    <definedName name="_xlnm.Print_Area" localSheetId="28">КЦСР!$A$2036:$B$3485</definedName>
    <definedName name="_xlnm.Print_Area" localSheetId="56">'Пр. 22'!$A$1:$D$18</definedName>
    <definedName name="_xlnm.Print_Area" localSheetId="14">Пр.13!$A$1:$L$473</definedName>
    <definedName name="_xlnm.Print_Area" localSheetId="42">Пр.14!$A$1:$F$148</definedName>
    <definedName name="_xlnm.Print_Area" localSheetId="43">Пр.18!$A$1:$E$51</definedName>
    <definedName name="_xlnm.Print_Area" localSheetId="55">'Пр.-21'!$A$1:$F$25</definedName>
    <definedName name="_xlnm.Print_Area" localSheetId="16">Пр_15!$A$1:$D$14</definedName>
    <definedName name="_xlnm.Print_Area" localSheetId="19">Пр_18!$A$1:$D$31</definedName>
    <definedName name="_xlnm.Print_Area" localSheetId="22">Пр_20!$A$1:$E$24</definedName>
    <definedName name="_xlnm.Print_Area" localSheetId="25">Пр_23!$A$1:$D$17</definedName>
    <definedName name="_xlnm.Print_Area" localSheetId="2">Пр_3!$A$1:$E$122</definedName>
    <definedName name="_xlnm.Print_Area" localSheetId="7">Пр_9!$A$1:$C$171</definedName>
    <definedName name="_xlnm.Print_Area" localSheetId="0">Пр1!$A$1:$L$166</definedName>
    <definedName name="_xlnm.Print_Area" localSheetId="13">Пр12!$A$1:$I$1222</definedName>
    <definedName name="_xlnm.Print_Area" localSheetId="15">Пр12_!$A$1:$I$52</definedName>
    <definedName name="_xlnm.Print_Area" localSheetId="50">Пр15!$B$1:$I$141</definedName>
    <definedName name="_xlnm.Print_Area" localSheetId="44">Пр19!$A$1:$H$17</definedName>
    <definedName name="_xlnm.Print_Area" localSheetId="1">Пр2!$A$1:$O$97</definedName>
    <definedName name="_xlnm.Print_Area" localSheetId="48">Пр21!$A$1:$D$31</definedName>
    <definedName name="_xlnm.Print_Area" localSheetId="3">Пр4!$A$1:$H$123</definedName>
    <definedName name="_xlnm.Print_Area" localSheetId="4">Пр5!$A$1:$E$26</definedName>
    <definedName name="_xlnm.Print_Area" localSheetId="5">Пр6!$A$1:$H$24</definedName>
    <definedName name="_xlnm.Print_Area" localSheetId="6">Пр7!$A$1:$E$45</definedName>
    <definedName name="_xlnm.Print_Area" localSheetId="9">Пр8!$A$1:$E$45</definedName>
    <definedName name="_xlnm.Print_Area" localSheetId="10">Пр9!$A$1:$C$164</definedName>
  </definedNames>
  <calcPr calcId="145621"/>
</workbook>
</file>

<file path=xl/calcChain.xml><?xml version="1.0" encoding="utf-8"?>
<calcChain xmlns="http://schemas.openxmlformats.org/spreadsheetml/2006/main">
  <c r="F22" i="61" l="1"/>
  <c r="E52" i="60"/>
  <c r="A1152" i="14"/>
  <c r="I1152" i="14"/>
  <c r="H1153" i="14"/>
  <c r="H1151" i="14" s="1"/>
  <c r="A570" i="14"/>
  <c r="H560" i="14"/>
  <c r="I561" i="14"/>
  <c r="A561" i="14"/>
  <c r="H97" i="14"/>
  <c r="B32" i="7"/>
  <c r="I233" i="14"/>
  <c r="H1148" i="14"/>
  <c r="H979" i="14"/>
  <c r="H975" i="14"/>
  <c r="I941" i="14"/>
  <c r="H940" i="14"/>
  <c r="I940" i="14"/>
  <c r="G940" i="14"/>
  <c r="A940" i="14"/>
  <c r="A941" i="14"/>
  <c r="I934" i="14"/>
  <c r="I933" i="14" s="1"/>
  <c r="H933" i="14"/>
  <c r="G933" i="14"/>
  <c r="A933" i="14"/>
  <c r="A934" i="14"/>
  <c r="H813" i="14"/>
  <c r="H785" i="14"/>
  <c r="H1134" i="14"/>
  <c r="H22" i="14"/>
  <c r="H647" i="14"/>
  <c r="H646" i="14"/>
  <c r="I646" i="14" s="1"/>
  <c r="I647" i="14"/>
  <c r="A645" i="14"/>
  <c r="A646" i="14"/>
  <c r="A647" i="14"/>
  <c r="G645" i="14"/>
  <c r="G641" i="14" s="1"/>
  <c r="H599" i="14"/>
  <c r="H595" i="14"/>
  <c r="I645" i="14" l="1"/>
  <c r="H645" i="14"/>
  <c r="H25" i="14" l="1"/>
  <c r="H542" i="14"/>
  <c r="H539" i="14"/>
  <c r="H533" i="14"/>
  <c r="H398" i="14"/>
  <c r="H390" i="14"/>
  <c r="H388" i="14"/>
  <c r="H1213" i="14"/>
  <c r="H1218" i="14"/>
  <c r="H353" i="14"/>
  <c r="H351" i="14"/>
  <c r="H124" i="14"/>
  <c r="H107" i="14"/>
  <c r="H92" i="14"/>
  <c r="H88" i="14"/>
  <c r="I64" i="14"/>
  <c r="H63" i="14"/>
  <c r="A64" i="14"/>
  <c r="H51" i="14"/>
  <c r="H50" i="14" s="1"/>
  <c r="H370" i="14"/>
  <c r="H1076" i="14" l="1"/>
  <c r="H1073" i="14"/>
  <c r="J67" i="15" l="1"/>
  <c r="J66" i="15" s="1"/>
  <c r="J65" i="15" s="1"/>
  <c r="K67" i="15"/>
  <c r="K66" i="15" s="1"/>
  <c r="K65" i="15" s="1"/>
  <c r="H67" i="15"/>
  <c r="H66" i="15" s="1"/>
  <c r="H65" i="15" s="1"/>
  <c r="L68" i="15"/>
  <c r="L67" i="15" s="1"/>
  <c r="L66" i="15" s="1"/>
  <c r="L65" i="15" s="1"/>
  <c r="I68" i="15"/>
  <c r="I67" i="15" s="1"/>
  <c r="I66" i="15" s="1"/>
  <c r="I65" i="15" s="1"/>
  <c r="A65" i="15"/>
  <c r="A66" i="15"/>
  <c r="A67" i="15"/>
  <c r="A68" i="15"/>
  <c r="A61" i="15"/>
  <c r="A62" i="15"/>
  <c r="L62" i="15"/>
  <c r="L61" i="15" s="1"/>
  <c r="J61" i="15"/>
  <c r="K61" i="15"/>
  <c r="K60" i="15" s="1"/>
  <c r="K59" i="15" s="1"/>
  <c r="H61" i="15"/>
  <c r="J57" i="15"/>
  <c r="K57" i="15"/>
  <c r="K54" i="15" s="1"/>
  <c r="K53" i="15" s="1"/>
  <c r="H57" i="15"/>
  <c r="H54" i="15" s="1"/>
  <c r="H53" i="15" s="1"/>
  <c r="L58" i="15"/>
  <c r="L57" i="15" s="1"/>
  <c r="I58" i="15"/>
  <c r="I57" i="15" s="1"/>
  <c r="A57" i="15"/>
  <c r="A58" i="15"/>
  <c r="L81" i="15"/>
  <c r="L80" i="15" s="1"/>
  <c r="L77" i="15"/>
  <c r="L79" i="15"/>
  <c r="L78" i="15" s="1"/>
  <c r="I79" i="15"/>
  <c r="I78" i="15" s="1"/>
  <c r="I77" i="15"/>
  <c r="I76" i="15" s="1"/>
  <c r="J76" i="15"/>
  <c r="K76" i="15"/>
  <c r="L76" i="15"/>
  <c r="H76" i="15"/>
  <c r="J78" i="15"/>
  <c r="K78" i="15"/>
  <c r="H78" i="15"/>
  <c r="J80" i="15"/>
  <c r="K80" i="15"/>
  <c r="H80" i="15"/>
  <c r="I81" i="15"/>
  <c r="I80" i="15" s="1"/>
  <c r="A72" i="15"/>
  <c r="A73" i="15"/>
  <c r="A74" i="15"/>
  <c r="A75" i="15"/>
  <c r="A76" i="15"/>
  <c r="A77" i="15"/>
  <c r="A78" i="15"/>
  <c r="A79" i="15"/>
  <c r="A80" i="15"/>
  <c r="A81" i="15"/>
  <c r="K52" i="15" l="1"/>
  <c r="K75" i="15"/>
  <c r="K74" i="15" s="1"/>
  <c r="K73" i="15" s="1"/>
  <c r="K72" i="15" s="1"/>
  <c r="J75" i="15"/>
  <c r="J74" i="15" s="1"/>
  <c r="J73" i="15" s="1"/>
  <c r="J72" i="15" s="1"/>
  <c r="I62" i="15"/>
  <c r="I61" i="15" s="1"/>
  <c r="H75" i="15"/>
  <c r="H74" i="15" s="1"/>
  <c r="H73" i="15" s="1"/>
  <c r="H72" i="15" s="1"/>
  <c r="I75" i="15"/>
  <c r="I74" i="15" s="1"/>
  <c r="I73" i="15" s="1"/>
  <c r="I72" i="15" s="1"/>
  <c r="L75" i="15"/>
  <c r="L74" i="15" s="1"/>
  <c r="L73" i="15" s="1"/>
  <c r="L72" i="15" s="1"/>
  <c r="D15" i="64"/>
  <c r="D16" i="64"/>
  <c r="D17" i="64"/>
  <c r="D14" i="64"/>
  <c r="H1092" i="14" l="1"/>
  <c r="K138" i="1" l="1"/>
  <c r="K151" i="1"/>
  <c r="K117" i="1"/>
  <c r="H1105" i="14"/>
  <c r="H861" i="14"/>
  <c r="H267" i="14" l="1"/>
  <c r="H232" i="14"/>
  <c r="A191" i="14"/>
  <c r="A192" i="14"/>
  <c r="H191" i="14"/>
  <c r="G191" i="14"/>
  <c r="I192" i="14"/>
  <c r="I191" i="14" s="1"/>
  <c r="K32" i="1"/>
  <c r="L34" i="1"/>
  <c r="L164" i="1" l="1"/>
  <c r="B18" i="64"/>
  <c r="C18" i="64"/>
  <c r="C49" i="60"/>
  <c r="I636" i="14" l="1"/>
  <c r="I635" i="14" s="1"/>
  <c r="I634" i="14" s="1"/>
  <c r="H635" i="14"/>
  <c r="H634" i="14" s="1"/>
  <c r="A634" i="14"/>
  <c r="A635" i="14"/>
  <c r="A636" i="14"/>
  <c r="I463" i="14"/>
  <c r="H462" i="14"/>
  <c r="H461" i="14" s="1"/>
  <c r="I462" i="14"/>
  <c r="I461" i="14" s="1"/>
  <c r="A462" i="14"/>
  <c r="A461" i="14"/>
  <c r="A463" i="14"/>
  <c r="H63" i="15"/>
  <c r="I1150" i="14"/>
  <c r="I1153" i="14"/>
  <c r="I1151" i="14" s="1"/>
  <c r="A1151" i="14"/>
  <c r="A1153" i="14"/>
  <c r="H935" i="14"/>
  <c r="I936" i="14"/>
  <c r="I935" i="14" s="1"/>
  <c r="A935" i="14"/>
  <c r="A936" i="14"/>
  <c r="H948" i="14"/>
  <c r="A948" i="14"/>
  <c r="A949" i="14"/>
  <c r="H60" i="15" l="1"/>
  <c r="H59" i="15" s="1"/>
  <c r="H52" i="15" s="1"/>
  <c r="I948" i="14"/>
  <c r="I949" i="14"/>
  <c r="J230" i="15"/>
  <c r="L246" i="15"/>
  <c r="L247" i="15"/>
  <c r="L249" i="15"/>
  <c r="L250" i="15"/>
  <c r="L252" i="15"/>
  <c r="L253" i="15"/>
  <c r="L255" i="15"/>
  <c r="L256" i="15"/>
  <c r="L258" i="15"/>
  <c r="L259" i="15"/>
  <c r="L261" i="15"/>
  <c r="L262" i="15"/>
  <c r="L264" i="15"/>
  <c r="L265" i="15"/>
  <c r="L267" i="15"/>
  <c r="L268" i="15"/>
  <c r="L270" i="15"/>
  <c r="L271" i="15"/>
  <c r="L273" i="15"/>
  <c r="L274" i="15"/>
  <c r="L276" i="15"/>
  <c r="L278" i="15"/>
  <c r="L279" i="15"/>
  <c r="L280" i="15"/>
  <c r="L283" i="15"/>
  <c r="L284" i="15"/>
  <c r="L286" i="15"/>
  <c r="L287" i="15"/>
  <c r="L289" i="15"/>
  <c r="L290" i="15"/>
  <c r="I246" i="15"/>
  <c r="I247" i="15"/>
  <c r="I249" i="15"/>
  <c r="I250" i="15"/>
  <c r="I252" i="15"/>
  <c r="I253" i="15"/>
  <c r="I255" i="15"/>
  <c r="I256" i="15"/>
  <c r="I258" i="15"/>
  <c r="I259" i="15"/>
  <c r="I261" i="15"/>
  <c r="I262" i="15"/>
  <c r="I264" i="15"/>
  <c r="I265" i="15"/>
  <c r="I267" i="15"/>
  <c r="I268" i="15"/>
  <c r="I270" i="15"/>
  <c r="I271" i="15"/>
  <c r="I273" i="15"/>
  <c r="I274" i="15"/>
  <c r="I276" i="15"/>
  <c r="I278" i="15"/>
  <c r="I279" i="15"/>
  <c r="I280" i="15"/>
  <c r="I283" i="15"/>
  <c r="I284" i="15"/>
  <c r="I286" i="15"/>
  <c r="I287" i="15"/>
  <c r="I289" i="15"/>
  <c r="I290" i="15"/>
  <c r="H1212" i="14" l="1"/>
  <c r="I1215" i="14"/>
  <c r="A1215" i="14"/>
  <c r="A365" i="14"/>
  <c r="A366" i="14"/>
  <c r="H365" i="14"/>
  <c r="I366" i="14"/>
  <c r="I365" i="14" s="1"/>
  <c r="I96" i="14"/>
  <c r="A96" i="14"/>
  <c r="H60" i="14"/>
  <c r="A61" i="14"/>
  <c r="I61" i="14"/>
  <c r="H95" i="14" l="1"/>
  <c r="H70" i="15"/>
  <c r="H69" i="15" s="1"/>
  <c r="H51" i="15" s="1"/>
  <c r="J70" i="15"/>
  <c r="J69" i="15" s="1"/>
  <c r="K70" i="15"/>
  <c r="K69" i="15" s="1"/>
  <c r="K51" i="15" s="1"/>
  <c r="L59" i="15"/>
  <c r="L60" i="15"/>
  <c r="L63" i="15"/>
  <c r="L64" i="15"/>
  <c r="L71" i="15"/>
  <c r="L70" i="15" s="1"/>
  <c r="L69" i="15" s="1"/>
  <c r="L56" i="15"/>
  <c r="I71" i="15"/>
  <c r="I70" i="15" s="1"/>
  <c r="I69" i="15" s="1"/>
  <c r="A69" i="15"/>
  <c r="A70" i="15"/>
  <c r="A71" i="15"/>
  <c r="D13" i="64" l="1"/>
  <c r="D18" i="64" s="1"/>
  <c r="B19" i="62" l="1"/>
  <c r="H204" i="14"/>
  <c r="I204" i="14" s="1"/>
  <c r="I205" i="14"/>
  <c r="A204" i="14"/>
  <c r="A205" i="14"/>
  <c r="K73" i="1" l="1"/>
  <c r="L56" i="1" l="1"/>
  <c r="L148" i="1"/>
  <c r="A584" i="14" l="1"/>
  <c r="H584" i="14"/>
  <c r="I584" i="14" s="1"/>
  <c r="A585" i="14"/>
  <c r="I585" i="14"/>
  <c r="A586" i="14"/>
  <c r="H586" i="14"/>
  <c r="I586" i="14" s="1"/>
  <c r="A587" i="14"/>
  <c r="I587" i="14"/>
  <c r="C21" i="5" l="1"/>
  <c r="C19" i="5"/>
  <c r="H904" i="14" l="1"/>
  <c r="I919" i="14"/>
  <c r="H918" i="14"/>
  <c r="A916" i="14"/>
  <c r="A917" i="14"/>
  <c r="A918" i="14"/>
  <c r="A919" i="14"/>
  <c r="I905" i="14"/>
  <c r="A904" i="14"/>
  <c r="A905" i="14"/>
  <c r="H841" i="14"/>
  <c r="I904" i="14" l="1"/>
  <c r="I918" i="14"/>
  <c r="H917" i="14"/>
  <c r="H916" i="14" s="1"/>
  <c r="I916" i="14" s="1"/>
  <c r="H784" i="14"/>
  <c r="I787" i="14"/>
  <c r="I788" i="14"/>
  <c r="A787" i="14"/>
  <c r="I435" i="14"/>
  <c r="H434" i="14"/>
  <c r="H433" i="14" s="1"/>
  <c r="A433" i="14"/>
  <c r="A434" i="14"/>
  <c r="A435" i="14"/>
  <c r="I917" i="14" l="1"/>
  <c r="I433" i="14"/>
  <c r="I434" i="14"/>
  <c r="A611" i="14"/>
  <c r="A612" i="14"/>
  <c r="I612" i="14"/>
  <c r="H611" i="14"/>
  <c r="I623" i="14"/>
  <c r="H622" i="14"/>
  <c r="A622" i="14"/>
  <c r="A623" i="14"/>
  <c r="I502" i="14"/>
  <c r="H501" i="14"/>
  <c r="I501" i="14" s="1"/>
  <c r="A501" i="14"/>
  <c r="A502" i="14"/>
  <c r="I430" i="14"/>
  <c r="H429" i="14"/>
  <c r="A429" i="14"/>
  <c r="A430" i="14"/>
  <c r="A400" i="14"/>
  <c r="A401" i="14"/>
  <c r="I401" i="14"/>
  <c r="H400" i="14"/>
  <c r="I400" i="14" l="1"/>
  <c r="I622" i="14"/>
  <c r="I611" i="14"/>
  <c r="I429" i="14"/>
  <c r="I335" i="14"/>
  <c r="H334" i="14"/>
  <c r="I334" i="14" s="1"/>
  <c r="A335" i="14"/>
  <c r="A333" i="14"/>
  <c r="A334" i="14"/>
  <c r="A325" i="14"/>
  <c r="A326" i="14"/>
  <c r="H325" i="14"/>
  <c r="I326" i="14"/>
  <c r="I325" i="14" s="1"/>
  <c r="A315" i="14"/>
  <c r="H333" i="14" l="1"/>
  <c r="I333" i="14" s="1"/>
  <c r="L62" i="1"/>
  <c r="L59" i="1"/>
  <c r="L57" i="1"/>
  <c r="E53" i="60" l="1"/>
  <c r="D53" i="60"/>
  <c r="C53" i="60"/>
  <c r="E49" i="60"/>
  <c r="D49" i="60"/>
  <c r="E23" i="61"/>
  <c r="C23" i="61"/>
  <c r="F23" i="61"/>
  <c r="D23" i="61"/>
  <c r="B24" i="62"/>
  <c r="C15" i="62"/>
  <c r="B15" i="62"/>
  <c r="B27" i="62" l="1"/>
  <c r="E14" i="61"/>
  <c r="C14" i="61"/>
  <c r="F13" i="61"/>
  <c r="F12" i="61"/>
  <c r="F11" i="61"/>
  <c r="D14" i="61"/>
  <c r="F14" i="61" l="1"/>
  <c r="F25" i="61" s="1"/>
  <c r="D43" i="60"/>
  <c r="C43" i="60"/>
  <c r="E42" i="60"/>
  <c r="E43" i="60" s="1"/>
  <c r="D38" i="60"/>
  <c r="C38" i="60"/>
  <c r="E37" i="60"/>
  <c r="E38" i="60" s="1"/>
  <c r="D33" i="60"/>
  <c r="C33" i="60"/>
  <c r="E32" i="60"/>
  <c r="E33" i="60" s="1"/>
  <c r="D28" i="60"/>
  <c r="C28" i="60"/>
  <c r="E27" i="60"/>
  <c r="E28" i="60" s="1"/>
  <c r="D24" i="60"/>
  <c r="C24" i="60"/>
  <c r="E23" i="60"/>
  <c r="E24" i="60" s="1"/>
  <c r="E19" i="60"/>
  <c r="D19" i="60"/>
  <c r="C19" i="60"/>
  <c r="D14" i="60"/>
  <c r="D55" i="60" s="1"/>
  <c r="E13" i="60"/>
  <c r="E12" i="60"/>
  <c r="E11" i="60"/>
  <c r="E10" i="60"/>
  <c r="E9" i="60"/>
  <c r="E14" i="60" l="1"/>
  <c r="E55" i="60" s="1"/>
  <c r="A1133" i="14"/>
  <c r="A1134" i="14"/>
  <c r="H1133" i="14"/>
  <c r="I1134" i="14"/>
  <c r="I1133" i="14" s="1"/>
  <c r="A831" i="14"/>
  <c r="A829" i="14"/>
  <c r="A830" i="14"/>
  <c r="A832" i="14"/>
  <c r="H831" i="14"/>
  <c r="H830" i="14" s="1"/>
  <c r="H829" i="14" s="1"/>
  <c r="D119" i="3" s="1"/>
  <c r="I832" i="14"/>
  <c r="I831" i="14" s="1"/>
  <c r="I830" i="14" s="1"/>
  <c r="I829" i="14" s="1"/>
  <c r="E119" i="3" s="1"/>
  <c r="H270" i="14"/>
  <c r="I271" i="14"/>
  <c r="I270" i="14" s="1"/>
  <c r="A270" i="14"/>
  <c r="A271" i="14"/>
  <c r="A287" i="14"/>
  <c r="A288" i="14"/>
  <c r="H287" i="14"/>
  <c r="I288" i="14"/>
  <c r="I287" i="14" s="1"/>
  <c r="A278" i="14"/>
  <c r="A279" i="14"/>
  <c r="A280" i="14"/>
  <c r="A281" i="14"/>
  <c r="H278" i="14"/>
  <c r="I279" i="14"/>
  <c r="I278" i="14" s="1"/>
  <c r="H280" i="14"/>
  <c r="I281" i="14"/>
  <c r="I280" i="14" s="1"/>
  <c r="H254" i="14"/>
  <c r="I255" i="14"/>
  <c r="I254" i="14" s="1"/>
  <c r="A254" i="14"/>
  <c r="A255" i="14"/>
  <c r="H206" i="14"/>
  <c r="I207" i="14"/>
  <c r="I206" i="14" s="1"/>
  <c r="A206" i="14"/>
  <c r="A207" i="14"/>
  <c r="A197" i="14"/>
  <c r="A198" i="14"/>
  <c r="H197" i="14"/>
  <c r="I198" i="14"/>
  <c r="I197" i="14" s="1"/>
  <c r="H1090" i="14" l="1"/>
  <c r="A1091" i="14"/>
  <c r="I1091" i="14"/>
  <c r="H1122" i="14"/>
  <c r="I1124" i="14"/>
  <c r="A1124" i="14"/>
  <c r="A1121" i="14"/>
  <c r="H1108" i="14"/>
  <c r="H1111" i="14"/>
  <c r="H1119" i="14"/>
  <c r="I1121" i="14"/>
  <c r="A1110" i="14"/>
  <c r="I1110" i="14"/>
  <c r="A284" i="14"/>
  <c r="A285" i="14"/>
  <c r="A286" i="14"/>
  <c r="H285" i="14"/>
  <c r="H284" i="14" s="1"/>
  <c r="I284" i="14" s="1"/>
  <c r="I286" i="14"/>
  <c r="I285" i="14" s="1"/>
  <c r="A189" i="14"/>
  <c r="H188" i="14"/>
  <c r="I189" i="14"/>
  <c r="H181" i="14"/>
  <c r="A182" i="14"/>
  <c r="I182" i="14"/>
  <c r="I842" i="14" l="1"/>
  <c r="A842" i="14"/>
  <c r="I475" i="14"/>
  <c r="I474" i="14" s="1"/>
  <c r="I473" i="14" s="1"/>
  <c r="I472" i="14" s="1"/>
  <c r="I471" i="14" s="1"/>
  <c r="H474" i="14"/>
  <c r="H473" i="14" s="1"/>
  <c r="H472" i="14" s="1"/>
  <c r="H471" i="14" s="1"/>
  <c r="A471" i="14"/>
  <c r="A472" i="14"/>
  <c r="A473" i="14"/>
  <c r="A474" i="14"/>
  <c r="A475" i="14"/>
  <c r="A858" i="14" l="1"/>
  <c r="A859" i="14"/>
  <c r="D45" i="47"/>
  <c r="C45" i="47"/>
  <c r="E44" i="47"/>
  <c r="E45" i="47" s="1"/>
  <c r="D68" i="16"/>
  <c r="I316" i="14"/>
  <c r="H315" i="14"/>
  <c r="I315" i="14" s="1"/>
  <c r="A316" i="14"/>
  <c r="I308" i="14"/>
  <c r="H307" i="14"/>
  <c r="I307" i="14" s="1"/>
  <c r="A307" i="14"/>
  <c r="A308" i="14"/>
  <c r="H305" i="14"/>
  <c r="I306" i="14"/>
  <c r="A305" i="14"/>
  <c r="A306" i="14"/>
  <c r="H860" i="14"/>
  <c r="H859" i="14" s="1"/>
  <c r="H858" i="14" s="1"/>
  <c r="H857" i="14" s="1"/>
  <c r="I861" i="14"/>
  <c r="I860" i="14" s="1"/>
  <c r="I857" i="14" s="1"/>
  <c r="A857" i="14"/>
  <c r="A860" i="14"/>
  <c r="A861" i="14"/>
  <c r="I859" i="14" l="1"/>
  <c r="I858" i="14" s="1"/>
  <c r="I305" i="14"/>
  <c r="H891" i="14"/>
  <c r="H893" i="14"/>
  <c r="I892" i="14"/>
  <c r="I891" i="14" s="1"/>
  <c r="I894" i="14"/>
  <c r="I893" i="14" s="1"/>
  <c r="A893" i="14"/>
  <c r="A894" i="14"/>
  <c r="A891" i="14"/>
  <c r="A892" i="14"/>
  <c r="H760" i="14"/>
  <c r="I762" i="14"/>
  <c r="I763" i="14"/>
  <c r="A762" i="14"/>
  <c r="H382" i="14"/>
  <c r="I383" i="14"/>
  <c r="A379" i="14"/>
  <c r="A380" i="14"/>
  <c r="A381" i="14"/>
  <c r="A382" i="14"/>
  <c r="A383" i="14"/>
  <c r="A117" i="14"/>
  <c r="A118" i="14"/>
  <c r="I118" i="14"/>
  <c r="H117" i="14"/>
  <c r="L63" i="1"/>
  <c r="A76" i="14"/>
  <c r="A77" i="14"/>
  <c r="I77" i="14"/>
  <c r="H76" i="14"/>
  <c r="I76" i="14" s="1"/>
  <c r="H58" i="14"/>
  <c r="I59" i="14"/>
  <c r="I58" i="14" s="1"/>
  <c r="A58" i="14"/>
  <c r="A59" i="14"/>
  <c r="L160" i="1"/>
  <c r="L140" i="1"/>
  <c r="K50" i="1"/>
  <c r="L72" i="1"/>
  <c r="L60" i="1"/>
  <c r="L163" i="1"/>
  <c r="L162" i="1"/>
  <c r="L161" i="1"/>
  <c r="L156" i="1"/>
  <c r="L66" i="1"/>
  <c r="L65" i="1"/>
  <c r="L64" i="1"/>
  <c r="L58" i="1"/>
  <c r="L55" i="1"/>
  <c r="L54" i="1"/>
  <c r="D40" i="47"/>
  <c r="C40" i="47"/>
  <c r="E39" i="47"/>
  <c r="E40" i="47" s="1"/>
  <c r="D35" i="47"/>
  <c r="C35" i="47"/>
  <c r="E34" i="47"/>
  <c r="E35" i="47" s="1"/>
  <c r="H1078" i="14"/>
  <c r="H1077" i="14" s="1"/>
  <c r="I1079" i="14"/>
  <c r="I1078" i="14" s="1"/>
  <c r="I1077" i="14" s="1"/>
  <c r="A1077" i="14"/>
  <c r="A1078" i="14"/>
  <c r="A1079" i="14"/>
  <c r="H855" i="14"/>
  <c r="I856" i="14"/>
  <c r="I855" i="14" s="1"/>
  <c r="A855" i="14"/>
  <c r="A856" i="14"/>
  <c r="H840" i="14"/>
  <c r="H839" i="14" s="1"/>
  <c r="I841" i="14"/>
  <c r="I840" i="14" s="1"/>
  <c r="I839" i="14" s="1"/>
  <c r="A839" i="14"/>
  <c r="A840" i="14"/>
  <c r="A841" i="14"/>
  <c r="H331" i="14"/>
  <c r="I332" i="14"/>
  <c r="I331" i="14" s="1"/>
  <c r="A331" i="14"/>
  <c r="A332" i="14"/>
  <c r="I330" i="14"/>
  <c r="A330" i="14"/>
  <c r="H329" i="14"/>
  <c r="I329" i="14" s="1"/>
  <c r="A329" i="14"/>
  <c r="A328" i="14"/>
  <c r="A327" i="14"/>
  <c r="I269" i="14"/>
  <c r="H268" i="14"/>
  <c r="I268" i="14" s="1"/>
  <c r="H272" i="14"/>
  <c r="I273" i="14"/>
  <c r="I272" i="14" s="1"/>
  <c r="H266" i="14"/>
  <c r="I267" i="14"/>
  <c r="I266" i="14" s="1"/>
  <c r="A266" i="14"/>
  <c r="A267" i="14"/>
  <c r="A268" i="14"/>
  <c r="A269" i="14"/>
  <c r="A272" i="14"/>
  <c r="A273" i="14"/>
  <c r="H264" i="14"/>
  <c r="I265" i="14"/>
  <c r="I264" i="14" s="1"/>
  <c r="A264" i="14"/>
  <c r="A265" i="14"/>
  <c r="A230" i="14"/>
  <c r="A231" i="14"/>
  <c r="I231" i="14"/>
  <c r="H230" i="14"/>
  <c r="I230" i="14" s="1"/>
  <c r="H242" i="14"/>
  <c r="H241" i="14" s="1"/>
  <c r="H240" i="14" s="1"/>
  <c r="I243" i="14"/>
  <c r="I242" i="14" s="1"/>
  <c r="I241" i="14" s="1"/>
  <c r="I240" i="14" s="1"/>
  <c r="A240" i="14"/>
  <c r="A241" i="14"/>
  <c r="A242" i="14"/>
  <c r="A243" i="14"/>
  <c r="I382" i="14" l="1"/>
  <c r="H381" i="14"/>
  <c r="I117" i="14"/>
  <c r="H328" i="14"/>
  <c r="H327" i="14" s="1"/>
  <c r="H237" i="14"/>
  <c r="H236" i="14" s="1"/>
  <c r="I1057" i="14"/>
  <c r="H1056" i="14"/>
  <c r="I1056" i="14" s="1"/>
  <c r="A1056" i="14"/>
  <c r="A1057" i="14"/>
  <c r="I203" i="14"/>
  <c r="H202" i="14"/>
  <c r="H201" i="14" s="1"/>
  <c r="I201" i="14" s="1"/>
  <c r="A201" i="14"/>
  <c r="A202" i="14"/>
  <c r="A203" i="14"/>
  <c r="I187" i="14"/>
  <c r="H186" i="14"/>
  <c r="I186" i="14" s="1"/>
  <c r="A186" i="14"/>
  <c r="A187" i="14"/>
  <c r="H179" i="14"/>
  <c r="I179" i="14" s="1"/>
  <c r="I180" i="14"/>
  <c r="A179" i="14"/>
  <c r="A180" i="14"/>
  <c r="I202" i="14" l="1"/>
  <c r="H380" i="14"/>
  <c r="I381" i="14"/>
  <c r="I328" i="14"/>
  <c r="I327" i="14"/>
  <c r="B28" i="56"/>
  <c r="H250" i="14"/>
  <c r="I380" i="14" l="1"/>
  <c r="H379" i="14"/>
  <c r="H728" i="14"/>
  <c r="I729" i="14"/>
  <c r="A728" i="14"/>
  <c r="A729" i="14"/>
  <c r="I379" i="14" l="1"/>
  <c r="I728" i="14"/>
  <c r="H624" i="14"/>
  <c r="I625" i="14"/>
  <c r="I624" i="14" s="1"/>
  <c r="A624" i="14"/>
  <c r="A625" i="14"/>
  <c r="H431" i="14"/>
  <c r="I432" i="14"/>
  <c r="I431" i="14" s="1"/>
  <c r="A431" i="14"/>
  <c r="A432" i="14"/>
  <c r="H21" i="14"/>
  <c r="I24" i="14"/>
  <c r="A24" i="14"/>
  <c r="I403" i="14"/>
  <c r="H402" i="14"/>
  <c r="I402" i="14" s="1"/>
  <c r="A402" i="14"/>
  <c r="A403" i="14"/>
  <c r="H810" i="14"/>
  <c r="I810" i="14" s="1"/>
  <c r="I814" i="14" l="1"/>
  <c r="I813" i="14"/>
  <c r="H812" i="14"/>
  <c r="H809" i="14" s="1"/>
  <c r="A812" i="14"/>
  <c r="A813" i="14"/>
  <c r="A814" i="14"/>
  <c r="C28" i="56"/>
  <c r="D27" i="56"/>
  <c r="D26" i="56"/>
  <c r="D25" i="56"/>
  <c r="D24" i="56"/>
  <c r="D23" i="56"/>
  <c r="H722" i="14"/>
  <c r="H721" i="14" s="1"/>
  <c r="I723" i="14"/>
  <c r="I722" i="14" s="1"/>
  <c r="I721" i="14" s="1"/>
  <c r="A721" i="14"/>
  <c r="A722" i="14"/>
  <c r="A723" i="14"/>
  <c r="I812" i="14" l="1"/>
  <c r="I809" i="14" s="1"/>
  <c r="D28" i="56"/>
  <c r="H112" i="14"/>
  <c r="I113" i="14"/>
  <c r="I112" i="14" s="1"/>
  <c r="A112" i="14"/>
  <c r="A113" i="14"/>
  <c r="I116" i="14"/>
  <c r="H115" i="14"/>
  <c r="H114" i="14" s="1"/>
  <c r="A114" i="14"/>
  <c r="A115" i="14"/>
  <c r="A116" i="14"/>
  <c r="A317" i="14"/>
  <c r="H317" i="14"/>
  <c r="I318" i="14"/>
  <c r="A311" i="14"/>
  <c r="A312" i="14"/>
  <c r="A313" i="14"/>
  <c r="A314" i="14"/>
  <c r="A318" i="14"/>
  <c r="H314" i="14" l="1"/>
  <c r="H313" i="14" s="1"/>
  <c r="H312" i="14" s="1"/>
  <c r="H311" i="14" s="1"/>
  <c r="I317" i="14"/>
  <c r="I314" i="14" s="1"/>
  <c r="I313" i="14" s="1"/>
  <c r="I312" i="14" s="1"/>
  <c r="I311" i="14" s="1"/>
  <c r="I114" i="14"/>
  <c r="I115" i="14"/>
  <c r="H87" i="14" l="1"/>
  <c r="A90" i="14"/>
  <c r="I90" i="14"/>
  <c r="H1095" i="14" l="1"/>
  <c r="L159" i="1"/>
  <c r="L153" i="1"/>
  <c r="L152" i="1"/>
  <c r="L147" i="1"/>
  <c r="L118" i="1"/>
  <c r="L144" i="1"/>
  <c r="K114" i="1"/>
  <c r="L165" i="1"/>
  <c r="L158" i="1"/>
  <c r="I200" i="14"/>
  <c r="H199" i="14"/>
  <c r="I199" i="14" s="1"/>
  <c r="A199" i="14"/>
  <c r="A200" i="14"/>
  <c r="H213" i="14"/>
  <c r="I213" i="14" s="1"/>
  <c r="I214" i="14"/>
  <c r="A213" i="14"/>
  <c r="A214" i="14"/>
  <c r="I176" i="14"/>
  <c r="H175" i="14"/>
  <c r="A175" i="14"/>
  <c r="A176" i="14"/>
  <c r="I190" i="14"/>
  <c r="I188" i="14"/>
  <c r="A188" i="14"/>
  <c r="A190" i="14"/>
  <c r="I1055" i="14"/>
  <c r="H1054" i="14"/>
  <c r="I1054" i="14" s="1"/>
  <c r="A1054" i="14"/>
  <c r="A1055" i="14"/>
  <c r="I175" i="14" l="1"/>
  <c r="A851" i="14"/>
  <c r="D30" i="47"/>
  <c r="C30" i="47"/>
  <c r="E29" i="47"/>
  <c r="E30" i="47" s="1"/>
  <c r="A1027" i="14"/>
  <c r="A1028" i="14"/>
  <c r="H1027" i="14"/>
  <c r="I1027" i="14" s="1"/>
  <c r="I1028" i="14"/>
  <c r="A1025" i="14"/>
  <c r="A1026" i="14"/>
  <c r="H1025" i="14"/>
  <c r="I1025" i="14" s="1"/>
  <c r="I1026" i="14"/>
  <c r="H1114" i="14"/>
  <c r="I1114" i="14" s="1"/>
  <c r="I1115" i="14"/>
  <c r="A1114" i="14"/>
  <c r="A1115" i="14"/>
  <c r="H1086" i="14"/>
  <c r="I1086" i="14" s="1"/>
  <c r="I1087" i="14"/>
  <c r="A1086" i="14"/>
  <c r="A1087" i="14"/>
  <c r="H853" i="14"/>
  <c r="I854" i="14"/>
  <c r="A852" i="14"/>
  <c r="A853" i="14"/>
  <c r="A854" i="14"/>
  <c r="A289" i="14"/>
  <c r="A290" i="14"/>
  <c r="A291" i="14"/>
  <c r="H290" i="14"/>
  <c r="I290" i="14" s="1"/>
  <c r="I291" i="14"/>
  <c r="H282" i="14"/>
  <c r="I282" i="14" s="1"/>
  <c r="I283" i="14"/>
  <c r="A282" i="14"/>
  <c r="A283" i="14"/>
  <c r="C18" i="56"/>
  <c r="C30" i="56" s="1"/>
  <c r="B18" i="56"/>
  <c r="B30" i="56" s="1"/>
  <c r="C26" i="47"/>
  <c r="I14" i="14"/>
  <c r="I19" i="14"/>
  <c r="I22" i="14"/>
  <c r="I23" i="14"/>
  <c r="I25" i="14"/>
  <c r="I27" i="14"/>
  <c r="I29" i="14"/>
  <c r="I30" i="14"/>
  <c r="I34" i="14"/>
  <c r="I38" i="14"/>
  <c r="I44" i="14"/>
  <c r="I48" i="14"/>
  <c r="I50" i="14"/>
  <c r="I51" i="14"/>
  <c r="I52" i="14"/>
  <c r="I55" i="14"/>
  <c r="I62" i="14"/>
  <c r="I65" i="14"/>
  <c r="I63" i="14" s="1"/>
  <c r="I68" i="14"/>
  <c r="I72" i="14"/>
  <c r="I73" i="14"/>
  <c r="I79" i="14"/>
  <c r="I83" i="14"/>
  <c r="I86" i="14"/>
  <c r="I88" i="14"/>
  <c r="I89" i="14"/>
  <c r="I91" i="14"/>
  <c r="I92" i="14"/>
  <c r="I94" i="14"/>
  <c r="I97" i="14"/>
  <c r="I99" i="14"/>
  <c r="I100" i="14"/>
  <c r="I102" i="14"/>
  <c r="I104" i="14"/>
  <c r="I105" i="14"/>
  <c r="I107" i="14"/>
  <c r="I108" i="14"/>
  <c r="I110" i="14"/>
  <c r="I111" i="14"/>
  <c r="I122" i="14"/>
  <c r="I124" i="14"/>
  <c r="I125" i="14"/>
  <c r="I128" i="14"/>
  <c r="I132" i="14"/>
  <c r="I138" i="14"/>
  <c r="I140" i="14"/>
  <c r="I142" i="14"/>
  <c r="I144" i="14"/>
  <c r="I147" i="14"/>
  <c r="I150" i="14"/>
  <c r="I152" i="14"/>
  <c r="I156" i="14"/>
  <c r="I162" i="14"/>
  <c r="I164" i="14"/>
  <c r="I166" i="14"/>
  <c r="I170" i="14"/>
  <c r="I172" i="14"/>
  <c r="I174" i="14"/>
  <c r="I178" i="14"/>
  <c r="I183" i="14"/>
  <c r="I185" i="14"/>
  <c r="I196" i="14"/>
  <c r="I210" i="14"/>
  <c r="I212" i="14"/>
  <c r="I216" i="14"/>
  <c r="I222" i="14"/>
  <c r="I225" i="14"/>
  <c r="I227" i="14"/>
  <c r="I232" i="14"/>
  <c r="I235" i="14"/>
  <c r="I236" i="14"/>
  <c r="I237" i="14"/>
  <c r="I238" i="14"/>
  <c r="I239" i="14"/>
  <c r="I249" i="14"/>
  <c r="I251" i="14"/>
  <c r="I257" i="14"/>
  <c r="I259" i="14"/>
  <c r="I261" i="14"/>
  <c r="I263" i="14"/>
  <c r="I277" i="14"/>
  <c r="I296" i="14"/>
  <c r="I300" i="14"/>
  <c r="I310" i="14"/>
  <c r="I324" i="14"/>
  <c r="I341" i="14"/>
  <c r="I345" i="14"/>
  <c r="I348" i="14"/>
  <c r="I351" i="14"/>
  <c r="I352" i="14"/>
  <c r="I353" i="14"/>
  <c r="I355" i="14"/>
  <c r="I357" i="14"/>
  <c r="I359" i="14"/>
  <c r="I361" i="14"/>
  <c r="I362" i="14"/>
  <c r="I364" i="14"/>
  <c r="I370" i="14"/>
  <c r="I372" i="14"/>
  <c r="I376" i="14"/>
  <c r="I388" i="14"/>
  <c r="I389" i="14"/>
  <c r="I390" i="14"/>
  <c r="I392" i="14"/>
  <c r="I394" i="14"/>
  <c r="I396" i="14"/>
  <c r="I398" i="14"/>
  <c r="I399" i="14"/>
  <c r="I408" i="14"/>
  <c r="I411" i="14"/>
  <c r="I414" i="14"/>
  <c r="I420" i="14"/>
  <c r="I422" i="14"/>
  <c r="I424" i="14"/>
  <c r="I426" i="14"/>
  <c r="I428" i="14"/>
  <c r="I439" i="14"/>
  <c r="I444" i="14"/>
  <c r="I447" i="14"/>
  <c r="I453" i="14"/>
  <c r="I455" i="14"/>
  <c r="I460" i="14"/>
  <c r="I469" i="14"/>
  <c r="I480" i="14"/>
  <c r="I482" i="14"/>
  <c r="I484" i="14"/>
  <c r="I486" i="14"/>
  <c r="I488" i="14"/>
  <c r="I489" i="14"/>
  <c r="I491" i="14"/>
  <c r="I494" i="14"/>
  <c r="I500" i="14"/>
  <c r="I506" i="14"/>
  <c r="I508" i="14"/>
  <c r="I513" i="14"/>
  <c r="I514" i="14"/>
  <c r="I515" i="14"/>
  <c r="I516" i="14"/>
  <c r="I519" i="14"/>
  <c r="I521" i="14"/>
  <c r="I524" i="14"/>
  <c r="I525" i="14"/>
  <c r="I528" i="14"/>
  <c r="I529" i="14"/>
  <c r="I530" i="14"/>
  <c r="I533" i="14"/>
  <c r="I534" i="14"/>
  <c r="I535" i="14"/>
  <c r="I537" i="14"/>
  <c r="I539" i="14"/>
  <c r="I540" i="14"/>
  <c r="I541" i="14"/>
  <c r="I542" i="14"/>
  <c r="I544" i="14"/>
  <c r="I545" i="14"/>
  <c r="I547" i="14"/>
  <c r="I548" i="14"/>
  <c r="I549" i="14"/>
  <c r="I553" i="14"/>
  <c r="I558" i="14"/>
  <c r="I562" i="14"/>
  <c r="I566" i="14"/>
  <c r="I569" i="14"/>
  <c r="I573" i="14"/>
  <c r="I579" i="14"/>
  <c r="I589" i="14"/>
  <c r="I591" i="14"/>
  <c r="I592" i="14"/>
  <c r="I594" i="14"/>
  <c r="I595" i="14"/>
  <c r="I597" i="14"/>
  <c r="I598" i="14"/>
  <c r="I599" i="14"/>
  <c r="I600" i="14"/>
  <c r="I603" i="14"/>
  <c r="I604" i="14"/>
  <c r="I610" i="14"/>
  <c r="I616" i="14"/>
  <c r="I621" i="14"/>
  <c r="I628" i="14"/>
  <c r="I633" i="14"/>
  <c r="I643" i="14"/>
  <c r="I644" i="14"/>
  <c r="I653" i="14"/>
  <c r="I659" i="14"/>
  <c r="I660" i="14"/>
  <c r="I662" i="14"/>
  <c r="I663" i="14"/>
  <c r="I665" i="14"/>
  <c r="I667" i="14"/>
  <c r="I668" i="14"/>
  <c r="I670" i="14"/>
  <c r="I672" i="14"/>
  <c r="I674" i="14"/>
  <c r="I675" i="14"/>
  <c r="I677" i="14"/>
  <c r="I678" i="14"/>
  <c r="I680" i="14"/>
  <c r="I681" i="14"/>
  <c r="I683" i="14"/>
  <c r="I684" i="14"/>
  <c r="I686" i="14"/>
  <c r="I687" i="14"/>
  <c r="I689" i="14"/>
  <c r="I690" i="14"/>
  <c r="I692" i="14"/>
  <c r="I693" i="14"/>
  <c r="I695" i="14"/>
  <c r="I696" i="14"/>
  <c r="I698" i="14"/>
  <c r="I699" i="14"/>
  <c r="I701" i="14"/>
  <c r="I702" i="14"/>
  <c r="I704" i="14"/>
  <c r="I705" i="14"/>
  <c r="I707" i="14"/>
  <c r="I709" i="14"/>
  <c r="I711" i="14"/>
  <c r="I714" i="14"/>
  <c r="I716" i="14"/>
  <c r="I717" i="14"/>
  <c r="I719" i="14"/>
  <c r="I720" i="14"/>
  <c r="I731" i="14"/>
  <c r="I733" i="14"/>
  <c r="I735" i="14"/>
  <c r="I737" i="14"/>
  <c r="I739" i="14"/>
  <c r="I740" i="14"/>
  <c r="I742" i="14"/>
  <c r="I744" i="14"/>
  <c r="I745" i="14"/>
  <c r="I748" i="14"/>
  <c r="I750" i="14"/>
  <c r="I756" i="14"/>
  <c r="I761" i="14"/>
  <c r="I765" i="14"/>
  <c r="I767" i="14"/>
  <c r="I768" i="14"/>
  <c r="I769" i="14"/>
  <c r="I772" i="14"/>
  <c r="I776" i="14"/>
  <c r="I780" i="14"/>
  <c r="I785" i="14"/>
  <c r="I786" i="14"/>
  <c r="I790" i="14"/>
  <c r="I791" i="14"/>
  <c r="I797" i="14"/>
  <c r="I801" i="14"/>
  <c r="I805" i="14"/>
  <c r="I808" i="14"/>
  <c r="I811" i="14"/>
  <c r="I818" i="14"/>
  <c r="I822" i="14"/>
  <c r="I826" i="14"/>
  <c r="I828" i="14"/>
  <c r="I838" i="14"/>
  <c r="I848" i="14"/>
  <c r="I850" i="14"/>
  <c r="I867" i="14"/>
  <c r="I869" i="14"/>
  <c r="I871" i="14"/>
  <c r="I876" i="14"/>
  <c r="I882" i="14"/>
  <c r="I884" i="14"/>
  <c r="I886" i="14"/>
  <c r="I888" i="14"/>
  <c r="I890" i="14"/>
  <c r="I897" i="14"/>
  <c r="I899" i="14"/>
  <c r="I903" i="14"/>
  <c r="I909" i="14"/>
  <c r="I913" i="14"/>
  <c r="I923" i="14"/>
  <c r="I925" i="14"/>
  <c r="I926" i="14"/>
  <c r="I928" i="14"/>
  <c r="I930" i="14"/>
  <c r="I932" i="14"/>
  <c r="I939" i="14"/>
  <c r="I943" i="14"/>
  <c r="I945" i="14"/>
  <c r="I947" i="14"/>
  <c r="I954" i="14"/>
  <c r="I957" i="14"/>
  <c r="I961" i="14"/>
  <c r="I967" i="14"/>
  <c r="I971" i="14"/>
  <c r="I975" i="14"/>
  <c r="I976" i="14"/>
  <c r="I977" i="14"/>
  <c r="I979" i="14"/>
  <c r="I980" i="14"/>
  <c r="I981" i="14"/>
  <c r="I983" i="14"/>
  <c r="I984" i="14"/>
  <c r="I986" i="14"/>
  <c r="I987" i="14"/>
  <c r="I992" i="14"/>
  <c r="I997" i="14"/>
  <c r="I1001" i="14"/>
  <c r="I1005" i="14"/>
  <c r="I1009" i="14"/>
  <c r="I1013" i="14"/>
  <c r="I1020" i="14"/>
  <c r="I1024" i="14"/>
  <c r="I1032" i="14"/>
  <c r="I1037" i="14"/>
  <c r="I1039" i="14"/>
  <c r="I1044" i="14"/>
  <c r="I1046" i="14"/>
  <c r="I1049" i="14"/>
  <c r="I1053" i="14"/>
  <c r="I1063" i="14"/>
  <c r="I1067" i="14"/>
  <c r="I1070" i="14"/>
  <c r="I1073" i="14"/>
  <c r="I1076" i="14"/>
  <c r="I1085" i="14"/>
  <c r="I1092" i="14"/>
  <c r="I1094" i="14"/>
  <c r="I1096" i="14"/>
  <c r="I1098" i="14"/>
  <c r="I1102" i="14"/>
  <c r="I1103" i="14"/>
  <c r="I1105" i="14"/>
  <c r="I1109" i="14"/>
  <c r="I1112" i="14"/>
  <c r="I1113" i="14"/>
  <c r="I1118" i="14"/>
  <c r="I1120" i="14"/>
  <c r="I1123" i="14"/>
  <c r="I1127" i="14"/>
  <c r="I1131" i="14"/>
  <c r="I1136" i="14"/>
  <c r="I1141" i="14"/>
  <c r="I1145" i="14"/>
  <c r="I1148" i="14"/>
  <c r="I1149" i="14"/>
  <c r="I1155" i="14"/>
  <c r="I1156" i="14"/>
  <c r="I1157" i="14"/>
  <c r="I1159" i="14"/>
  <c r="I1165" i="14"/>
  <c r="I1169" i="14"/>
  <c r="I1175" i="14"/>
  <c r="I1181" i="14"/>
  <c r="I1187" i="14"/>
  <c r="I1189" i="14"/>
  <c r="I1194" i="14"/>
  <c r="I1199" i="14"/>
  <c r="I1202" i="14"/>
  <c r="I1208" i="14"/>
  <c r="I1213" i="14"/>
  <c r="I1214" i="14"/>
  <c r="I1216" i="14"/>
  <c r="I1218" i="14"/>
  <c r="I1220" i="14"/>
  <c r="I1221" i="14"/>
  <c r="I853" i="14" l="1"/>
  <c r="H852" i="14"/>
  <c r="H289" i="14"/>
  <c r="I87" i="14"/>
  <c r="D44" i="3"/>
  <c r="D43" i="3"/>
  <c r="D42" i="3"/>
  <c r="I289" i="14" l="1"/>
  <c r="I852" i="14"/>
  <c r="I851" i="14" s="1"/>
  <c r="H851" i="14"/>
  <c r="H985" i="14"/>
  <c r="I985" i="14" s="1"/>
  <c r="A985" i="14"/>
  <c r="A986" i="14"/>
  <c r="A987" i="14"/>
  <c r="H946" i="14"/>
  <c r="A946" i="14"/>
  <c r="A947" i="14"/>
  <c r="H944" i="14"/>
  <c r="I944" i="14" s="1"/>
  <c r="A944" i="14"/>
  <c r="A945" i="14"/>
  <c r="H924" i="14"/>
  <c r="A925" i="14"/>
  <c r="H837" i="14"/>
  <c r="A834" i="14"/>
  <c r="A835" i="14"/>
  <c r="A836" i="14"/>
  <c r="A837" i="14"/>
  <c r="A838" i="14"/>
  <c r="H299" i="14"/>
  <c r="A297" i="14"/>
  <c r="A298" i="14"/>
  <c r="A299" i="14"/>
  <c r="A300" i="14"/>
  <c r="H479" i="14"/>
  <c r="I479" i="14" s="1"/>
  <c r="A479" i="14"/>
  <c r="A480" i="14"/>
  <c r="A454" i="14"/>
  <c r="A455" i="14"/>
  <c r="H454" i="14"/>
  <c r="I454" i="14" s="1"/>
  <c r="A1052" i="14"/>
  <c r="A1051" i="14"/>
  <c r="A1050" i="14"/>
  <c r="A1049" i="14"/>
  <c r="A1048" i="14"/>
  <c r="A1047" i="14"/>
  <c r="A1046" i="14"/>
  <c r="H1052" i="14"/>
  <c r="H1051" i="14" s="1"/>
  <c r="H1050" i="14" s="1"/>
  <c r="A320" i="14"/>
  <c r="A193" i="14"/>
  <c r="B111" i="16"/>
  <c r="D111" i="16"/>
  <c r="I924" i="14" l="1"/>
  <c r="I946" i="14"/>
  <c r="H836" i="14"/>
  <c r="I837" i="14"/>
  <c r="I1052" i="14"/>
  <c r="H298" i="14"/>
  <c r="I299" i="14"/>
  <c r="H397" i="14"/>
  <c r="I397" i="14" s="1"/>
  <c r="A248" i="14"/>
  <c r="A249" i="14"/>
  <c r="A221" i="14"/>
  <c r="A219" i="14"/>
  <c r="A220" i="14"/>
  <c r="H221" i="14"/>
  <c r="A222" i="14"/>
  <c r="D26" i="47"/>
  <c r="E25" i="47"/>
  <c r="E26" i="47" s="1"/>
  <c r="H297" i="14" l="1"/>
  <c r="I297" i="14" s="1"/>
  <c r="I298" i="14"/>
  <c r="H835" i="14"/>
  <c r="I836" i="14"/>
  <c r="H220" i="14"/>
  <c r="I220" i="14" s="1"/>
  <c r="I221" i="14"/>
  <c r="I1050" i="14"/>
  <c r="I1051" i="14"/>
  <c r="E15" i="47"/>
  <c r="E14" i="47"/>
  <c r="E13" i="47"/>
  <c r="E11" i="47"/>
  <c r="E12" i="47"/>
  <c r="H215" i="14"/>
  <c r="I215" i="14" s="1"/>
  <c r="A216" i="14"/>
  <c r="A215" i="14"/>
  <c r="H211" i="14"/>
  <c r="I211" i="14" s="1"/>
  <c r="A211" i="14"/>
  <c r="A212" i="14"/>
  <c r="H209" i="14"/>
  <c r="A209"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7" i="14"/>
  <c r="A178" i="14"/>
  <c r="A181" i="14"/>
  <c r="A183" i="14"/>
  <c r="A184" i="14"/>
  <c r="A185" i="14"/>
  <c r="A194" i="14"/>
  <c r="A195" i="14"/>
  <c r="A196" i="14"/>
  <c r="A208" i="14"/>
  <c r="A210" i="14"/>
  <c r="I209" i="14" l="1"/>
  <c r="H208" i="14"/>
  <c r="I208" i="14" s="1"/>
  <c r="H834" i="14"/>
  <c r="I835" i="14"/>
  <c r="E16" i="47"/>
  <c r="H195" i="14"/>
  <c r="H194" i="14" s="1"/>
  <c r="I181" i="14"/>
  <c r="H184" i="14"/>
  <c r="I184" i="14" s="1"/>
  <c r="H165" i="14"/>
  <c r="I165" i="14" s="1"/>
  <c r="H173" i="14"/>
  <c r="I173" i="14" s="1"/>
  <c r="H163" i="14"/>
  <c r="I163" i="14" s="1"/>
  <c r="H171" i="14"/>
  <c r="H226" i="14"/>
  <c r="I226" i="14" s="1"/>
  <c r="I195" i="14" l="1"/>
  <c r="I171" i="14"/>
  <c r="D45" i="3"/>
  <c r="I834" i="14"/>
  <c r="E45" i="3" s="1"/>
  <c r="I194" i="14"/>
  <c r="A226" i="14"/>
  <c r="A227" i="14"/>
  <c r="H1048" i="14"/>
  <c r="I1048" i="14" s="1"/>
  <c r="H1045" i="14"/>
  <c r="I1045" i="14" s="1"/>
  <c r="A1045" i="14"/>
  <c r="H155" i="14"/>
  <c r="I155" i="14" s="1"/>
  <c r="H193" i="14" l="1"/>
  <c r="I193" i="14" s="1"/>
  <c r="H1047" i="14"/>
  <c r="I1047" i="14" s="1"/>
  <c r="H154" i="14"/>
  <c r="I154" i="14" s="1"/>
  <c r="F111" i="16" l="1"/>
  <c r="E111" i="16"/>
  <c r="H153" i="14"/>
  <c r="I153" i="14" s="1"/>
  <c r="D119" i="16" l="1"/>
  <c r="B119" i="16"/>
  <c r="H358" i="14"/>
  <c r="I358" i="14" s="1"/>
  <c r="A358" i="14"/>
  <c r="A359" i="14"/>
  <c r="H371" i="14"/>
  <c r="I371" i="14" s="1"/>
  <c r="A371" i="14"/>
  <c r="A372" i="14"/>
  <c r="L74" i="1"/>
  <c r="K45" i="1"/>
  <c r="L49" i="1"/>
  <c r="H131" i="14"/>
  <c r="A129" i="14"/>
  <c r="A130" i="14"/>
  <c r="A131" i="14"/>
  <c r="A132" i="14"/>
  <c r="H121" i="14"/>
  <c r="I121" i="14" s="1"/>
  <c r="A121" i="14"/>
  <c r="A122" i="14"/>
  <c r="H93" i="14"/>
  <c r="I93" i="14" s="1"/>
  <c r="A93" i="14"/>
  <c r="A94" i="14"/>
  <c r="I95" i="14"/>
  <c r="A95" i="14"/>
  <c r="A97" i="14"/>
  <c r="H18" i="14"/>
  <c r="A16" i="14"/>
  <c r="A17" i="14"/>
  <c r="A18" i="14"/>
  <c r="A19" i="14"/>
  <c r="H130" i="14" l="1"/>
  <c r="I131" i="14"/>
  <c r="H17" i="14"/>
  <c r="I18" i="14"/>
  <c r="L50" i="15"/>
  <c r="I50" i="15"/>
  <c r="K49" i="15"/>
  <c r="L49" i="15" s="1"/>
  <c r="H49" i="15"/>
  <c r="I49" i="15" s="1"/>
  <c r="A49" i="15"/>
  <c r="A50" i="15"/>
  <c r="K407" i="15"/>
  <c r="H407" i="15"/>
  <c r="A407" i="15"/>
  <c r="A408" i="15"/>
  <c r="A1128" i="14"/>
  <c r="A1129" i="14"/>
  <c r="A1130" i="14"/>
  <c r="A1131" i="14"/>
  <c r="A1132" i="14"/>
  <c r="A1135" i="14"/>
  <c r="A1136" i="14"/>
  <c r="H1130" i="14"/>
  <c r="I1130" i="14" s="1"/>
  <c r="H1135" i="14"/>
  <c r="H1104" i="14"/>
  <c r="I1104" i="14" s="1"/>
  <c r="A1104" i="14"/>
  <c r="A1105" i="14"/>
  <c r="I1095" i="14"/>
  <c r="H1097" i="14"/>
  <c r="I1097" i="14" s="1"/>
  <c r="A1096" i="14"/>
  <c r="A1097" i="14"/>
  <c r="A1093" i="14"/>
  <c r="A1094" i="14"/>
  <c r="A1095" i="14"/>
  <c r="A1098" i="14"/>
  <c r="H1093" i="14"/>
  <c r="I1093" i="14" s="1"/>
  <c r="A1113" i="14"/>
  <c r="I1111" i="14"/>
  <c r="D15" i="56"/>
  <c r="D16" i="56"/>
  <c r="D17" i="56"/>
  <c r="D14" i="56"/>
  <c r="I1135" i="14" l="1"/>
  <c r="H1132" i="14"/>
  <c r="I1132" i="14" s="1"/>
  <c r="H129" i="14"/>
  <c r="I130" i="14"/>
  <c r="H16" i="14"/>
  <c r="I16" i="14" s="1"/>
  <c r="I17" i="14"/>
  <c r="D18" i="56"/>
  <c r="D30" i="56" s="1"/>
  <c r="H1129" i="14"/>
  <c r="I1129" i="14" s="1"/>
  <c r="H1066" i="14"/>
  <c r="H1069" i="14"/>
  <c r="I1069" i="14" s="1"/>
  <c r="H1072" i="14"/>
  <c r="H1075" i="14"/>
  <c r="I1075" i="14" s="1"/>
  <c r="A1064" i="14"/>
  <c r="A1065" i="14"/>
  <c r="A1066" i="14"/>
  <c r="A1067" i="14"/>
  <c r="A1068" i="14"/>
  <c r="A1069" i="14"/>
  <c r="A1070" i="14"/>
  <c r="A1071" i="14"/>
  <c r="A1072" i="14"/>
  <c r="A1073" i="14"/>
  <c r="A1074" i="14"/>
  <c r="A1075" i="14"/>
  <c r="A1076" i="14"/>
  <c r="A1058" i="14"/>
  <c r="A1059" i="14"/>
  <c r="A1060" i="14"/>
  <c r="A1061" i="14"/>
  <c r="A1062" i="14"/>
  <c r="A1063" i="14"/>
  <c r="H1062" i="14"/>
  <c r="I1062" i="14" s="1"/>
  <c r="H847" i="14"/>
  <c r="I847" i="14" s="1"/>
  <c r="H849" i="14"/>
  <c r="I849" i="14" s="1"/>
  <c r="A844" i="14"/>
  <c r="A845" i="14"/>
  <c r="A846" i="14"/>
  <c r="A847" i="14"/>
  <c r="A848" i="14"/>
  <c r="A849" i="14"/>
  <c r="A850" i="14"/>
  <c r="A274" i="14"/>
  <c r="A275" i="14"/>
  <c r="A276" i="14"/>
  <c r="A277" i="14"/>
  <c r="H276" i="14"/>
  <c r="H275" i="14" s="1"/>
  <c r="A252" i="14"/>
  <c r="A253" i="14"/>
  <c r="A256" i="14"/>
  <c r="A257" i="14"/>
  <c r="A258" i="14"/>
  <c r="A259" i="14"/>
  <c r="A260" i="14"/>
  <c r="A261" i="14"/>
  <c r="A262" i="14"/>
  <c r="A263" i="14"/>
  <c r="H256" i="14"/>
  <c r="H258" i="14"/>
  <c r="I258" i="14" s="1"/>
  <c r="H260" i="14"/>
  <c r="I260" i="14" s="1"/>
  <c r="H262" i="14"/>
  <c r="I262" i="14" s="1"/>
  <c r="H248" i="14"/>
  <c r="I248" i="14" s="1"/>
  <c r="I250" i="14"/>
  <c r="A244" i="14"/>
  <c r="A245" i="14"/>
  <c r="A246" i="14"/>
  <c r="A247" i="14"/>
  <c r="A250" i="14"/>
  <c r="A251" i="14"/>
  <c r="K288" i="15"/>
  <c r="L288" i="15" s="1"/>
  <c r="H288" i="15"/>
  <c r="I288" i="15" s="1"/>
  <c r="A288" i="15"/>
  <c r="A289" i="15"/>
  <c r="A290" i="15"/>
  <c r="K277" i="15"/>
  <c r="L277" i="15" s="1"/>
  <c r="H277" i="15"/>
  <c r="I277" i="15" s="1"/>
  <c r="K275" i="15"/>
  <c r="L275" i="15" s="1"/>
  <c r="H275" i="15"/>
  <c r="I275" i="15" s="1"/>
  <c r="A277" i="15"/>
  <c r="A278" i="15"/>
  <c r="K272" i="15"/>
  <c r="L272" i="15" s="1"/>
  <c r="H272" i="15"/>
  <c r="I272" i="15" s="1"/>
  <c r="A272" i="15"/>
  <c r="A273" i="15"/>
  <c r="A274" i="15"/>
  <c r="H266" i="15"/>
  <c r="I266" i="15" s="1"/>
  <c r="K266" i="15"/>
  <c r="L266" i="15" s="1"/>
  <c r="A263" i="15"/>
  <c r="A264" i="15"/>
  <c r="A265" i="15"/>
  <c r="A266" i="15"/>
  <c r="A267" i="15"/>
  <c r="A268" i="15"/>
  <c r="K257" i="15"/>
  <c r="L257" i="15" s="1"/>
  <c r="H257" i="15"/>
  <c r="I257" i="15" s="1"/>
  <c r="A257" i="15"/>
  <c r="A258" i="15"/>
  <c r="A259" i="15"/>
  <c r="K251" i="15"/>
  <c r="L251" i="15" s="1"/>
  <c r="H251" i="15"/>
  <c r="I251" i="15" s="1"/>
  <c r="A251" i="15"/>
  <c r="A252" i="15"/>
  <c r="A253" i="15"/>
  <c r="K245" i="15"/>
  <c r="L245" i="15" s="1"/>
  <c r="H245" i="15"/>
  <c r="I245" i="15" s="1"/>
  <c r="K242" i="15"/>
  <c r="A245" i="15"/>
  <c r="A246" i="15"/>
  <c r="A247" i="15"/>
  <c r="A139" i="14"/>
  <c r="A140" i="14"/>
  <c r="H139" i="14"/>
  <c r="I139" i="14" s="1"/>
  <c r="H1031" i="14"/>
  <c r="A1031" i="14"/>
  <c r="A1032" i="14"/>
  <c r="H143" i="14"/>
  <c r="I143" i="14" s="1"/>
  <c r="A143" i="14"/>
  <c r="H710" i="14"/>
  <c r="I710" i="14" s="1"/>
  <c r="A710" i="14"/>
  <c r="A711" i="14"/>
  <c r="H718" i="14"/>
  <c r="I718" i="14" s="1"/>
  <c r="A718" i="14"/>
  <c r="A719" i="14"/>
  <c r="A720" i="14"/>
  <c r="H703" i="14"/>
  <c r="I703" i="14" s="1"/>
  <c r="A703" i="14"/>
  <c r="A704" i="14"/>
  <c r="A705" i="14"/>
  <c r="H676" i="14"/>
  <c r="I676" i="14" s="1"/>
  <c r="H682" i="14"/>
  <c r="I682" i="14" s="1"/>
  <c r="H688" i="14"/>
  <c r="I688" i="14" s="1"/>
  <c r="H694" i="14"/>
  <c r="I694" i="14" s="1"/>
  <c r="A694" i="14"/>
  <c r="A695" i="14"/>
  <c r="A696" i="14"/>
  <c r="A688" i="14"/>
  <c r="A689" i="14"/>
  <c r="A690" i="14"/>
  <c r="A682" i="14"/>
  <c r="A683" i="14"/>
  <c r="A684" i="14"/>
  <c r="A676" i="14"/>
  <c r="A675" i="14"/>
  <c r="A677" i="14"/>
  <c r="A678" i="14"/>
  <c r="A321" i="14"/>
  <c r="A322" i="14"/>
  <c r="A323" i="14"/>
  <c r="A324" i="14"/>
  <c r="H323" i="14"/>
  <c r="A319" i="14"/>
  <c r="A235" i="14"/>
  <c r="A234" i="14"/>
  <c r="H234" i="14"/>
  <c r="H229" i="14" s="1"/>
  <c r="K30" i="1"/>
  <c r="L151" i="1"/>
  <c r="L157" i="1"/>
  <c r="L142" i="1"/>
  <c r="L141" i="1"/>
  <c r="L130" i="1"/>
  <c r="L71" i="1"/>
  <c r="L112" i="1"/>
  <c r="L70" i="1"/>
  <c r="L155" i="1"/>
  <c r="L154" i="1"/>
  <c r="L150" i="1"/>
  <c r="L149" i="1"/>
  <c r="L146" i="1"/>
  <c r="L145" i="1"/>
  <c r="L143" i="1"/>
  <c r="L123" i="1"/>
  <c r="L52" i="1"/>
  <c r="H110" i="15"/>
  <c r="K110" i="15"/>
  <c r="L112" i="15"/>
  <c r="I112" i="15"/>
  <c r="A112" i="15"/>
  <c r="A399" i="14"/>
  <c r="K103" i="15"/>
  <c r="A105" i="15"/>
  <c r="L105" i="15"/>
  <c r="H103" i="15"/>
  <c r="I105" i="15"/>
  <c r="I323" i="14" l="1"/>
  <c r="H322" i="14"/>
  <c r="I322" i="14" s="1"/>
  <c r="I1031" i="14"/>
  <c r="H1030" i="14"/>
  <c r="H253" i="14"/>
  <c r="I253" i="14" s="1"/>
  <c r="H274" i="14"/>
  <c r="I256" i="14"/>
  <c r="I234" i="14"/>
  <c r="I276" i="14"/>
  <c r="D41" i="3"/>
  <c r="I129" i="14"/>
  <c r="E41" i="3" s="1"/>
  <c r="H1071" i="14"/>
  <c r="I1071" i="14" s="1"/>
  <c r="I1072" i="14"/>
  <c r="H1065" i="14"/>
  <c r="I1065" i="14" s="1"/>
  <c r="I1066" i="14"/>
  <c r="H846" i="14"/>
  <c r="I846" i="14" s="1"/>
  <c r="H1128" i="14"/>
  <c r="I1128" i="14" s="1"/>
  <c r="H1061" i="14"/>
  <c r="I1061" i="14" s="1"/>
  <c r="H1074" i="14"/>
  <c r="I1074" i="14" s="1"/>
  <c r="H1068" i="14"/>
  <c r="I1068" i="14" s="1"/>
  <c r="H247" i="14"/>
  <c r="I247" i="14" s="1"/>
  <c r="I229" i="14"/>
  <c r="H387" i="14"/>
  <c r="A389" i="14"/>
  <c r="A390" i="14"/>
  <c r="M34" i="2"/>
  <c r="J34" i="2"/>
  <c r="I275" i="14" l="1"/>
  <c r="I387" i="14"/>
  <c r="H1060" i="14"/>
  <c r="I1060" i="14" s="1"/>
  <c r="H845" i="14"/>
  <c r="F119" i="16"/>
  <c r="E119" i="16"/>
  <c r="I274" i="14"/>
  <c r="F139" i="16" s="1"/>
  <c r="H1064" i="14"/>
  <c r="I1064" i="14" s="1"/>
  <c r="H252" i="14"/>
  <c r="I252" i="14" s="1"/>
  <c r="H246" i="14"/>
  <c r="H321" i="14"/>
  <c r="H149" i="14"/>
  <c r="I149" i="14" s="1"/>
  <c r="L138" i="15"/>
  <c r="L137" i="15" s="1"/>
  <c r="L136" i="15" s="1"/>
  <c r="L135" i="15" s="1"/>
  <c r="L134" i="15" s="1"/>
  <c r="L133" i="15" s="1"/>
  <c r="H76" i="4" s="1"/>
  <c r="I138" i="15"/>
  <c r="I137" i="15" s="1"/>
  <c r="I136" i="15" s="1"/>
  <c r="I135" i="15" s="1"/>
  <c r="I134" i="15" s="1"/>
  <c r="I133" i="15" s="1"/>
  <c r="E76" i="4" s="1"/>
  <c r="H137" i="15"/>
  <c r="H136" i="15" s="1"/>
  <c r="H135" i="15" s="1"/>
  <c r="H134" i="15" s="1"/>
  <c r="H133" i="15" s="1"/>
  <c r="D76" i="4" s="1"/>
  <c r="F76" i="4"/>
  <c r="K137" i="15"/>
  <c r="K136" i="15" s="1"/>
  <c r="K135" i="15" s="1"/>
  <c r="K134" i="15" s="1"/>
  <c r="K133" i="15" s="1"/>
  <c r="G76" i="4" s="1"/>
  <c r="A138" i="15"/>
  <c r="A133" i="15"/>
  <c r="A134" i="15"/>
  <c r="A135" i="15"/>
  <c r="A136" i="15"/>
  <c r="A137" i="15"/>
  <c r="E75" i="3"/>
  <c r="H468" i="14"/>
  <c r="A464" i="14"/>
  <c r="A465" i="14"/>
  <c r="A466" i="14"/>
  <c r="A467" i="14"/>
  <c r="A468" i="14"/>
  <c r="A469" i="14"/>
  <c r="C12" i="6"/>
  <c r="I246" i="14" l="1"/>
  <c r="H245" i="14"/>
  <c r="H244" i="14" s="1"/>
  <c r="I321" i="14"/>
  <c r="H320" i="14"/>
  <c r="H319" i="14" s="1"/>
  <c r="I845" i="14"/>
  <c r="H844" i="14"/>
  <c r="H467" i="14"/>
  <c r="I468" i="14"/>
  <c r="H1059" i="14"/>
  <c r="H1058" i="14" s="1"/>
  <c r="I319" i="14"/>
  <c r="C76" i="4"/>
  <c r="K55" i="2"/>
  <c r="M55" i="2"/>
  <c r="N55" i="2"/>
  <c r="J55" i="2"/>
  <c r="O94" i="2"/>
  <c r="L94" i="2"/>
  <c r="H387" i="15"/>
  <c r="K387" i="15"/>
  <c r="L389" i="15"/>
  <c r="L390" i="15"/>
  <c r="I389" i="15"/>
  <c r="I390" i="15"/>
  <c r="A389" i="15"/>
  <c r="A390" i="15"/>
  <c r="L385" i="15"/>
  <c r="L386" i="15"/>
  <c r="I385" i="15"/>
  <c r="I386" i="15"/>
  <c r="H383" i="15"/>
  <c r="K383" i="15"/>
  <c r="A385" i="15"/>
  <c r="A386" i="15"/>
  <c r="H462" i="15"/>
  <c r="K462" i="15"/>
  <c r="L465" i="15"/>
  <c r="I465" i="15"/>
  <c r="A465" i="15"/>
  <c r="L464" i="15"/>
  <c r="I464" i="15"/>
  <c r="A464" i="15"/>
  <c r="J49" i="2"/>
  <c r="O59" i="2"/>
  <c r="O60" i="2"/>
  <c r="O61" i="2"/>
  <c r="O62" i="2"/>
  <c r="L59" i="2"/>
  <c r="L60" i="2"/>
  <c r="L61" i="2"/>
  <c r="L62" i="2"/>
  <c r="L63" i="2"/>
  <c r="L64" i="2"/>
  <c r="H335" i="15"/>
  <c r="H334" i="15" s="1"/>
  <c r="H333" i="15" s="1"/>
  <c r="H332" i="15" s="1"/>
  <c r="K335" i="15"/>
  <c r="K334" i="15" s="1"/>
  <c r="K333" i="15" s="1"/>
  <c r="K332" i="15" s="1"/>
  <c r="L336" i="15"/>
  <c r="L335" i="15" s="1"/>
  <c r="L334" i="15" s="1"/>
  <c r="L333" i="15" s="1"/>
  <c r="L332" i="15" s="1"/>
  <c r="I336" i="15"/>
  <c r="I335" i="15" s="1"/>
  <c r="I334" i="15" s="1"/>
  <c r="I333" i="15" s="1"/>
  <c r="I332" i="15" s="1"/>
  <c r="L87" i="15"/>
  <c r="I844" i="14" l="1"/>
  <c r="H843" i="14"/>
  <c r="I843" i="14" s="1"/>
  <c r="I320" i="14"/>
  <c r="I245" i="14"/>
  <c r="H466" i="14"/>
  <c r="I467" i="14"/>
  <c r="I1058" i="14"/>
  <c r="I1059" i="14"/>
  <c r="I244" i="14"/>
  <c r="A335" i="15"/>
  <c r="A332" i="15"/>
  <c r="A333" i="15"/>
  <c r="A334" i="15"/>
  <c r="A336" i="15"/>
  <c r="H325" i="15"/>
  <c r="H324" i="15" s="1"/>
  <c r="H323" i="15" s="1"/>
  <c r="K325" i="15"/>
  <c r="K324" i="15" s="1"/>
  <c r="K323" i="15" s="1"/>
  <c r="L327" i="15"/>
  <c r="L328" i="15"/>
  <c r="I327" i="15"/>
  <c r="I328" i="15"/>
  <c r="A327" i="15"/>
  <c r="A328" i="15"/>
  <c r="H301" i="15"/>
  <c r="K301" i="15"/>
  <c r="L302" i="15"/>
  <c r="L301" i="15" s="1"/>
  <c r="I302" i="15"/>
  <c r="I301" i="15" s="1"/>
  <c r="A301" i="15"/>
  <c r="A302" i="15"/>
  <c r="L186" i="15"/>
  <c r="L185" i="15" s="1"/>
  <c r="L184" i="15" s="1"/>
  <c r="L183" i="15" s="1"/>
  <c r="L182" i="15" s="1"/>
  <c r="L181" i="15" s="1"/>
  <c r="I186" i="15"/>
  <c r="I185" i="15" s="1"/>
  <c r="I184" i="15" s="1"/>
  <c r="I183" i="15" s="1"/>
  <c r="I182" i="15" s="1"/>
  <c r="I181" i="15" s="1"/>
  <c r="H185" i="15"/>
  <c r="H184" i="15" s="1"/>
  <c r="H183" i="15" s="1"/>
  <c r="H182" i="15" s="1"/>
  <c r="H181" i="15" s="1"/>
  <c r="K185" i="15"/>
  <c r="K184" i="15" s="1"/>
  <c r="K183" i="15" s="1"/>
  <c r="K182" i="15" s="1"/>
  <c r="K181" i="15" s="1"/>
  <c r="A181" i="15"/>
  <c r="A182" i="15"/>
  <c r="A183" i="15"/>
  <c r="A184" i="15"/>
  <c r="A185" i="15"/>
  <c r="A186" i="15"/>
  <c r="L109" i="15"/>
  <c r="I109" i="15"/>
  <c r="H108" i="15"/>
  <c r="K108" i="15"/>
  <c r="A108" i="15"/>
  <c r="A109" i="15"/>
  <c r="L94" i="15"/>
  <c r="H166" i="15"/>
  <c r="H165" i="15" s="1"/>
  <c r="K166" i="15"/>
  <c r="K165" i="15" s="1"/>
  <c r="L167" i="15"/>
  <c r="L166" i="15" s="1"/>
  <c r="L165" i="15" s="1"/>
  <c r="I167" i="15"/>
  <c r="I166" i="15" s="1"/>
  <c r="I165" i="15" s="1"/>
  <c r="A165" i="15"/>
  <c r="A166" i="15"/>
  <c r="A167" i="15"/>
  <c r="H173" i="15"/>
  <c r="K173" i="15"/>
  <c r="L175" i="15"/>
  <c r="L176" i="15"/>
  <c r="I175" i="15"/>
  <c r="I176" i="15"/>
  <c r="A175" i="15"/>
  <c r="A176" i="15"/>
  <c r="L172" i="15"/>
  <c r="H169" i="15"/>
  <c r="K169" i="15"/>
  <c r="I172" i="15"/>
  <c r="A172" i="15"/>
  <c r="L171" i="15"/>
  <c r="I171" i="15"/>
  <c r="A171" i="15"/>
  <c r="L91" i="15"/>
  <c r="L92" i="15"/>
  <c r="H86" i="15"/>
  <c r="H85" i="15" s="1"/>
  <c r="H84" i="15" s="1"/>
  <c r="K86" i="15"/>
  <c r="K85" i="15" s="1"/>
  <c r="K84" i="15" s="1"/>
  <c r="L86" i="15"/>
  <c r="L85" i="15" s="1"/>
  <c r="L84" i="15" s="1"/>
  <c r="I87" i="15"/>
  <c r="I86" i="15" s="1"/>
  <c r="I85" i="15" s="1"/>
  <c r="I84" i="15" s="1"/>
  <c r="A84" i="15"/>
  <c r="A85" i="15"/>
  <c r="A86" i="15"/>
  <c r="A87" i="15"/>
  <c r="H89" i="15"/>
  <c r="K89" i="15"/>
  <c r="I91" i="15"/>
  <c r="I92" i="15"/>
  <c r="A92" i="15"/>
  <c r="I94" i="15"/>
  <c r="I93" i="15" s="1"/>
  <c r="H93" i="15"/>
  <c r="K93" i="15"/>
  <c r="A93" i="15"/>
  <c r="A94" i="15"/>
  <c r="A91" i="15"/>
  <c r="H34" i="15"/>
  <c r="K34" i="15"/>
  <c r="L32" i="15"/>
  <c r="L33" i="15"/>
  <c r="L35" i="15"/>
  <c r="L36" i="15"/>
  <c r="I35" i="15"/>
  <c r="I36" i="15"/>
  <c r="A34" i="15"/>
  <c r="A35" i="15"/>
  <c r="A36" i="15"/>
  <c r="L48" i="15"/>
  <c r="I48" i="15"/>
  <c r="L38" i="15"/>
  <c r="L39" i="15"/>
  <c r="I38" i="15"/>
  <c r="I39" i="15"/>
  <c r="H27" i="15"/>
  <c r="K27" i="15"/>
  <c r="I33" i="15"/>
  <c r="I32" i="15" s="1"/>
  <c r="H32" i="15"/>
  <c r="A32" i="15"/>
  <c r="A33" i="15"/>
  <c r="L24" i="15"/>
  <c r="I24" i="15"/>
  <c r="L31" i="15"/>
  <c r="A31" i="15"/>
  <c r="I31" i="15"/>
  <c r="L28" i="15"/>
  <c r="L29" i="15"/>
  <c r="L30" i="15"/>
  <c r="I28" i="15"/>
  <c r="I29" i="15"/>
  <c r="I30" i="15"/>
  <c r="A30" i="15"/>
  <c r="L19" i="15"/>
  <c r="L20" i="15"/>
  <c r="I19" i="15"/>
  <c r="I20" i="15"/>
  <c r="H17" i="15"/>
  <c r="H16" i="15" s="1"/>
  <c r="K17" i="15"/>
  <c r="K16" i="15" s="1"/>
  <c r="A20" i="15"/>
  <c r="H465" i="14" l="1"/>
  <c r="I466" i="14"/>
  <c r="L93" i="15"/>
  <c r="I108" i="15"/>
  <c r="L108" i="15"/>
  <c r="I27" i="15"/>
  <c r="L27" i="15"/>
  <c r="I34" i="15"/>
  <c r="L34" i="15"/>
  <c r="H151" i="14"/>
  <c r="I151" i="14" s="1"/>
  <c r="L439" i="15"/>
  <c r="L440" i="15"/>
  <c r="H464" i="14" l="1"/>
  <c r="I464" i="14" s="1"/>
  <c r="E76" i="3" s="1"/>
  <c r="I465" i="14"/>
  <c r="A439" i="15"/>
  <c r="A440" i="15"/>
  <c r="I439" i="15"/>
  <c r="I440" i="15"/>
  <c r="H137" i="14"/>
  <c r="H141" i="14"/>
  <c r="I141" i="14" s="1"/>
  <c r="A137" i="14"/>
  <c r="A138" i="14"/>
  <c r="A141" i="14"/>
  <c r="A142" i="14"/>
  <c r="I137" i="14" l="1"/>
  <c r="H136" i="14"/>
  <c r="H775" i="14"/>
  <c r="A773" i="14"/>
  <c r="A774" i="14"/>
  <c r="A775" i="14"/>
  <c r="A776" i="14"/>
  <c r="H779" i="14"/>
  <c r="A779" i="14"/>
  <c r="A780" i="14"/>
  <c r="A777" i="14"/>
  <c r="A778" i="14"/>
  <c r="H78" i="14"/>
  <c r="H75" i="14" s="1"/>
  <c r="A74" i="14"/>
  <c r="A75" i="14"/>
  <c r="A78" i="14"/>
  <c r="A79" i="14"/>
  <c r="H127" i="14"/>
  <c r="A126" i="14"/>
  <c r="A127" i="14"/>
  <c r="A128" i="14"/>
  <c r="H590" i="14"/>
  <c r="I590" i="14" s="1"/>
  <c r="A591" i="14"/>
  <c r="H578" i="14"/>
  <c r="A574" i="14"/>
  <c r="A575" i="14"/>
  <c r="A576" i="14"/>
  <c r="A577" i="14"/>
  <c r="A578" i="14"/>
  <c r="A579" i="14"/>
  <c r="H395" i="14"/>
  <c r="I395" i="14" s="1"/>
  <c r="A395" i="14"/>
  <c r="A396" i="14"/>
  <c r="H741" i="14"/>
  <c r="I741" i="14" s="1"/>
  <c r="A741" i="14"/>
  <c r="A742" i="14"/>
  <c r="H577" i="14" l="1"/>
  <c r="I578" i="14"/>
  <c r="H778" i="14"/>
  <c r="I779" i="14"/>
  <c r="I78" i="14"/>
  <c r="H774" i="14"/>
  <c r="I775" i="14"/>
  <c r="H126" i="14"/>
  <c r="I126" i="14" s="1"/>
  <c r="I127" i="14"/>
  <c r="A51" i="15"/>
  <c r="A52" i="15"/>
  <c r="A53" i="15"/>
  <c r="A54" i="15"/>
  <c r="A55" i="15"/>
  <c r="A56" i="15"/>
  <c r="A59" i="15"/>
  <c r="A60" i="15"/>
  <c r="A63" i="15"/>
  <c r="A64" i="15"/>
  <c r="I55" i="15"/>
  <c r="I64" i="15"/>
  <c r="I56" i="15"/>
  <c r="I54" i="15" l="1"/>
  <c r="H74" i="14"/>
  <c r="I74" i="14" s="1"/>
  <c r="I75" i="14"/>
  <c r="H576" i="14"/>
  <c r="I577" i="14"/>
  <c r="H773" i="14"/>
  <c r="I773" i="14" s="1"/>
  <c r="I774" i="14"/>
  <c r="H777" i="14"/>
  <c r="I777" i="14" s="1"/>
  <c r="I778" i="14"/>
  <c r="L55" i="15"/>
  <c r="I60" i="15"/>
  <c r="I59" i="15"/>
  <c r="L54" i="15"/>
  <c r="I63" i="15"/>
  <c r="A302" i="14"/>
  <c r="B143" i="16"/>
  <c r="B144" i="16"/>
  <c r="B139" i="16"/>
  <c r="B140" i="16"/>
  <c r="B141" i="16"/>
  <c r="B142" i="16"/>
  <c r="B135" i="16"/>
  <c r="B136" i="16"/>
  <c r="B137" i="16"/>
  <c r="B138" i="16"/>
  <c r="H632" i="14"/>
  <c r="A629" i="14"/>
  <c r="A630" i="14"/>
  <c r="A631" i="14"/>
  <c r="A632" i="14"/>
  <c r="A633" i="14"/>
  <c r="A559" i="14"/>
  <c r="A560" i="14"/>
  <c r="A562" i="14"/>
  <c r="A556" i="14"/>
  <c r="H459" i="14"/>
  <c r="A456" i="14"/>
  <c r="A457" i="14"/>
  <c r="A458" i="14"/>
  <c r="A459" i="14"/>
  <c r="A460" i="14"/>
  <c r="H391" i="14"/>
  <c r="I391" i="14" s="1"/>
  <c r="A391" i="14"/>
  <c r="A392" i="14"/>
  <c r="A809" i="14"/>
  <c r="A810" i="14"/>
  <c r="A811" i="14"/>
  <c r="H559" i="14" l="1"/>
  <c r="I559" i="14" s="1"/>
  <c r="I560" i="14"/>
  <c r="H458" i="14"/>
  <c r="H457" i="14" s="1"/>
  <c r="I459" i="14"/>
  <c r="H575" i="14"/>
  <c r="I576" i="14"/>
  <c r="H631" i="14"/>
  <c r="H630" i="14" s="1"/>
  <c r="H629" i="14" s="1"/>
  <c r="I632" i="14"/>
  <c r="I52" i="15"/>
  <c r="I53" i="15"/>
  <c r="L53" i="15"/>
  <c r="L52" i="15" s="1"/>
  <c r="L51" i="15" s="1"/>
  <c r="D135" i="16"/>
  <c r="E135" i="16"/>
  <c r="F135" i="16"/>
  <c r="D136" i="16"/>
  <c r="E136" i="16"/>
  <c r="F136" i="16"/>
  <c r="D137" i="16"/>
  <c r="E137" i="16"/>
  <c r="F137" i="16"/>
  <c r="D138" i="16"/>
  <c r="E138" i="16"/>
  <c r="F138" i="16"/>
  <c r="D139" i="16"/>
  <c r="E139" i="16"/>
  <c r="D140" i="16"/>
  <c r="E140" i="16"/>
  <c r="F140" i="16"/>
  <c r="D141" i="16"/>
  <c r="E141" i="16"/>
  <c r="F141" i="16"/>
  <c r="D142" i="16"/>
  <c r="E142" i="16"/>
  <c r="F142" i="16"/>
  <c r="H574" i="14" l="1"/>
  <c r="I574" i="14" s="1"/>
  <c r="I575" i="14"/>
  <c r="I631" i="14"/>
  <c r="I458" i="14"/>
  <c r="I51" i="15"/>
  <c r="A279" i="15"/>
  <c r="A280" i="15"/>
  <c r="H706" i="14"/>
  <c r="I706" i="14" s="1"/>
  <c r="H708" i="14"/>
  <c r="I708" i="14" s="1"/>
  <c r="A275" i="15"/>
  <c r="A276" i="15"/>
  <c r="A708" i="14"/>
  <c r="A709" i="14"/>
  <c r="A706" i="14"/>
  <c r="A707" i="14"/>
  <c r="A700" i="14"/>
  <c r="A702" i="14"/>
  <c r="H456" i="14" l="1"/>
  <c r="I456" i="14" s="1"/>
  <c r="I457" i="14"/>
  <c r="I629" i="14"/>
  <c r="I630" i="14"/>
  <c r="O89" i="2"/>
  <c r="L89" i="2"/>
  <c r="O86" i="2"/>
  <c r="L86" i="2"/>
  <c r="O83" i="2"/>
  <c r="L83" i="2"/>
  <c r="O82" i="2"/>
  <c r="L82" i="2"/>
  <c r="O84" i="2"/>
  <c r="L84" i="2"/>
  <c r="O81" i="2"/>
  <c r="L81" i="2"/>
  <c r="O80" i="2"/>
  <c r="L80" i="2"/>
  <c r="O75" i="2"/>
  <c r="L75" i="2"/>
  <c r="O70" i="2"/>
  <c r="L70" i="2"/>
  <c r="O69" i="2"/>
  <c r="L69" i="2"/>
  <c r="O68" i="2"/>
  <c r="L68" i="2"/>
  <c r="O67" i="2"/>
  <c r="L67" i="2"/>
  <c r="O66" i="2"/>
  <c r="L66" i="2"/>
  <c r="O65" i="2"/>
  <c r="L65" i="2"/>
  <c r="O58" i="2" l="1"/>
  <c r="L58" i="2"/>
  <c r="O57" i="2"/>
  <c r="L57" i="2"/>
  <c r="L75" i="1"/>
  <c r="L103" i="1"/>
  <c r="L113" i="1"/>
  <c r="L100" i="1"/>
  <c r="L99" i="1"/>
  <c r="L73" i="1" l="1"/>
  <c r="L101" i="1"/>
  <c r="H101" i="14" l="1"/>
  <c r="I101" i="14" s="1"/>
  <c r="A101" i="14" l="1"/>
  <c r="A102" i="14"/>
  <c r="H309" i="14"/>
  <c r="H304" i="14" s="1"/>
  <c r="A304" i="14"/>
  <c r="A309" i="14"/>
  <c r="I309" i="14" l="1"/>
  <c r="A91" i="14"/>
  <c r="H123" i="14"/>
  <c r="I123" i="14" s="1"/>
  <c r="H303" i="14" l="1"/>
  <c r="I304" i="14"/>
  <c r="H120" i="14"/>
  <c r="H119" i="14" l="1"/>
  <c r="I120" i="14"/>
  <c r="H302" i="14"/>
  <c r="I302" i="14" s="1"/>
  <c r="I303" i="14"/>
  <c r="H295" i="14"/>
  <c r="I295" i="14" s="1"/>
  <c r="D40" i="3" l="1"/>
  <c r="I119" i="14"/>
  <c r="A301" i="14"/>
  <c r="A303" i="14"/>
  <c r="A310" i="14"/>
  <c r="A233" i="14"/>
  <c r="H1147" i="14" l="1"/>
  <c r="A1150" i="14"/>
  <c r="I1147" i="14" l="1"/>
  <c r="A236" i="14"/>
  <c r="A237" i="14"/>
  <c r="A238" i="14"/>
  <c r="H177" i="14" l="1"/>
  <c r="H169" i="14"/>
  <c r="H168" i="14" s="1"/>
  <c r="H161" i="14"/>
  <c r="I161" i="14" s="1"/>
  <c r="I169" i="14" l="1"/>
  <c r="I177" i="14"/>
  <c r="H160" i="14"/>
  <c r="M27" i="2"/>
  <c r="A63" i="14"/>
  <c r="A65" i="14"/>
  <c r="A125" i="14"/>
  <c r="A123" i="14"/>
  <c r="A124" i="14"/>
  <c r="A119" i="14"/>
  <c r="A120" i="14"/>
  <c r="A50" i="14"/>
  <c r="A51" i="14"/>
  <c r="A52" i="14"/>
  <c r="H159" i="14" l="1"/>
  <c r="I159" i="14" s="1"/>
  <c r="I160" i="14"/>
  <c r="H167" i="14"/>
  <c r="I167" i="14" s="1"/>
  <c r="I168" i="14"/>
  <c r="H713" i="14"/>
  <c r="A713" i="14"/>
  <c r="A714" i="14"/>
  <c r="F21" i="4"/>
  <c r="G21" i="4"/>
  <c r="H14" i="4"/>
  <c r="H16" i="4"/>
  <c r="H17" i="4"/>
  <c r="H18" i="4"/>
  <c r="H19" i="4"/>
  <c r="H21" i="4"/>
  <c r="F14" i="4"/>
  <c r="F16" i="4"/>
  <c r="F17" i="4"/>
  <c r="F18" i="4"/>
  <c r="F19" i="4"/>
  <c r="E14" i="4"/>
  <c r="E16" i="4"/>
  <c r="E17" i="4"/>
  <c r="E18" i="4"/>
  <c r="E19" i="4"/>
  <c r="G14" i="4"/>
  <c r="G16" i="4"/>
  <c r="G17" i="4"/>
  <c r="G18" i="4"/>
  <c r="G19" i="4"/>
  <c r="H158" i="14" l="1"/>
  <c r="H157" i="14" s="1"/>
  <c r="I157" i="14" s="1"/>
  <c r="I713" i="14"/>
  <c r="E40" i="3"/>
  <c r="A66" i="14"/>
  <c r="A1190" i="14"/>
  <c r="A1191" i="14"/>
  <c r="A1192" i="14"/>
  <c r="A1193" i="14"/>
  <c r="A1194" i="14"/>
  <c r="H1193" i="14"/>
  <c r="H67" i="14"/>
  <c r="A67" i="14"/>
  <c r="A68" i="14"/>
  <c r="I158" i="14" l="1"/>
  <c r="H66" i="14"/>
  <c r="I66" i="14" s="1"/>
  <c r="I67" i="14"/>
  <c r="H1192" i="14"/>
  <c r="I1193" i="14"/>
  <c r="F10" i="4"/>
  <c r="G10" i="4"/>
  <c r="H10" i="4"/>
  <c r="F12" i="4"/>
  <c r="F24" i="4"/>
  <c r="G24" i="4"/>
  <c r="H24" i="4"/>
  <c r="F25" i="4"/>
  <c r="G25" i="4"/>
  <c r="H25" i="4"/>
  <c r="F27" i="4"/>
  <c r="G27" i="4"/>
  <c r="H27" i="4"/>
  <c r="F28" i="4"/>
  <c r="G28" i="4"/>
  <c r="H28" i="4"/>
  <c r="F29" i="4"/>
  <c r="G29" i="4"/>
  <c r="H29" i="4"/>
  <c r="F30" i="4"/>
  <c r="G30" i="4"/>
  <c r="H30" i="4"/>
  <c r="F31" i="4"/>
  <c r="G31" i="4"/>
  <c r="H31" i="4"/>
  <c r="F32" i="4"/>
  <c r="G32" i="4"/>
  <c r="H32" i="4"/>
  <c r="F34" i="4"/>
  <c r="G34" i="4"/>
  <c r="H34" i="4"/>
  <c r="F35" i="4"/>
  <c r="G35" i="4"/>
  <c r="H35" i="4"/>
  <c r="F36" i="4"/>
  <c r="G36" i="4"/>
  <c r="H36" i="4"/>
  <c r="F37" i="4"/>
  <c r="G37" i="4"/>
  <c r="H37" i="4"/>
  <c r="F38" i="4"/>
  <c r="G38" i="4"/>
  <c r="H38" i="4"/>
  <c r="F39" i="4"/>
  <c r="G39" i="4"/>
  <c r="H39" i="4"/>
  <c r="F40" i="4"/>
  <c r="G40" i="4"/>
  <c r="H40" i="4"/>
  <c r="F41" i="4"/>
  <c r="G41" i="4"/>
  <c r="H41" i="4"/>
  <c r="F42" i="4"/>
  <c r="G42" i="4"/>
  <c r="H42" i="4"/>
  <c r="F43" i="4"/>
  <c r="G43" i="4"/>
  <c r="H43" i="4"/>
  <c r="F44" i="4"/>
  <c r="G44" i="4"/>
  <c r="H44" i="4"/>
  <c r="F45" i="4"/>
  <c r="G45" i="4"/>
  <c r="H45" i="4"/>
  <c r="F47" i="4"/>
  <c r="G47" i="4"/>
  <c r="H47" i="4"/>
  <c r="F48" i="4"/>
  <c r="G48" i="4"/>
  <c r="H48" i="4"/>
  <c r="F49" i="4"/>
  <c r="G49" i="4"/>
  <c r="H49" i="4"/>
  <c r="F50" i="4"/>
  <c r="G50" i="4"/>
  <c r="H50" i="4"/>
  <c r="F52" i="4"/>
  <c r="G52" i="4"/>
  <c r="H52" i="4"/>
  <c r="F53" i="4"/>
  <c r="G53" i="4"/>
  <c r="H53" i="4"/>
  <c r="F56" i="4"/>
  <c r="G56" i="4"/>
  <c r="H56" i="4"/>
  <c r="F57" i="4"/>
  <c r="G57" i="4"/>
  <c r="H57" i="4"/>
  <c r="F58" i="4"/>
  <c r="G58" i="4"/>
  <c r="H58" i="4"/>
  <c r="F60" i="4"/>
  <c r="G60" i="4"/>
  <c r="H60" i="4"/>
  <c r="F62" i="4"/>
  <c r="G62" i="4"/>
  <c r="H62" i="4"/>
  <c r="F63" i="4"/>
  <c r="G63" i="4"/>
  <c r="H63" i="4"/>
  <c r="F66" i="4"/>
  <c r="G66" i="4"/>
  <c r="H66" i="4"/>
  <c r="F67" i="4"/>
  <c r="G67" i="4"/>
  <c r="H67" i="4"/>
  <c r="F68" i="4"/>
  <c r="G68" i="4"/>
  <c r="H68" i="4"/>
  <c r="F69" i="4"/>
  <c r="G69" i="4"/>
  <c r="H69" i="4"/>
  <c r="F70" i="4"/>
  <c r="G70" i="4"/>
  <c r="H70" i="4"/>
  <c r="F75" i="4"/>
  <c r="G75" i="4"/>
  <c r="H75" i="4"/>
  <c r="F77" i="4"/>
  <c r="G77" i="4"/>
  <c r="H77" i="4"/>
  <c r="F79" i="4"/>
  <c r="G79" i="4"/>
  <c r="H79" i="4"/>
  <c r="F83" i="4"/>
  <c r="G83" i="4"/>
  <c r="H83" i="4"/>
  <c r="F84" i="4"/>
  <c r="G84" i="4"/>
  <c r="H84" i="4"/>
  <c r="F87" i="4"/>
  <c r="G87" i="4"/>
  <c r="H87" i="4"/>
  <c r="F88" i="4"/>
  <c r="G88" i="4"/>
  <c r="H88" i="4"/>
  <c r="F89" i="4"/>
  <c r="G89" i="4"/>
  <c r="H89" i="4"/>
  <c r="F90" i="4"/>
  <c r="G90" i="4"/>
  <c r="H90" i="4"/>
  <c r="F91" i="4"/>
  <c r="G91" i="4"/>
  <c r="H91" i="4"/>
  <c r="F92" i="4"/>
  <c r="G92" i="4"/>
  <c r="H92" i="4"/>
  <c r="F93" i="4"/>
  <c r="G93" i="4"/>
  <c r="H93" i="4"/>
  <c r="F94" i="4"/>
  <c r="G94" i="4"/>
  <c r="H94" i="4"/>
  <c r="F95" i="4"/>
  <c r="G95" i="4"/>
  <c r="H95" i="4"/>
  <c r="F101" i="4"/>
  <c r="G101" i="4"/>
  <c r="H101" i="4"/>
  <c r="F104" i="4"/>
  <c r="G104" i="4"/>
  <c r="H104" i="4"/>
  <c r="F106" i="4"/>
  <c r="G106" i="4"/>
  <c r="H106" i="4"/>
  <c r="F107" i="4"/>
  <c r="G107" i="4"/>
  <c r="H107" i="4"/>
  <c r="F108" i="4"/>
  <c r="G108" i="4"/>
  <c r="H108" i="4"/>
  <c r="F110" i="4"/>
  <c r="G110" i="4"/>
  <c r="H110" i="4"/>
  <c r="F112" i="4"/>
  <c r="G112" i="4"/>
  <c r="H112" i="4"/>
  <c r="F113" i="4"/>
  <c r="G113" i="4"/>
  <c r="H113" i="4"/>
  <c r="F116" i="4"/>
  <c r="G116" i="4"/>
  <c r="H116" i="4"/>
  <c r="F119" i="4"/>
  <c r="G119" i="4"/>
  <c r="H119" i="4"/>
  <c r="F120" i="4"/>
  <c r="G120" i="4"/>
  <c r="H120" i="4"/>
  <c r="C21" i="4"/>
  <c r="C19" i="4"/>
  <c r="C18" i="4"/>
  <c r="C17" i="4"/>
  <c r="C16" i="4"/>
  <c r="C14" i="4"/>
  <c r="C12" i="4"/>
  <c r="C10" i="4"/>
  <c r="E21" i="4"/>
  <c r="E12" i="4"/>
  <c r="E10" i="4"/>
  <c r="D10" i="4"/>
  <c r="D21" i="4"/>
  <c r="D19" i="4"/>
  <c r="D18" i="4"/>
  <c r="D17" i="4"/>
  <c r="D16" i="4"/>
  <c r="D14" i="4"/>
  <c r="D12" i="4"/>
  <c r="D120" i="4"/>
  <c r="E120" i="4"/>
  <c r="D119" i="4"/>
  <c r="E119" i="4"/>
  <c r="D116" i="4"/>
  <c r="E116" i="4"/>
  <c r="D113" i="4"/>
  <c r="E113" i="4"/>
  <c r="D112" i="4"/>
  <c r="E112" i="4"/>
  <c r="D110" i="4"/>
  <c r="E110" i="4"/>
  <c r="D108" i="4"/>
  <c r="E108" i="4"/>
  <c r="D107" i="4"/>
  <c r="E107" i="4"/>
  <c r="D106" i="4"/>
  <c r="E106" i="4"/>
  <c r="D104" i="4"/>
  <c r="E104" i="4"/>
  <c r="D101" i="4"/>
  <c r="E101" i="4"/>
  <c r="D95" i="4"/>
  <c r="E95" i="4"/>
  <c r="D94" i="4"/>
  <c r="E94" i="4"/>
  <c r="D93" i="4"/>
  <c r="E93" i="4"/>
  <c r="D92" i="4"/>
  <c r="E92" i="4"/>
  <c r="D91" i="4"/>
  <c r="E91" i="4"/>
  <c r="D90" i="4"/>
  <c r="E90" i="4"/>
  <c r="D89" i="4"/>
  <c r="E89" i="4"/>
  <c r="D88" i="4"/>
  <c r="E88" i="4"/>
  <c r="D87" i="4"/>
  <c r="E87" i="4"/>
  <c r="D84" i="4"/>
  <c r="E84" i="4"/>
  <c r="D83" i="4"/>
  <c r="E83" i="4"/>
  <c r="D79" i="4"/>
  <c r="E79" i="4"/>
  <c r="D77" i="4"/>
  <c r="E77" i="4"/>
  <c r="D75" i="4"/>
  <c r="E75" i="4"/>
  <c r="D70" i="4"/>
  <c r="E70" i="4"/>
  <c r="D69" i="4"/>
  <c r="E69" i="4"/>
  <c r="D68" i="4"/>
  <c r="E68" i="4"/>
  <c r="D67" i="4"/>
  <c r="E67" i="4"/>
  <c r="D66" i="4"/>
  <c r="E66" i="4"/>
  <c r="D63" i="4"/>
  <c r="E63" i="4"/>
  <c r="D62" i="4"/>
  <c r="E62" i="4"/>
  <c r="D60" i="4"/>
  <c r="E60" i="4"/>
  <c r="D58" i="4"/>
  <c r="E58" i="4"/>
  <c r="D57" i="4"/>
  <c r="E57" i="4"/>
  <c r="D56" i="4"/>
  <c r="E56" i="4"/>
  <c r="D53" i="4"/>
  <c r="E53" i="4"/>
  <c r="D52" i="4"/>
  <c r="E52" i="4"/>
  <c r="D50" i="4"/>
  <c r="E50" i="4"/>
  <c r="D49" i="4"/>
  <c r="E49" i="4"/>
  <c r="D48" i="4"/>
  <c r="E48" i="4"/>
  <c r="D47" i="4"/>
  <c r="E47" i="4"/>
  <c r="D45" i="4"/>
  <c r="E45" i="4"/>
  <c r="D44" i="4"/>
  <c r="E44" i="4"/>
  <c r="D43" i="4"/>
  <c r="E43" i="4"/>
  <c r="D42" i="4"/>
  <c r="E42" i="4"/>
  <c r="D41" i="4"/>
  <c r="E41" i="4"/>
  <c r="D40" i="4"/>
  <c r="E40" i="4"/>
  <c r="D39" i="4"/>
  <c r="E39" i="4"/>
  <c r="D38" i="4"/>
  <c r="E38" i="4"/>
  <c r="D37" i="4"/>
  <c r="E37" i="4"/>
  <c r="D36" i="4"/>
  <c r="E36" i="4"/>
  <c r="D35" i="4"/>
  <c r="E35" i="4"/>
  <c r="D34" i="4"/>
  <c r="E34" i="4"/>
  <c r="D32" i="4"/>
  <c r="E32" i="4"/>
  <c r="D31" i="4"/>
  <c r="E31" i="4"/>
  <c r="D30" i="4"/>
  <c r="E30" i="4"/>
  <c r="D29" i="4"/>
  <c r="E29" i="4"/>
  <c r="D28" i="4"/>
  <c r="E28" i="4"/>
  <c r="D27" i="4"/>
  <c r="E27" i="4"/>
  <c r="D25" i="4"/>
  <c r="E25" i="4"/>
  <c r="D24" i="4"/>
  <c r="E24" i="4"/>
  <c r="L102" i="1"/>
  <c r="H1191" i="14" l="1"/>
  <c r="I1192" i="14"/>
  <c r="D86" i="4"/>
  <c r="D65" i="4"/>
  <c r="F86" i="4"/>
  <c r="G86" i="4"/>
  <c r="G65" i="4"/>
  <c r="H86" i="4"/>
  <c r="H65" i="4"/>
  <c r="F65" i="4"/>
  <c r="H33" i="4"/>
  <c r="G33" i="4"/>
  <c r="F33" i="4"/>
  <c r="D33" i="4"/>
  <c r="E65" i="4"/>
  <c r="D16" i="48"/>
  <c r="G16" i="48"/>
  <c r="E21" i="47"/>
  <c r="E47" i="47" s="1"/>
  <c r="D21" i="47"/>
  <c r="D16" i="47"/>
  <c r="I13" i="21"/>
  <c r="I14" i="21"/>
  <c r="I15" i="21"/>
  <c r="I23" i="21"/>
  <c r="I24" i="21"/>
  <c r="I30" i="21"/>
  <c r="I33" i="21"/>
  <c r="I34" i="21"/>
  <c r="I37" i="21"/>
  <c r="I43" i="21"/>
  <c r="I50" i="21"/>
  <c r="I51" i="21"/>
  <c r="I52" i="21"/>
  <c r="I53" i="21"/>
  <c r="I55" i="21"/>
  <c r="I56" i="21"/>
  <c r="I57" i="21"/>
  <c r="I63" i="21"/>
  <c r="I64" i="21"/>
  <c r="I65" i="21"/>
  <c r="I66" i="21"/>
  <c r="I67" i="21"/>
  <c r="I68" i="21"/>
  <c r="I69" i="21"/>
  <c r="I75" i="21"/>
  <c r="I76" i="21"/>
  <c r="I77" i="21"/>
  <c r="I78" i="21"/>
  <c r="I79" i="21"/>
  <c r="I80" i="21"/>
  <c r="I81" i="21"/>
  <c r="I82" i="21"/>
  <c r="I83" i="21"/>
  <c r="I85" i="21"/>
  <c r="I86" i="21"/>
  <c r="I87" i="21"/>
  <c r="I88" i="21"/>
  <c r="I89" i="21"/>
  <c r="I92" i="21"/>
  <c r="I93" i="21"/>
  <c r="I94" i="21"/>
  <c r="I95" i="21"/>
  <c r="I96" i="21"/>
  <c r="I97" i="21"/>
  <c r="I98" i="21"/>
  <c r="I99" i="21"/>
  <c r="I100" i="21"/>
  <c r="I101" i="21"/>
  <c r="I102" i="21"/>
  <c r="I103" i="21"/>
  <c r="I104" i="21"/>
  <c r="I105" i="21"/>
  <c r="I106" i="21"/>
  <c r="I107" i="21"/>
  <c r="I108" i="21"/>
  <c r="I109" i="21"/>
  <c r="I110" i="21"/>
  <c r="I115" i="21"/>
  <c r="I116" i="21"/>
  <c r="I117" i="21"/>
  <c r="I118" i="21"/>
  <c r="I119" i="21"/>
  <c r="I120" i="21"/>
  <c r="I121" i="21"/>
  <c r="I122" i="21"/>
  <c r="I123" i="21"/>
  <c r="I124" i="21"/>
  <c r="I125" i="21"/>
  <c r="I126" i="21"/>
  <c r="I127" i="21"/>
  <c r="I128" i="21"/>
  <c r="I129" i="21"/>
  <c r="I130" i="21"/>
  <c r="I131" i="21"/>
  <c r="I132" i="21"/>
  <c r="I133" i="21"/>
  <c r="I134" i="21"/>
  <c r="I135" i="21"/>
  <c r="H13" i="21"/>
  <c r="H14" i="21"/>
  <c r="H15" i="21"/>
  <c r="H23" i="21"/>
  <c r="H24" i="21"/>
  <c r="H30" i="21"/>
  <c r="H33" i="21"/>
  <c r="H34" i="21"/>
  <c r="H37" i="21"/>
  <c r="H43" i="21"/>
  <c r="H50" i="21"/>
  <c r="H51" i="21"/>
  <c r="H52" i="21"/>
  <c r="H53" i="21"/>
  <c r="H55" i="21"/>
  <c r="H56" i="21"/>
  <c r="H57" i="21"/>
  <c r="H63" i="21"/>
  <c r="H64" i="21"/>
  <c r="H65" i="21"/>
  <c r="H66" i="21"/>
  <c r="H67" i="21"/>
  <c r="H68" i="21"/>
  <c r="H69" i="21"/>
  <c r="H75" i="21"/>
  <c r="H76" i="21"/>
  <c r="H77" i="21"/>
  <c r="H78" i="21"/>
  <c r="H79" i="21"/>
  <c r="H80" i="21"/>
  <c r="H81" i="21"/>
  <c r="H82" i="21"/>
  <c r="H83" i="21"/>
  <c r="H85" i="21"/>
  <c r="H86" i="21"/>
  <c r="H87" i="21"/>
  <c r="H88" i="21"/>
  <c r="H89" i="21"/>
  <c r="H92" i="21"/>
  <c r="H93" i="21"/>
  <c r="H94" i="21"/>
  <c r="H95" i="21"/>
  <c r="H96" i="21"/>
  <c r="H97" i="21"/>
  <c r="H98" i="21"/>
  <c r="H99" i="21"/>
  <c r="H100" i="21"/>
  <c r="H101" i="21"/>
  <c r="H102" i="21"/>
  <c r="H103" i="21"/>
  <c r="H104" i="21"/>
  <c r="H105" i="21"/>
  <c r="H106" i="21"/>
  <c r="H107" i="21"/>
  <c r="H108" i="21"/>
  <c r="H109" i="21"/>
  <c r="H110" i="21"/>
  <c r="H115" i="21"/>
  <c r="H116" i="21"/>
  <c r="H117" i="21"/>
  <c r="H118" i="21"/>
  <c r="H119" i="21"/>
  <c r="H120" i="21"/>
  <c r="H121" i="21"/>
  <c r="H122" i="21"/>
  <c r="H123" i="21"/>
  <c r="H124" i="21"/>
  <c r="H125" i="21"/>
  <c r="H126" i="21"/>
  <c r="H127" i="21"/>
  <c r="H128" i="21"/>
  <c r="H129" i="21"/>
  <c r="H130" i="21"/>
  <c r="H131" i="21"/>
  <c r="H132" i="21"/>
  <c r="H133" i="21"/>
  <c r="H134" i="21"/>
  <c r="H135" i="21"/>
  <c r="G13" i="21"/>
  <c r="G14" i="21"/>
  <c r="G15" i="21"/>
  <c r="G23" i="21"/>
  <c r="G24" i="21"/>
  <c r="G30" i="21"/>
  <c r="G33" i="21"/>
  <c r="G34" i="21"/>
  <c r="G37" i="21"/>
  <c r="G43" i="21"/>
  <c r="G50" i="21"/>
  <c r="G51" i="21"/>
  <c r="G52" i="21"/>
  <c r="G53" i="21"/>
  <c r="G55" i="21"/>
  <c r="G56" i="21"/>
  <c r="G57" i="21"/>
  <c r="G63" i="21"/>
  <c r="G64" i="21"/>
  <c r="G65" i="21"/>
  <c r="G66" i="21"/>
  <c r="G67" i="21"/>
  <c r="G68" i="21"/>
  <c r="G69" i="21"/>
  <c r="G75" i="21"/>
  <c r="G76" i="21"/>
  <c r="G77" i="21"/>
  <c r="G78" i="21"/>
  <c r="G79" i="21"/>
  <c r="G80" i="21"/>
  <c r="G81" i="21"/>
  <c r="G82" i="21"/>
  <c r="G83" i="21"/>
  <c r="G85" i="21"/>
  <c r="G86" i="21"/>
  <c r="G87" i="21"/>
  <c r="G88" i="21"/>
  <c r="G89" i="21"/>
  <c r="G92" i="21"/>
  <c r="G93" i="21"/>
  <c r="G94" i="21"/>
  <c r="G95" i="21"/>
  <c r="G96" i="21"/>
  <c r="G97" i="21"/>
  <c r="G98" i="21"/>
  <c r="G99" i="21"/>
  <c r="G100" i="21"/>
  <c r="G101" i="21"/>
  <c r="G102" i="21"/>
  <c r="G103" i="21"/>
  <c r="G104" i="21"/>
  <c r="G105" i="21"/>
  <c r="G106" i="21"/>
  <c r="G107" i="21"/>
  <c r="G108" i="21"/>
  <c r="G109" i="21"/>
  <c r="G110" i="21"/>
  <c r="G115" i="21"/>
  <c r="G116" i="21"/>
  <c r="G117" i="21"/>
  <c r="G118" i="21"/>
  <c r="G119" i="21"/>
  <c r="G120" i="21"/>
  <c r="G121" i="21"/>
  <c r="G122" i="21"/>
  <c r="G123" i="21"/>
  <c r="G124" i="21"/>
  <c r="G125" i="21"/>
  <c r="G126" i="21"/>
  <c r="G127" i="21"/>
  <c r="G128" i="21"/>
  <c r="G129" i="21"/>
  <c r="G130" i="21"/>
  <c r="G131" i="21"/>
  <c r="G132" i="21"/>
  <c r="G133" i="21"/>
  <c r="G134" i="21"/>
  <c r="G135" i="21"/>
  <c r="F13" i="21"/>
  <c r="F14" i="21"/>
  <c r="F15" i="21"/>
  <c r="F23" i="21"/>
  <c r="F24" i="21"/>
  <c r="F30" i="21"/>
  <c r="F33" i="21"/>
  <c r="F34" i="21"/>
  <c r="F37" i="21"/>
  <c r="F43" i="21"/>
  <c r="F50" i="21"/>
  <c r="F51" i="21"/>
  <c r="F52" i="21"/>
  <c r="F53" i="21"/>
  <c r="F55" i="21"/>
  <c r="F56" i="21"/>
  <c r="F57" i="21"/>
  <c r="F63" i="21"/>
  <c r="F64" i="21"/>
  <c r="F65" i="21"/>
  <c r="F66" i="21"/>
  <c r="F67" i="21"/>
  <c r="F68" i="21"/>
  <c r="F69" i="21"/>
  <c r="F75" i="21"/>
  <c r="F76" i="21"/>
  <c r="F77" i="21"/>
  <c r="F78" i="21"/>
  <c r="F79" i="21"/>
  <c r="F80" i="21"/>
  <c r="F81" i="21"/>
  <c r="F82" i="21"/>
  <c r="F83" i="21"/>
  <c r="F85" i="21"/>
  <c r="F86" i="21"/>
  <c r="F87" i="21"/>
  <c r="F88" i="21"/>
  <c r="F89" i="21"/>
  <c r="F92" i="21"/>
  <c r="F93" i="21"/>
  <c r="F94" i="21"/>
  <c r="F95" i="21"/>
  <c r="F96" i="21"/>
  <c r="F97" i="21"/>
  <c r="F98" i="21"/>
  <c r="F99" i="21"/>
  <c r="F100" i="21"/>
  <c r="F101" i="21"/>
  <c r="F102" i="21"/>
  <c r="F103" i="21"/>
  <c r="F104" i="21"/>
  <c r="F105" i="21"/>
  <c r="F106" i="21"/>
  <c r="F107" i="21"/>
  <c r="F108" i="21"/>
  <c r="F109" i="21"/>
  <c r="F110" i="21"/>
  <c r="F115" i="21"/>
  <c r="F116" i="21"/>
  <c r="F117" i="21"/>
  <c r="F118" i="21"/>
  <c r="F119" i="21"/>
  <c r="F120" i="21"/>
  <c r="F121" i="21"/>
  <c r="F122" i="21"/>
  <c r="F123" i="21"/>
  <c r="F124" i="21"/>
  <c r="F125" i="21"/>
  <c r="F126" i="21"/>
  <c r="F127" i="21"/>
  <c r="F128" i="21"/>
  <c r="F129" i="21"/>
  <c r="F130" i="21"/>
  <c r="F131" i="21"/>
  <c r="F132" i="21"/>
  <c r="F133" i="21"/>
  <c r="F134" i="21"/>
  <c r="F135" i="21"/>
  <c r="E61" i="16"/>
  <c r="E73" i="16"/>
  <c r="E74" i="16"/>
  <c r="E75" i="16"/>
  <c r="E76" i="16"/>
  <c r="E77" i="16"/>
  <c r="E78" i="16"/>
  <c r="E79" i="16"/>
  <c r="E80" i="16"/>
  <c r="E81" i="16"/>
  <c r="E104" i="16"/>
  <c r="E112" i="16"/>
  <c r="E113" i="16"/>
  <c r="E114" i="16"/>
  <c r="E115" i="16"/>
  <c r="E116" i="16"/>
  <c r="E117" i="16"/>
  <c r="E118" i="16"/>
  <c r="E121" i="16"/>
  <c r="E122" i="16"/>
  <c r="E123" i="16"/>
  <c r="E124" i="16"/>
  <c r="E125" i="16"/>
  <c r="E126" i="16"/>
  <c r="E127" i="16"/>
  <c r="E128" i="16"/>
  <c r="E23" i="16"/>
  <c r="E24" i="16"/>
  <c r="F23" i="16"/>
  <c r="F24" i="16"/>
  <c r="F61" i="16"/>
  <c r="F73" i="16"/>
  <c r="F74" i="16"/>
  <c r="F75" i="16"/>
  <c r="F76" i="16"/>
  <c r="F77" i="16"/>
  <c r="F78" i="16"/>
  <c r="F79" i="16"/>
  <c r="F80" i="16"/>
  <c r="F81" i="16"/>
  <c r="F104" i="16"/>
  <c r="F112" i="16"/>
  <c r="F113" i="16"/>
  <c r="F114" i="16"/>
  <c r="F115" i="16"/>
  <c r="F116" i="16"/>
  <c r="F117" i="16"/>
  <c r="F118" i="16"/>
  <c r="F121" i="16"/>
  <c r="F122" i="16"/>
  <c r="F123" i="16"/>
  <c r="F124" i="16"/>
  <c r="F125" i="16"/>
  <c r="F126" i="16"/>
  <c r="F127" i="16"/>
  <c r="F128" i="16"/>
  <c r="L18" i="15"/>
  <c r="L17" i="15" s="1"/>
  <c r="L41" i="15"/>
  <c r="L42" i="15"/>
  <c r="L90" i="15"/>
  <c r="L89" i="15" s="1"/>
  <c r="L96" i="15"/>
  <c r="L97" i="15"/>
  <c r="L104" i="15"/>
  <c r="L103" i="15" s="1"/>
  <c r="L107" i="15"/>
  <c r="L111" i="15"/>
  <c r="L110" i="15" s="1"/>
  <c r="L118" i="15"/>
  <c r="L120" i="15"/>
  <c r="L122" i="15"/>
  <c r="L124" i="15"/>
  <c r="L126" i="15"/>
  <c r="L132" i="15"/>
  <c r="L144" i="15"/>
  <c r="L146" i="15"/>
  <c r="L147" i="15"/>
  <c r="L149" i="15"/>
  <c r="L152" i="15"/>
  <c r="L158" i="15"/>
  <c r="L163" i="15"/>
  <c r="L164" i="15"/>
  <c r="L170" i="15"/>
  <c r="L169" i="15" s="1"/>
  <c r="L174" i="15"/>
  <c r="L173" i="15" s="1"/>
  <c r="L178" i="15"/>
  <c r="L179" i="15"/>
  <c r="L180" i="15"/>
  <c r="L192" i="15"/>
  <c r="L194" i="15"/>
  <c r="L196" i="15"/>
  <c r="L199" i="15"/>
  <c r="L200" i="15"/>
  <c r="L201" i="15"/>
  <c r="L202" i="15"/>
  <c r="L205" i="15"/>
  <c r="L206" i="15"/>
  <c r="L212" i="15"/>
  <c r="L219" i="15"/>
  <c r="L220" i="15"/>
  <c r="L226" i="15"/>
  <c r="L232" i="15"/>
  <c r="L233" i="15"/>
  <c r="L235" i="15"/>
  <c r="L236" i="15"/>
  <c r="L238" i="15"/>
  <c r="L239" i="15"/>
  <c r="L241" i="15"/>
  <c r="L243" i="15"/>
  <c r="L244" i="15"/>
  <c r="L296" i="15"/>
  <c r="L298" i="15"/>
  <c r="L300" i="15"/>
  <c r="L304" i="15"/>
  <c r="L305" i="15"/>
  <c r="L308" i="15"/>
  <c r="L314" i="15"/>
  <c r="L316" i="15"/>
  <c r="L318" i="15"/>
  <c r="L321" i="15"/>
  <c r="L330" i="15"/>
  <c r="L331" i="15"/>
  <c r="L340" i="15"/>
  <c r="L344" i="15"/>
  <c r="L348" i="15"/>
  <c r="L350" i="15"/>
  <c r="L352" i="15"/>
  <c r="L359" i="15"/>
  <c r="L365" i="15"/>
  <c r="L367" i="15"/>
  <c r="L369" i="15"/>
  <c r="L375" i="15"/>
  <c r="L378" i="15"/>
  <c r="L388" i="15"/>
  <c r="L387" i="15" s="1"/>
  <c r="L392" i="15"/>
  <c r="L393" i="15"/>
  <c r="L397" i="15"/>
  <c r="L402" i="15"/>
  <c r="L406" i="15"/>
  <c r="L413" i="15"/>
  <c r="L419" i="15"/>
  <c r="L423" i="15"/>
  <c r="L425" i="15"/>
  <c r="L428" i="15"/>
  <c r="L434" i="15"/>
  <c r="L438" i="15"/>
  <c r="L442" i="15"/>
  <c r="L443" i="15"/>
  <c r="L444" i="15"/>
  <c r="L450" i="15"/>
  <c r="L455" i="15"/>
  <c r="L458" i="15"/>
  <c r="L463" i="15"/>
  <c r="L462" i="15" s="1"/>
  <c r="L467" i="15"/>
  <c r="L469" i="15"/>
  <c r="L470" i="15"/>
  <c r="L472" i="15"/>
  <c r="L14" i="15"/>
  <c r="I41" i="15"/>
  <c r="I42" i="15"/>
  <c r="I90" i="15"/>
  <c r="I89" i="15" s="1"/>
  <c r="I96" i="15"/>
  <c r="I97" i="15"/>
  <c r="I104" i="15"/>
  <c r="I103" i="15" s="1"/>
  <c r="I107" i="15"/>
  <c r="I111" i="15"/>
  <c r="I110" i="15" s="1"/>
  <c r="I118" i="15"/>
  <c r="I120" i="15"/>
  <c r="I122" i="15"/>
  <c r="I124" i="15"/>
  <c r="I126" i="15"/>
  <c r="I132" i="15"/>
  <c r="I144" i="15"/>
  <c r="I146" i="15"/>
  <c r="I147" i="15"/>
  <c r="I149" i="15"/>
  <c r="I152" i="15"/>
  <c r="I158" i="15"/>
  <c r="I163" i="15"/>
  <c r="I164" i="15"/>
  <c r="I170" i="15"/>
  <c r="I169" i="15" s="1"/>
  <c r="I174" i="15"/>
  <c r="I173" i="15" s="1"/>
  <c r="I179" i="15"/>
  <c r="I180" i="15"/>
  <c r="I192" i="15"/>
  <c r="I194" i="15"/>
  <c r="I196" i="15"/>
  <c r="I199" i="15"/>
  <c r="I200" i="15"/>
  <c r="I202" i="15"/>
  <c r="I205" i="15"/>
  <c r="I206" i="15"/>
  <c r="I212" i="15"/>
  <c r="I219" i="15"/>
  <c r="I220" i="15"/>
  <c r="I226" i="15"/>
  <c r="I232" i="15"/>
  <c r="I233" i="15"/>
  <c r="I235" i="15"/>
  <c r="I236" i="15"/>
  <c r="I238" i="15"/>
  <c r="I239" i="15"/>
  <c r="I241" i="15"/>
  <c r="I243" i="15"/>
  <c r="I244" i="15"/>
  <c r="I296" i="15"/>
  <c r="I298" i="15"/>
  <c r="I300" i="15"/>
  <c r="I304" i="15"/>
  <c r="I305" i="15"/>
  <c r="I308" i="15"/>
  <c r="I314" i="15"/>
  <c r="I316" i="15"/>
  <c r="I318" i="15"/>
  <c r="I321" i="15"/>
  <c r="I330" i="15"/>
  <c r="I331" i="15"/>
  <c r="I340" i="15"/>
  <c r="I344" i="15"/>
  <c r="I348" i="15"/>
  <c r="I350" i="15"/>
  <c r="I352" i="15"/>
  <c r="I359" i="15"/>
  <c r="I365" i="15"/>
  <c r="I367" i="15"/>
  <c r="I369" i="15"/>
  <c r="I375" i="15"/>
  <c r="I378" i="15"/>
  <c r="I392" i="15"/>
  <c r="I393" i="15"/>
  <c r="I397" i="15"/>
  <c r="I402" i="15"/>
  <c r="I406" i="15"/>
  <c r="I413" i="15"/>
  <c r="I419" i="15"/>
  <c r="I423" i="15"/>
  <c r="I425" i="15"/>
  <c r="I428" i="15"/>
  <c r="I434" i="15"/>
  <c r="I438" i="15"/>
  <c r="I442" i="15"/>
  <c r="I443" i="15"/>
  <c r="I444" i="15"/>
  <c r="I450" i="15"/>
  <c r="I455" i="15"/>
  <c r="I458" i="15"/>
  <c r="I463" i="15"/>
  <c r="I462" i="15" s="1"/>
  <c r="I467" i="15"/>
  <c r="I469" i="15"/>
  <c r="I470" i="15"/>
  <c r="I472" i="15"/>
  <c r="I14" i="15"/>
  <c r="K13" i="15"/>
  <c r="K12" i="15" s="1"/>
  <c r="K11" i="15" s="1"/>
  <c r="K23" i="15"/>
  <c r="K22" i="15" s="1"/>
  <c r="K21" i="15" s="1"/>
  <c r="G20" i="4" s="1"/>
  <c r="K37" i="15"/>
  <c r="K40" i="15"/>
  <c r="K47" i="15"/>
  <c r="K95" i="15"/>
  <c r="K88" i="15" s="1"/>
  <c r="K83" i="15" s="1"/>
  <c r="K106" i="15"/>
  <c r="K117" i="15"/>
  <c r="K119" i="15"/>
  <c r="K121" i="15"/>
  <c r="K123" i="15"/>
  <c r="K125" i="15"/>
  <c r="K131" i="15"/>
  <c r="K130" i="15" s="1"/>
  <c r="K129" i="15" s="1"/>
  <c r="K128" i="15" s="1"/>
  <c r="K127" i="15" s="1"/>
  <c r="K143" i="15"/>
  <c r="K145" i="15"/>
  <c r="K148" i="15"/>
  <c r="K151" i="15"/>
  <c r="K150" i="15" s="1"/>
  <c r="K157" i="15"/>
  <c r="K156" i="15" s="1"/>
  <c r="K155" i="15" s="1"/>
  <c r="K154" i="15" s="1"/>
  <c r="K162" i="15"/>
  <c r="K161" i="15" s="1"/>
  <c r="K177" i="15"/>
  <c r="K168" i="15" s="1"/>
  <c r="K191" i="15"/>
  <c r="K193" i="15"/>
  <c r="K195" i="15"/>
  <c r="K198" i="15"/>
  <c r="K204" i="15"/>
  <c r="K203" i="15" s="1"/>
  <c r="K211" i="15"/>
  <c r="K210" i="15" s="1"/>
  <c r="K209" i="15" s="1"/>
  <c r="K208" i="15" s="1"/>
  <c r="K207" i="15" s="1"/>
  <c r="G105" i="4" s="1"/>
  <c r="G103" i="4" s="1"/>
  <c r="K218" i="15"/>
  <c r="K217" i="15" s="1"/>
  <c r="K225" i="15"/>
  <c r="K224" i="15" s="1"/>
  <c r="K223" i="15" s="1"/>
  <c r="K231" i="15"/>
  <c r="K234" i="15"/>
  <c r="K237" i="15"/>
  <c r="K240" i="15"/>
  <c r="K248" i="15"/>
  <c r="L248" i="15" s="1"/>
  <c r="K254" i="15"/>
  <c r="L254" i="15" s="1"/>
  <c r="K260" i="15"/>
  <c r="L260" i="15" s="1"/>
  <c r="K263" i="15"/>
  <c r="L263" i="15" s="1"/>
  <c r="K269" i="15"/>
  <c r="L269" i="15" s="1"/>
  <c r="K282" i="15"/>
  <c r="L282" i="15" s="1"/>
  <c r="K285" i="15"/>
  <c r="L285" i="15" s="1"/>
  <c r="K295" i="15"/>
  <c r="K297" i="15"/>
  <c r="K299" i="15"/>
  <c r="K303" i="15"/>
  <c r="K307" i="15"/>
  <c r="K306" i="15" s="1"/>
  <c r="K313" i="15"/>
  <c r="K315" i="15"/>
  <c r="K320" i="15"/>
  <c r="K319" i="15" s="1"/>
  <c r="H49" i="21" s="1"/>
  <c r="K329" i="15"/>
  <c r="K339" i="15"/>
  <c r="K338" i="15" s="1"/>
  <c r="K337" i="15" s="1"/>
  <c r="G26" i="4" s="1"/>
  <c r="G23" i="4" s="1"/>
  <c r="K343" i="15"/>
  <c r="K342" i="15" s="1"/>
  <c r="K341" i="15" s="1"/>
  <c r="G115" i="4" s="1"/>
  <c r="G114" i="4" s="1"/>
  <c r="K347" i="15"/>
  <c r="K349" i="15"/>
  <c r="K351" i="15"/>
  <c r="K358" i="15"/>
  <c r="K357" i="15" s="1"/>
  <c r="K356" i="15" s="1"/>
  <c r="K364" i="15"/>
  <c r="K366" i="15"/>
  <c r="K368" i="15"/>
  <c r="K374" i="15"/>
  <c r="K373" i="15" s="1"/>
  <c r="H20" i="21" s="1"/>
  <c r="K377" i="15"/>
  <c r="K376" i="15" s="1"/>
  <c r="H21" i="21" s="1"/>
  <c r="K391" i="15"/>
  <c r="K396" i="15"/>
  <c r="K395" i="15" s="1"/>
  <c r="K394" i="15" s="1"/>
  <c r="G111" i="4" s="1"/>
  <c r="G109" i="4" s="1"/>
  <c r="K401" i="15"/>
  <c r="K400" i="15" s="1"/>
  <c r="K399" i="15" s="1"/>
  <c r="K405" i="15"/>
  <c r="K412" i="15"/>
  <c r="K411" i="15" s="1"/>
  <c r="K410" i="15" s="1"/>
  <c r="K409" i="15" s="1"/>
  <c r="G54" i="4" s="1"/>
  <c r="K417" i="15"/>
  <c r="K416" i="15" s="1"/>
  <c r="H71" i="21" s="1"/>
  <c r="K418" i="15"/>
  <c r="K422" i="15"/>
  <c r="K424" i="15"/>
  <c r="K427" i="15"/>
  <c r="K426" i="15" s="1"/>
  <c r="K433" i="15"/>
  <c r="K432" i="15" s="1"/>
  <c r="K431" i="15" s="1"/>
  <c r="K430" i="15" s="1"/>
  <c r="K429" i="15" s="1"/>
  <c r="G61" i="4" s="1"/>
  <c r="K437" i="15"/>
  <c r="K441" i="15"/>
  <c r="K449" i="15"/>
  <c r="K448" i="15" s="1"/>
  <c r="K447" i="15" s="1"/>
  <c r="K446" i="15" s="1"/>
  <c r="K445" i="15" s="1"/>
  <c r="K454" i="15"/>
  <c r="K453" i="15" s="1"/>
  <c r="H112" i="21" s="1"/>
  <c r="K457" i="15"/>
  <c r="K456" i="15" s="1"/>
  <c r="H113" i="21" s="1"/>
  <c r="K466" i="15"/>
  <c r="K468" i="15"/>
  <c r="H13" i="15"/>
  <c r="H12" i="15" s="1"/>
  <c r="H11" i="15" s="1"/>
  <c r="H23" i="15"/>
  <c r="H22" i="15" s="1"/>
  <c r="H21" i="15" s="1"/>
  <c r="D20" i="4" s="1"/>
  <c r="H37" i="15"/>
  <c r="H40" i="15"/>
  <c r="H47" i="15"/>
  <c r="H95" i="15"/>
  <c r="H88" i="15" s="1"/>
  <c r="H83" i="15" s="1"/>
  <c r="H106" i="15"/>
  <c r="H117" i="15"/>
  <c r="H119" i="15"/>
  <c r="H121" i="15"/>
  <c r="H123" i="15"/>
  <c r="H125" i="15"/>
  <c r="H131" i="15"/>
  <c r="H130" i="15" s="1"/>
  <c r="H129" i="15" s="1"/>
  <c r="H128" i="15" s="1"/>
  <c r="H127" i="15" s="1"/>
  <c r="H143" i="15"/>
  <c r="H145" i="15"/>
  <c r="H148" i="15"/>
  <c r="H151" i="15"/>
  <c r="H150" i="15" s="1"/>
  <c r="H157" i="15"/>
  <c r="H156" i="15" s="1"/>
  <c r="H155" i="15" s="1"/>
  <c r="H154" i="15" s="1"/>
  <c r="H162" i="15"/>
  <c r="H161" i="15" s="1"/>
  <c r="H177" i="15"/>
  <c r="H168" i="15" s="1"/>
  <c r="H191" i="15"/>
  <c r="H193" i="15"/>
  <c r="H195" i="15"/>
  <c r="H198" i="15"/>
  <c r="H204" i="15"/>
  <c r="H203" i="15" s="1"/>
  <c r="H211" i="15"/>
  <c r="H210" i="15" s="1"/>
  <c r="H209" i="15" s="1"/>
  <c r="H208" i="15" s="1"/>
  <c r="H207" i="15" s="1"/>
  <c r="D105" i="4" s="1"/>
  <c r="D103" i="4" s="1"/>
  <c r="H218" i="15"/>
  <c r="H217" i="15" s="1"/>
  <c r="H225" i="15"/>
  <c r="H224" i="15" s="1"/>
  <c r="H231" i="15"/>
  <c r="H234" i="15"/>
  <c r="H237" i="15"/>
  <c r="H240" i="15"/>
  <c r="H242" i="15"/>
  <c r="H248" i="15"/>
  <c r="I248" i="15" s="1"/>
  <c r="H254" i="15"/>
  <c r="I254" i="15" s="1"/>
  <c r="H260" i="15"/>
  <c r="I260" i="15" s="1"/>
  <c r="H263" i="15"/>
  <c r="I263" i="15" s="1"/>
  <c r="H269" i="15"/>
  <c r="I269" i="15" s="1"/>
  <c r="H282" i="15"/>
  <c r="I282" i="15" s="1"/>
  <c r="H285" i="15"/>
  <c r="I285" i="15" s="1"/>
  <c r="H295" i="15"/>
  <c r="H297" i="15"/>
  <c r="H299" i="15"/>
  <c r="H303" i="15"/>
  <c r="H307" i="15"/>
  <c r="H306" i="15" s="1"/>
  <c r="H313" i="15"/>
  <c r="H315" i="15"/>
  <c r="H320" i="15"/>
  <c r="H319" i="15" s="1"/>
  <c r="H329" i="15"/>
  <c r="H339" i="15"/>
  <c r="H338" i="15" s="1"/>
  <c r="H337" i="15" s="1"/>
  <c r="D26" i="4" s="1"/>
  <c r="D23" i="4" s="1"/>
  <c r="H343" i="15"/>
  <c r="H342" i="15" s="1"/>
  <c r="H341" i="15" s="1"/>
  <c r="D115" i="4" s="1"/>
  <c r="D114" i="4" s="1"/>
  <c r="H347" i="15"/>
  <c r="H349" i="15"/>
  <c r="H351" i="15"/>
  <c r="H358" i="15"/>
  <c r="H357" i="15" s="1"/>
  <c r="H364" i="15"/>
  <c r="H366" i="15"/>
  <c r="H368" i="15"/>
  <c r="H374" i="15"/>
  <c r="H373" i="15" s="1"/>
  <c r="H377" i="15"/>
  <c r="H376" i="15" s="1"/>
  <c r="H391" i="15"/>
  <c r="H396" i="15"/>
  <c r="H395" i="15" s="1"/>
  <c r="H394" i="15" s="1"/>
  <c r="D111" i="4" s="1"/>
  <c r="D109" i="4" s="1"/>
  <c r="H401" i="15"/>
  <c r="H400" i="15" s="1"/>
  <c r="H399" i="15" s="1"/>
  <c r="H405" i="15"/>
  <c r="H412" i="15"/>
  <c r="H411" i="15" s="1"/>
  <c r="H410" i="15" s="1"/>
  <c r="H409" i="15" s="1"/>
  <c r="D54" i="4" s="1"/>
  <c r="H417" i="15"/>
  <c r="H416" i="15" s="1"/>
  <c r="H418" i="15"/>
  <c r="H422" i="15"/>
  <c r="H424" i="15"/>
  <c r="H427" i="15"/>
  <c r="H426" i="15" s="1"/>
  <c r="H433" i="15"/>
  <c r="H432" i="15" s="1"/>
  <c r="H431" i="15" s="1"/>
  <c r="H430" i="15" s="1"/>
  <c r="H429" i="15" s="1"/>
  <c r="D61" i="4" s="1"/>
  <c r="H437" i="15"/>
  <c r="H441" i="15"/>
  <c r="H449" i="15"/>
  <c r="H448" i="15" s="1"/>
  <c r="H447" i="15" s="1"/>
  <c r="H446" i="15" s="1"/>
  <c r="H445" i="15" s="1"/>
  <c r="H454" i="15"/>
  <c r="H453" i="15" s="1"/>
  <c r="H457" i="15"/>
  <c r="H456" i="15" s="1"/>
  <c r="H466" i="15"/>
  <c r="H468" i="15"/>
  <c r="H13" i="14"/>
  <c r="I21" i="14"/>
  <c r="H26" i="14"/>
  <c r="I26" i="14" s="1"/>
  <c r="H28" i="14"/>
  <c r="I28" i="14" s="1"/>
  <c r="H33" i="14"/>
  <c r="H37" i="14"/>
  <c r="H43" i="14"/>
  <c r="H47" i="14"/>
  <c r="H54" i="14"/>
  <c r="H71" i="14"/>
  <c r="H82" i="14"/>
  <c r="E134" i="16"/>
  <c r="H85" i="14"/>
  <c r="I85" i="14" s="1"/>
  <c r="H98" i="14"/>
  <c r="I98" i="14" s="1"/>
  <c r="H103" i="14"/>
  <c r="I103" i="14" s="1"/>
  <c r="H106" i="14"/>
  <c r="H109" i="14"/>
  <c r="I109" i="14" s="1"/>
  <c r="H146" i="14"/>
  <c r="H148" i="14"/>
  <c r="E84" i="16"/>
  <c r="H224" i="14"/>
  <c r="I224" i="14" s="1"/>
  <c r="H228" i="14"/>
  <c r="H294" i="14"/>
  <c r="H301" i="14"/>
  <c r="I301" i="14" s="1"/>
  <c r="H340" i="14"/>
  <c r="H344" i="14"/>
  <c r="H347" i="14"/>
  <c r="H350" i="14"/>
  <c r="H354" i="14"/>
  <c r="I354" i="14" s="1"/>
  <c r="H356" i="14"/>
  <c r="I356" i="14" s="1"/>
  <c r="H360" i="14"/>
  <c r="I360" i="14" s="1"/>
  <c r="H363" i="14"/>
  <c r="I363" i="14" s="1"/>
  <c r="H369" i="14"/>
  <c r="I369" i="14" s="1"/>
  <c r="H375" i="14"/>
  <c r="H393" i="14"/>
  <c r="H386" i="14" s="1"/>
  <c r="I386" i="14" s="1"/>
  <c r="H407" i="14"/>
  <c r="H410" i="14"/>
  <c r="H413" i="14"/>
  <c r="H419" i="14"/>
  <c r="H421" i="14"/>
  <c r="H423" i="14"/>
  <c r="I423" i="14" s="1"/>
  <c r="H425" i="14"/>
  <c r="I425" i="14" s="1"/>
  <c r="H427" i="14"/>
  <c r="I427" i="14" s="1"/>
  <c r="H438" i="14"/>
  <c r="H443" i="14"/>
  <c r="H446" i="14"/>
  <c r="H452" i="14"/>
  <c r="I452" i="14" s="1"/>
  <c r="H481" i="14"/>
  <c r="I481" i="14" s="1"/>
  <c r="H483" i="14"/>
  <c r="I483" i="14" s="1"/>
  <c r="H485" i="14"/>
  <c r="I485" i="14" s="1"/>
  <c r="H487" i="14"/>
  <c r="I487" i="14" s="1"/>
  <c r="H490" i="14"/>
  <c r="I490" i="14" s="1"/>
  <c r="H493" i="14"/>
  <c r="H499" i="14"/>
  <c r="H498" i="14" s="1"/>
  <c r="H505" i="14"/>
  <c r="I505" i="14" s="1"/>
  <c r="H507" i="14"/>
  <c r="I507" i="14" s="1"/>
  <c r="H511" i="14"/>
  <c r="I511" i="14" s="1"/>
  <c r="H512" i="14"/>
  <c r="I512" i="14" s="1"/>
  <c r="H518" i="14"/>
  <c r="I518" i="14" s="1"/>
  <c r="H520" i="14"/>
  <c r="I520" i="14" s="1"/>
  <c r="H523" i="14"/>
  <c r="H527" i="14"/>
  <c r="H532" i="14"/>
  <c r="I532" i="14" s="1"/>
  <c r="H536" i="14"/>
  <c r="I536" i="14" s="1"/>
  <c r="H538" i="14"/>
  <c r="I538" i="14" s="1"/>
  <c r="H543" i="14"/>
  <c r="I543" i="14" s="1"/>
  <c r="H546" i="14"/>
  <c r="I546" i="14" s="1"/>
  <c r="H552" i="14"/>
  <c r="H557" i="14"/>
  <c r="H565" i="14"/>
  <c r="H568" i="14"/>
  <c r="H572" i="14"/>
  <c r="H588" i="14"/>
  <c r="I588" i="14" s="1"/>
  <c r="H593" i="14"/>
  <c r="I593" i="14" s="1"/>
  <c r="H596" i="14"/>
  <c r="I596" i="14" s="1"/>
  <c r="H602" i="14"/>
  <c r="H609" i="14"/>
  <c r="H608" i="14" s="1"/>
  <c r="H615" i="14"/>
  <c r="H620" i="14"/>
  <c r="H619" i="14" s="1"/>
  <c r="H627" i="14"/>
  <c r="H642" i="14"/>
  <c r="H641" i="14" s="1"/>
  <c r="H652" i="14"/>
  <c r="H658" i="14"/>
  <c r="I658" i="14" s="1"/>
  <c r="H661" i="14"/>
  <c r="I661" i="14" s="1"/>
  <c r="H664" i="14"/>
  <c r="I664" i="14" s="1"/>
  <c r="H666" i="14"/>
  <c r="I666" i="14" s="1"/>
  <c r="H669" i="14"/>
  <c r="I669" i="14" s="1"/>
  <c r="H671" i="14"/>
  <c r="I671" i="14" s="1"/>
  <c r="H673" i="14"/>
  <c r="I673" i="14" s="1"/>
  <c r="H679" i="14"/>
  <c r="I679" i="14" s="1"/>
  <c r="H685" i="14"/>
  <c r="I685" i="14" s="1"/>
  <c r="H691" i="14"/>
  <c r="I691" i="14" s="1"/>
  <c r="H697" i="14"/>
  <c r="I697" i="14" s="1"/>
  <c r="H700" i="14"/>
  <c r="I700" i="14" s="1"/>
  <c r="H715" i="14"/>
  <c r="H712" i="14" s="1"/>
  <c r="H730" i="14"/>
  <c r="I730" i="14" s="1"/>
  <c r="H732" i="14"/>
  <c r="I732" i="14" s="1"/>
  <c r="H734" i="14"/>
  <c r="I734" i="14" s="1"/>
  <c r="H736" i="14"/>
  <c r="I736" i="14" s="1"/>
  <c r="H738" i="14"/>
  <c r="I738" i="14" s="1"/>
  <c r="H743" i="14"/>
  <c r="H747" i="14"/>
  <c r="I747" i="14" s="1"/>
  <c r="H749" i="14"/>
  <c r="I749" i="14" s="1"/>
  <c r="H755" i="14"/>
  <c r="I760" i="14"/>
  <c r="H764" i="14"/>
  <c r="I764" i="14" s="1"/>
  <c r="H766" i="14"/>
  <c r="I766" i="14" s="1"/>
  <c r="H771" i="14"/>
  <c r="I784" i="14"/>
  <c r="H789" i="14"/>
  <c r="I789" i="14" s="1"/>
  <c r="H796" i="14"/>
  <c r="H800" i="14"/>
  <c r="H804" i="14"/>
  <c r="H807" i="14"/>
  <c r="H817" i="14"/>
  <c r="H821" i="14"/>
  <c r="H825" i="14"/>
  <c r="I825" i="14" s="1"/>
  <c r="H827" i="14"/>
  <c r="I827" i="14" s="1"/>
  <c r="H866" i="14"/>
  <c r="I866" i="14" s="1"/>
  <c r="H868" i="14"/>
  <c r="I868" i="14" s="1"/>
  <c r="H870" i="14"/>
  <c r="I870" i="14" s="1"/>
  <c r="H875" i="14"/>
  <c r="H881" i="14"/>
  <c r="H883" i="14"/>
  <c r="I883" i="14" s="1"/>
  <c r="H885" i="14"/>
  <c r="I885" i="14" s="1"/>
  <c r="H887" i="14"/>
  <c r="I887" i="14" s="1"/>
  <c r="H889" i="14"/>
  <c r="I889" i="14" s="1"/>
  <c r="H896" i="14"/>
  <c r="I896" i="14" s="1"/>
  <c r="H898" i="14"/>
  <c r="I898" i="14" s="1"/>
  <c r="H902" i="14"/>
  <c r="H901" i="14" s="1"/>
  <c r="H908" i="14"/>
  <c r="H912" i="14"/>
  <c r="H922" i="14"/>
  <c r="I922" i="14" s="1"/>
  <c r="H927" i="14"/>
  <c r="I927" i="14" s="1"/>
  <c r="H929" i="14"/>
  <c r="H931" i="14"/>
  <c r="I931" i="14" s="1"/>
  <c r="H938" i="14"/>
  <c r="H942" i="14"/>
  <c r="I942" i="14" s="1"/>
  <c r="H953" i="14"/>
  <c r="H956" i="14"/>
  <c r="H960" i="14"/>
  <c r="H966" i="14"/>
  <c r="H970" i="14"/>
  <c r="H974" i="14"/>
  <c r="I974" i="14" s="1"/>
  <c r="H978" i="14"/>
  <c r="I978" i="14" s="1"/>
  <c r="H982" i="14"/>
  <c r="I982" i="14" s="1"/>
  <c r="H991" i="14"/>
  <c r="H996" i="14"/>
  <c r="H1000" i="14"/>
  <c r="H1004" i="14"/>
  <c r="H1008" i="14"/>
  <c r="H1012" i="14"/>
  <c r="H1019" i="14"/>
  <c r="H1023" i="14"/>
  <c r="H1022" i="14" s="1"/>
  <c r="H1036" i="14"/>
  <c r="I1036" i="14" s="1"/>
  <c r="H1038" i="14"/>
  <c r="I1038" i="14" s="1"/>
  <c r="H1043" i="14"/>
  <c r="I1043" i="14" s="1"/>
  <c r="E69" i="16"/>
  <c r="H1084" i="14"/>
  <c r="H1083" i="14" s="1"/>
  <c r="I1090" i="14"/>
  <c r="H1101" i="14"/>
  <c r="I1101" i="14" s="1"/>
  <c r="H1117" i="14"/>
  <c r="I1117" i="14" s="1"/>
  <c r="I1119" i="14"/>
  <c r="I1122" i="14"/>
  <c r="H1126" i="14"/>
  <c r="H1140" i="14"/>
  <c r="H1144" i="14"/>
  <c r="H1154" i="14"/>
  <c r="H1158" i="14"/>
  <c r="I1158" i="14" s="1"/>
  <c r="H1164" i="14"/>
  <c r="H1168" i="14"/>
  <c r="H1174" i="14"/>
  <c r="H1180" i="14"/>
  <c r="H1186" i="14"/>
  <c r="I1186" i="14" s="1"/>
  <c r="H1188" i="14"/>
  <c r="I1188" i="14" s="1"/>
  <c r="H1198" i="14"/>
  <c r="H1201" i="14"/>
  <c r="H1207" i="14"/>
  <c r="I1212" i="14"/>
  <c r="H1217" i="14"/>
  <c r="I1217" i="14" s="1"/>
  <c r="H1219" i="14"/>
  <c r="I1219" i="14" s="1"/>
  <c r="H12" i="6"/>
  <c r="H14" i="6"/>
  <c r="H17" i="6"/>
  <c r="H23" i="6"/>
  <c r="E12" i="6"/>
  <c r="E14" i="6"/>
  <c r="E23" i="6"/>
  <c r="G11" i="6"/>
  <c r="G13" i="6"/>
  <c r="G16" i="6"/>
  <c r="G22" i="6"/>
  <c r="G21" i="6" s="1"/>
  <c r="D11" i="6"/>
  <c r="D13" i="6"/>
  <c r="D16" i="6"/>
  <c r="D15" i="6" s="1"/>
  <c r="D22" i="6"/>
  <c r="D21" i="6" s="1"/>
  <c r="E12" i="5"/>
  <c r="E14" i="5"/>
  <c r="E17" i="5"/>
  <c r="E25" i="5"/>
  <c r="D11" i="5"/>
  <c r="D13" i="5"/>
  <c r="D16" i="5"/>
  <c r="D18" i="5"/>
  <c r="D24" i="5"/>
  <c r="D23" i="5" s="1"/>
  <c r="D10" i="3"/>
  <c r="E10" i="3"/>
  <c r="D12" i="3"/>
  <c r="E12" i="3"/>
  <c r="D16" i="3"/>
  <c r="E16" i="3"/>
  <c r="D17" i="3"/>
  <c r="E17" i="3"/>
  <c r="D18" i="3"/>
  <c r="E18" i="3"/>
  <c r="D19" i="3"/>
  <c r="E19" i="3"/>
  <c r="D21" i="3"/>
  <c r="E21" i="3"/>
  <c r="D24" i="3"/>
  <c r="E24" i="3"/>
  <c r="D25" i="3"/>
  <c r="E25" i="3"/>
  <c r="D27" i="3"/>
  <c r="E27" i="3"/>
  <c r="D28" i="3"/>
  <c r="E28" i="3"/>
  <c r="D29" i="3"/>
  <c r="E29" i="3"/>
  <c r="D30" i="3"/>
  <c r="E30" i="3"/>
  <c r="D31" i="3"/>
  <c r="E31" i="3"/>
  <c r="D32" i="3"/>
  <c r="E32" i="3"/>
  <c r="D34" i="3"/>
  <c r="E34" i="3"/>
  <c r="D35" i="3"/>
  <c r="E35" i="3"/>
  <c r="D36" i="3"/>
  <c r="E36" i="3"/>
  <c r="D37" i="3"/>
  <c r="E37" i="3"/>
  <c r="D38" i="3"/>
  <c r="E38" i="3"/>
  <c r="D39" i="3"/>
  <c r="E39" i="3"/>
  <c r="E42" i="3"/>
  <c r="E43" i="3"/>
  <c r="E44" i="3"/>
  <c r="D47" i="3"/>
  <c r="E47" i="3"/>
  <c r="D49" i="3"/>
  <c r="E49" i="3"/>
  <c r="D50" i="3"/>
  <c r="E50" i="3"/>
  <c r="D53" i="3"/>
  <c r="E53" i="3"/>
  <c r="D56" i="3"/>
  <c r="E56" i="3"/>
  <c r="D57" i="3"/>
  <c r="E57" i="3"/>
  <c r="D63" i="3"/>
  <c r="E63" i="3"/>
  <c r="D66" i="3"/>
  <c r="E66" i="3"/>
  <c r="D67" i="3"/>
  <c r="E67" i="3"/>
  <c r="D68" i="3"/>
  <c r="E68" i="3"/>
  <c r="D69" i="3"/>
  <c r="E69" i="3"/>
  <c r="D75" i="3"/>
  <c r="D76" i="3"/>
  <c r="D77" i="3"/>
  <c r="E77" i="3"/>
  <c r="D79" i="3"/>
  <c r="E79" i="3"/>
  <c r="D83" i="3"/>
  <c r="E83" i="3"/>
  <c r="D84" i="3"/>
  <c r="E84" i="3"/>
  <c r="D87" i="3"/>
  <c r="E87" i="3"/>
  <c r="D88" i="3"/>
  <c r="E88" i="3"/>
  <c r="D89" i="3"/>
  <c r="E89" i="3"/>
  <c r="D90" i="3"/>
  <c r="E90" i="3"/>
  <c r="D91" i="3"/>
  <c r="E91" i="3"/>
  <c r="D92" i="3"/>
  <c r="E92" i="3"/>
  <c r="D93" i="3"/>
  <c r="E93" i="3"/>
  <c r="D94" i="3"/>
  <c r="E94" i="3"/>
  <c r="D95" i="3"/>
  <c r="E95" i="3"/>
  <c r="D101" i="3"/>
  <c r="E101" i="3"/>
  <c r="D104" i="3"/>
  <c r="E104" i="3"/>
  <c r="D106" i="3"/>
  <c r="E106" i="3"/>
  <c r="D107" i="3"/>
  <c r="E107" i="3"/>
  <c r="D108" i="3"/>
  <c r="E108" i="3"/>
  <c r="D110" i="3"/>
  <c r="E110" i="3"/>
  <c r="D112" i="3"/>
  <c r="E112" i="3"/>
  <c r="D113" i="3"/>
  <c r="E113" i="3"/>
  <c r="D116" i="3"/>
  <c r="E116" i="3"/>
  <c r="D120" i="3"/>
  <c r="E120" i="3"/>
  <c r="O15" i="2"/>
  <c r="O17" i="2"/>
  <c r="O18" i="2"/>
  <c r="O19" i="2"/>
  <c r="O21" i="2"/>
  <c r="O22" i="2"/>
  <c r="O23" i="2"/>
  <c r="O26" i="2"/>
  <c r="O29" i="2"/>
  <c r="O31" i="2"/>
  <c r="O32" i="2"/>
  <c r="O34" i="2"/>
  <c r="O36" i="2"/>
  <c r="O37" i="2"/>
  <c r="O38" i="2"/>
  <c r="O39" i="2"/>
  <c r="O40" i="2"/>
  <c r="O41" i="2"/>
  <c r="O45" i="2"/>
  <c r="O46" i="2"/>
  <c r="O47" i="2"/>
  <c r="O48" i="2"/>
  <c r="O50" i="2"/>
  <c r="O51" i="2"/>
  <c r="O52" i="2"/>
  <c r="O53" i="2"/>
  <c r="O54" i="2"/>
  <c r="O88" i="2"/>
  <c r="O87" i="2"/>
  <c r="O85" i="2"/>
  <c r="O63" i="2"/>
  <c r="O64" i="2"/>
  <c r="O71" i="2"/>
  <c r="O72" i="2"/>
  <c r="O73" i="2"/>
  <c r="O74" i="2"/>
  <c r="O56" i="2"/>
  <c r="O76" i="2"/>
  <c r="O77" i="2"/>
  <c r="O78" i="2"/>
  <c r="O79" i="2"/>
  <c r="O90" i="2"/>
  <c r="O91" i="2"/>
  <c r="O92" i="2"/>
  <c r="O93" i="2"/>
  <c r="O96" i="2"/>
  <c r="O13" i="2"/>
  <c r="L15" i="2"/>
  <c r="L17" i="2"/>
  <c r="L18" i="2"/>
  <c r="L19" i="2"/>
  <c r="L21" i="2"/>
  <c r="L22" i="2"/>
  <c r="L23" i="2"/>
  <c r="L26" i="2"/>
  <c r="L28" i="2"/>
  <c r="O28" i="2" s="1"/>
  <c r="L29" i="2"/>
  <c r="L31" i="2"/>
  <c r="L32" i="2"/>
  <c r="L34" i="2"/>
  <c r="L36" i="2"/>
  <c r="L37" i="2"/>
  <c r="L38" i="2"/>
  <c r="L39" i="2"/>
  <c r="L40" i="2"/>
  <c r="L41" i="2"/>
  <c r="L45" i="2"/>
  <c r="L46" i="2"/>
  <c r="L47" i="2"/>
  <c r="L48" i="2"/>
  <c r="L50" i="2"/>
  <c r="L51" i="2"/>
  <c r="L52" i="2"/>
  <c r="L53" i="2"/>
  <c r="L54" i="2"/>
  <c r="L88" i="2"/>
  <c r="L87" i="2"/>
  <c r="L85" i="2"/>
  <c r="L71" i="2"/>
  <c r="L72" i="2"/>
  <c r="L73" i="2"/>
  <c r="L74" i="2"/>
  <c r="L56" i="2"/>
  <c r="L76" i="2"/>
  <c r="L77" i="2"/>
  <c r="L78" i="2"/>
  <c r="L79" i="2"/>
  <c r="L90" i="2"/>
  <c r="L91" i="2"/>
  <c r="L92" i="2"/>
  <c r="L93" i="2"/>
  <c r="L96" i="2"/>
  <c r="L13" i="2"/>
  <c r="N12" i="2"/>
  <c r="N14" i="2"/>
  <c r="N16" i="2"/>
  <c r="N20" i="2"/>
  <c r="N24" i="2"/>
  <c r="N30" i="2"/>
  <c r="N33" i="2"/>
  <c r="N35" i="2"/>
  <c r="N44" i="2"/>
  <c r="N49" i="2"/>
  <c r="N95" i="2"/>
  <c r="K12" i="2"/>
  <c r="K14" i="2"/>
  <c r="K16" i="2"/>
  <c r="K20" i="2"/>
  <c r="K24" i="2"/>
  <c r="K30" i="2"/>
  <c r="K33" i="2"/>
  <c r="K35" i="2"/>
  <c r="K44" i="2"/>
  <c r="K49" i="2"/>
  <c r="K95" i="2"/>
  <c r="L15" i="1"/>
  <c r="L17" i="1"/>
  <c r="L18" i="1"/>
  <c r="L19" i="1"/>
  <c r="L21" i="1"/>
  <c r="L22" i="1"/>
  <c r="L23" i="1"/>
  <c r="L26" i="1"/>
  <c r="L28" i="1"/>
  <c r="L29" i="1"/>
  <c r="L31" i="1"/>
  <c r="L33" i="1"/>
  <c r="L36" i="1"/>
  <c r="L38" i="1"/>
  <c r="L39" i="1"/>
  <c r="L40" i="1"/>
  <c r="L41" i="1"/>
  <c r="L42" i="1"/>
  <c r="L46" i="1"/>
  <c r="L47" i="1"/>
  <c r="L48" i="1"/>
  <c r="L53" i="1"/>
  <c r="L51" i="1"/>
  <c r="L61" i="1"/>
  <c r="L67" i="1"/>
  <c r="L69" i="1"/>
  <c r="L68" i="1"/>
  <c r="L106" i="1"/>
  <c r="L105" i="1"/>
  <c r="L107" i="1"/>
  <c r="L83" i="1"/>
  <c r="L85" i="1"/>
  <c r="L76" i="1"/>
  <c r="L77" i="1"/>
  <c r="L94" i="1"/>
  <c r="L95" i="1"/>
  <c r="L96" i="1"/>
  <c r="L97" i="1"/>
  <c r="L87" i="1"/>
  <c r="L89" i="1"/>
  <c r="L90" i="1"/>
  <c r="L91" i="1"/>
  <c r="L82" i="1"/>
  <c r="L80" i="1"/>
  <c r="L84" i="1"/>
  <c r="L81" i="1"/>
  <c r="L88" i="1"/>
  <c r="L79" i="1"/>
  <c r="L98" i="1"/>
  <c r="L86" i="1"/>
  <c r="L78" i="1"/>
  <c r="L93" i="1"/>
  <c r="L92" i="1"/>
  <c r="L108" i="1"/>
  <c r="L111" i="1"/>
  <c r="L109" i="1"/>
  <c r="L110" i="1"/>
  <c r="L104" i="1"/>
  <c r="L115" i="1"/>
  <c r="L116" i="1"/>
  <c r="L117" i="1"/>
  <c r="L119" i="1"/>
  <c r="L120" i="1"/>
  <c r="L121" i="1"/>
  <c r="L122" i="1"/>
  <c r="L124" i="1"/>
  <c r="L125" i="1"/>
  <c r="L126" i="1"/>
  <c r="L127" i="1"/>
  <c r="L128" i="1"/>
  <c r="L129" i="1"/>
  <c r="L131" i="1"/>
  <c r="L132" i="1"/>
  <c r="L133" i="1"/>
  <c r="L134" i="1"/>
  <c r="L135" i="1"/>
  <c r="L136" i="1"/>
  <c r="L137" i="1"/>
  <c r="L138" i="1"/>
  <c r="L139" i="1"/>
  <c r="K12" i="1"/>
  <c r="K14" i="1"/>
  <c r="K16" i="1"/>
  <c r="K20" i="1"/>
  <c r="K25" i="1"/>
  <c r="K27" i="1"/>
  <c r="K35" i="1"/>
  <c r="H937" i="14" l="1"/>
  <c r="H921" i="14"/>
  <c r="G11" i="4"/>
  <c r="I557" i="14"/>
  <c r="H555" i="14"/>
  <c r="H230" i="15"/>
  <c r="K230" i="15"/>
  <c r="I929" i="14"/>
  <c r="I1154" i="14"/>
  <c r="H1146" i="14"/>
  <c r="I938" i="14"/>
  <c r="I937" i="14" s="1"/>
  <c r="I350" i="14"/>
  <c r="H349" i="14"/>
  <c r="I349" i="14" s="1"/>
  <c r="D15" i="5"/>
  <c r="I419" i="14"/>
  <c r="H418" i="14"/>
  <c r="H417" i="14" s="1"/>
  <c r="D47" i="47"/>
  <c r="I881" i="14"/>
  <c r="H880" i="14"/>
  <c r="I60" i="14"/>
  <c r="H57" i="14"/>
  <c r="H56" i="14" s="1"/>
  <c r="H84" i="14"/>
  <c r="I84" i="14" s="1"/>
  <c r="I393" i="14"/>
  <c r="I421" i="14"/>
  <c r="I743" i="14"/>
  <c r="H727" i="14"/>
  <c r="I727" i="14" s="1"/>
  <c r="I106" i="14"/>
  <c r="I1108" i="14"/>
  <c r="H1107" i="14"/>
  <c r="H1200" i="14"/>
  <c r="I1201" i="14"/>
  <c r="H1179" i="14"/>
  <c r="I1180" i="14"/>
  <c r="H1125" i="14"/>
  <c r="I1126" i="14"/>
  <c r="H1007" i="14"/>
  <c r="I1008" i="14"/>
  <c r="H969" i="14"/>
  <c r="I970" i="14"/>
  <c r="H952" i="14"/>
  <c r="I952" i="14" s="1"/>
  <c r="I953" i="14"/>
  <c r="H907" i="14"/>
  <c r="I908" i="14"/>
  <c r="H820" i="14"/>
  <c r="I821" i="14"/>
  <c r="H770" i="14"/>
  <c r="I771" i="14"/>
  <c r="H754" i="14"/>
  <c r="I755" i="14"/>
  <c r="H626" i="14"/>
  <c r="I626" i="14" s="1"/>
  <c r="I627" i="14"/>
  <c r="H564" i="14"/>
  <c r="I565" i="14"/>
  <c r="H445" i="14"/>
  <c r="I445" i="14" s="1"/>
  <c r="I446" i="14"/>
  <c r="H412" i="14"/>
  <c r="I412" i="14" s="1"/>
  <c r="I413" i="14"/>
  <c r="E86" i="16"/>
  <c r="I228" i="14"/>
  <c r="H81" i="14"/>
  <c r="E144" i="16" s="1"/>
  <c r="E143" i="16" s="1"/>
  <c r="I82" i="14"/>
  <c r="H46" i="14"/>
  <c r="I47" i="14"/>
  <c r="H1190" i="14"/>
  <c r="I1190" i="14" s="1"/>
  <c r="I1191" i="14"/>
  <c r="H1206" i="14"/>
  <c r="H1203" i="14" s="1"/>
  <c r="I1203" i="14" s="1"/>
  <c r="I1207" i="14"/>
  <c r="H1163" i="14"/>
  <c r="I1164" i="14"/>
  <c r="H1139" i="14"/>
  <c r="I1140" i="14"/>
  <c r="I1084" i="14"/>
  <c r="H1011" i="14"/>
  <c r="I1012" i="14"/>
  <c r="H995" i="14"/>
  <c r="I996" i="14"/>
  <c r="H955" i="14"/>
  <c r="I955" i="14" s="1"/>
  <c r="I956" i="14"/>
  <c r="H911" i="14"/>
  <c r="I912" i="14"/>
  <c r="H803" i="14"/>
  <c r="I803" i="14" s="1"/>
  <c r="I804" i="14"/>
  <c r="I642" i="14"/>
  <c r="I641" i="14" s="1"/>
  <c r="I609" i="14"/>
  <c r="H567" i="14"/>
  <c r="I567" i="14" s="1"/>
  <c r="I568" i="14"/>
  <c r="H346" i="14"/>
  <c r="I346" i="14" s="1"/>
  <c r="I347" i="14"/>
  <c r="H293" i="14"/>
  <c r="I294" i="14"/>
  <c r="E91" i="16"/>
  <c r="I148" i="14"/>
  <c r="H53" i="14"/>
  <c r="H49" i="14" s="1"/>
  <c r="I54" i="14"/>
  <c r="H32" i="14"/>
  <c r="I33" i="14"/>
  <c r="H12" i="14"/>
  <c r="I13" i="14"/>
  <c r="H990" i="14"/>
  <c r="I991" i="14"/>
  <c r="H799" i="14"/>
  <c r="I800" i="14"/>
  <c r="H601" i="14"/>
  <c r="I601" i="14" s="1"/>
  <c r="I602" i="14"/>
  <c r="H526" i="14"/>
  <c r="I526" i="14" s="1"/>
  <c r="I527" i="14"/>
  <c r="I499" i="14"/>
  <c r="H374" i="14"/>
  <c r="I375" i="14"/>
  <c r="H343" i="14"/>
  <c r="I343" i="14" s="1"/>
  <c r="I344" i="14"/>
  <c r="H145" i="14"/>
  <c r="I146" i="14"/>
  <c r="H1167" i="14"/>
  <c r="I1168" i="14"/>
  <c r="H1143" i="14"/>
  <c r="I1144" i="14"/>
  <c r="H1018" i="14"/>
  <c r="I1019" i="14"/>
  <c r="H999" i="14"/>
  <c r="I1000" i="14"/>
  <c r="H959" i="14"/>
  <c r="I960" i="14"/>
  <c r="H806" i="14"/>
  <c r="I806" i="14" s="1"/>
  <c r="I807" i="14"/>
  <c r="H651" i="14"/>
  <c r="I652" i="14"/>
  <c r="H614" i="14"/>
  <c r="I615" i="14"/>
  <c r="H571" i="14"/>
  <c r="I571" i="14" s="1"/>
  <c r="I572" i="14"/>
  <c r="H551" i="14"/>
  <c r="I551" i="14" s="1"/>
  <c r="I552" i="14"/>
  <c r="H437" i="14"/>
  <c r="I437" i="14" s="1"/>
  <c r="I438" i="14"/>
  <c r="H406" i="14"/>
  <c r="I406" i="14" s="1"/>
  <c r="I407" i="14"/>
  <c r="H36" i="14"/>
  <c r="I37" i="14"/>
  <c r="H1197" i="14"/>
  <c r="I1198" i="14"/>
  <c r="H1173" i="14"/>
  <c r="I1173" i="14" s="1"/>
  <c r="I1174" i="14"/>
  <c r="I1023" i="14"/>
  <c r="H1003" i="14"/>
  <c r="I1004" i="14"/>
  <c r="H965" i="14"/>
  <c r="I966" i="14"/>
  <c r="I902" i="14"/>
  <c r="H874" i="14"/>
  <c r="I875" i="14"/>
  <c r="E120" i="16"/>
  <c r="H816" i="14"/>
  <c r="I817" i="14"/>
  <c r="H795" i="14"/>
  <c r="I796" i="14"/>
  <c r="I712" i="14"/>
  <c r="I715" i="14"/>
  <c r="I620" i="14"/>
  <c r="H522" i="14"/>
  <c r="I523" i="14"/>
  <c r="H492" i="14"/>
  <c r="I492" i="14" s="1"/>
  <c r="I493" i="14"/>
  <c r="H442" i="14"/>
  <c r="I442" i="14" s="1"/>
  <c r="I443" i="14"/>
  <c r="H409" i="14"/>
  <c r="I409" i="14" s="1"/>
  <c r="I410" i="14"/>
  <c r="H339" i="14"/>
  <c r="I340" i="14"/>
  <c r="I136" i="14"/>
  <c r="H70" i="14"/>
  <c r="I71" i="14"/>
  <c r="H41" i="14"/>
  <c r="I41" i="14" s="1"/>
  <c r="I43" i="14"/>
  <c r="H281" i="15"/>
  <c r="I281" i="15" s="1"/>
  <c r="K281" i="15"/>
  <c r="H973" i="14"/>
  <c r="I973" i="14" s="1"/>
  <c r="H783" i="14"/>
  <c r="H478" i="14"/>
  <c r="I478" i="14" s="1"/>
  <c r="H451" i="14"/>
  <c r="E29" i="16" s="1"/>
  <c r="H223" i="14"/>
  <c r="H1042" i="14"/>
  <c r="H368" i="14"/>
  <c r="K46" i="15"/>
  <c r="K45" i="15" s="1"/>
  <c r="H46" i="15"/>
  <c r="H45" i="15" s="1"/>
  <c r="H44" i="15" s="1"/>
  <c r="H43" i="15" s="1"/>
  <c r="H1089" i="14"/>
  <c r="H1100" i="14"/>
  <c r="K404" i="15"/>
  <c r="K403" i="15" s="1"/>
  <c r="H404" i="15"/>
  <c r="H403" i="15" s="1"/>
  <c r="H657" i="14"/>
  <c r="O55" i="2"/>
  <c r="L55" i="2"/>
  <c r="H294" i="15"/>
  <c r="K294" i="15"/>
  <c r="H160" i="15"/>
  <c r="K160" i="15"/>
  <c r="H102" i="15"/>
  <c r="H101" i="15" s="1"/>
  <c r="H100" i="15" s="1"/>
  <c r="H99" i="15" s="1"/>
  <c r="D72" i="4" s="1"/>
  <c r="K102" i="15"/>
  <c r="H26" i="15"/>
  <c r="H25" i="15" s="1"/>
  <c r="K26" i="15"/>
  <c r="H60" i="21"/>
  <c r="D11" i="4"/>
  <c r="E133" i="16"/>
  <c r="H556" i="14"/>
  <c r="H824" i="14"/>
  <c r="D10" i="6"/>
  <c r="H39" i="21"/>
  <c r="H61" i="21"/>
  <c r="H59" i="21"/>
  <c r="H47" i="21"/>
  <c r="H41" i="21"/>
  <c r="H35" i="21"/>
  <c r="H29" i="21"/>
  <c r="H19" i="21"/>
  <c r="H17" i="21"/>
  <c r="E16" i="48"/>
  <c r="H114" i="21"/>
  <c r="H72" i="21"/>
  <c r="H62" i="21"/>
  <c r="H58" i="21"/>
  <c r="H54" i="21"/>
  <c r="H42" i="21"/>
  <c r="H36" i="21"/>
  <c r="H16" i="21"/>
  <c r="H16" i="48"/>
  <c r="E67" i="16"/>
  <c r="E94" i="16"/>
  <c r="E70" i="16"/>
  <c r="E54" i="16"/>
  <c r="E87" i="16"/>
  <c r="E131" i="16"/>
  <c r="H363" i="15"/>
  <c r="H362" i="15" s="1"/>
  <c r="K312" i="15"/>
  <c r="K311" i="15" s="1"/>
  <c r="K310" i="15" s="1"/>
  <c r="K309" i="15" s="1"/>
  <c r="G102" i="4" s="1"/>
  <c r="H82" i="15"/>
  <c r="H421" i="15"/>
  <c r="H420" i="15" s="1"/>
  <c r="H415" i="15" s="1"/>
  <c r="H414" i="15" s="1"/>
  <c r="K421" i="15"/>
  <c r="H31" i="21"/>
  <c r="K116" i="15"/>
  <c r="K436" i="15"/>
  <c r="K435" i="15" s="1"/>
  <c r="G64" i="4" s="1"/>
  <c r="G59" i="4" s="1"/>
  <c r="K363" i="15"/>
  <c r="H12" i="21" s="1"/>
  <c r="K346" i="15"/>
  <c r="K345" i="15" s="1"/>
  <c r="G118" i="4" s="1"/>
  <c r="G117" i="4" s="1"/>
  <c r="H40" i="21"/>
  <c r="K142" i="15"/>
  <c r="H190" i="15"/>
  <c r="H189" i="15" s="1"/>
  <c r="H188" i="15" s="1"/>
  <c r="H187" i="15" s="1"/>
  <c r="H372" i="15"/>
  <c r="H371" i="15" s="1"/>
  <c r="H370" i="15" s="1"/>
  <c r="D82" i="4" s="1"/>
  <c r="H382" i="15"/>
  <c r="H381" i="15" s="1"/>
  <c r="H452" i="15"/>
  <c r="H451" i="15" s="1"/>
  <c r="H436" i="15"/>
  <c r="H435" i="15" s="1"/>
  <c r="D64" i="4" s="1"/>
  <c r="D59" i="4" s="1"/>
  <c r="H15" i="15"/>
  <c r="D13" i="4" s="1"/>
  <c r="H137" i="21"/>
  <c r="H461" i="15"/>
  <c r="H460" i="15" s="1"/>
  <c r="H459" i="15" s="1"/>
  <c r="H346" i="15"/>
  <c r="H345" i="15" s="1"/>
  <c r="D118" i="4" s="1"/>
  <c r="D117" i="4" s="1"/>
  <c r="H312" i="15"/>
  <c r="H311" i="15" s="1"/>
  <c r="H310" i="15" s="1"/>
  <c r="H309" i="15" s="1"/>
  <c r="D102" i="4" s="1"/>
  <c r="K372" i="15"/>
  <c r="K371" i="15" s="1"/>
  <c r="K370" i="15" s="1"/>
  <c r="G82" i="4" s="1"/>
  <c r="K15" i="15"/>
  <c r="G13" i="4" s="1"/>
  <c r="K461" i="15"/>
  <c r="K460" i="15" s="1"/>
  <c r="H293" i="15"/>
  <c r="H292" i="15" s="1"/>
  <c r="H291" i="15" s="1"/>
  <c r="I291" i="15" s="1"/>
  <c r="H142" i="15"/>
  <c r="H141" i="15" s="1"/>
  <c r="H140" i="15" s="1"/>
  <c r="H139" i="15" s="1"/>
  <c r="H116" i="15"/>
  <c r="H115" i="15" s="1"/>
  <c r="K382" i="15"/>
  <c r="K381" i="15" s="1"/>
  <c r="K25" i="15"/>
  <c r="K452" i="15"/>
  <c r="K451" i="15" s="1"/>
  <c r="K190" i="15"/>
  <c r="K216" i="15"/>
  <c r="K215" i="15"/>
  <c r="K355" i="15"/>
  <c r="K354" i="15" s="1"/>
  <c r="G74" i="4" s="1"/>
  <c r="K222" i="15"/>
  <c r="K221" i="15" s="1"/>
  <c r="G98" i="4" s="1"/>
  <c r="H356" i="15"/>
  <c r="H355" i="15"/>
  <c r="H354" i="15" s="1"/>
  <c r="D74" i="4" s="1"/>
  <c r="H216" i="15"/>
  <c r="H215" i="15"/>
  <c r="H214" i="15" s="1"/>
  <c r="D97" i="4" s="1"/>
  <c r="H223" i="15"/>
  <c r="H222" i="15"/>
  <c r="H221" i="15" s="1"/>
  <c r="D98" i="4" s="1"/>
  <c r="H504" i="14"/>
  <c r="I504" i="14" s="1"/>
  <c r="H517" i="14"/>
  <c r="I517" i="14" s="1"/>
  <c r="H20" i="14"/>
  <c r="H895" i="14"/>
  <c r="H746" i="14"/>
  <c r="I746" i="14" s="1"/>
  <c r="H1185" i="14"/>
  <c r="H1116" i="14"/>
  <c r="E21" i="16"/>
  <c r="H1035" i="14"/>
  <c r="I1035" i="14" s="1"/>
  <c r="H865" i="14"/>
  <c r="I865" i="14" s="1"/>
  <c r="E132" i="16"/>
  <c r="H759" i="14"/>
  <c r="I921" i="14"/>
  <c r="H1211" i="14"/>
  <c r="H1196" i="14"/>
  <c r="H1172" i="14"/>
  <c r="I1172" i="14" s="1"/>
  <c r="H531" i="14"/>
  <c r="I531" i="14" s="1"/>
  <c r="H583" i="14"/>
  <c r="I583" i="14" s="1"/>
  <c r="E86" i="3"/>
  <c r="D33" i="3"/>
  <c r="E33" i="3"/>
  <c r="H649" i="14"/>
  <c r="H550" i="14"/>
  <c r="H436" i="14"/>
  <c r="I436" i="14" s="1"/>
  <c r="D86" i="3"/>
  <c r="G15" i="6"/>
  <c r="G10" i="6"/>
  <c r="D10" i="5"/>
  <c r="E86" i="4"/>
  <c r="E33" i="4"/>
  <c r="N43" i="2"/>
  <c r="N42" i="2" s="1"/>
  <c r="K43" i="2"/>
  <c r="K11" i="2"/>
  <c r="N11" i="2"/>
  <c r="K44" i="1"/>
  <c r="K43" i="1" s="1"/>
  <c r="K24" i="1"/>
  <c r="K11" i="1" s="1"/>
  <c r="A898" i="14"/>
  <c r="A895" i="14"/>
  <c r="A896" i="14"/>
  <c r="A897" i="14"/>
  <c r="A899" i="14"/>
  <c r="B13" i="21"/>
  <c r="E13" i="21"/>
  <c r="D13" i="21"/>
  <c r="B13" i="16"/>
  <c r="B49" i="21"/>
  <c r="B46" i="16"/>
  <c r="L317" i="15"/>
  <c r="I317" i="15"/>
  <c r="A319" i="15"/>
  <c r="A320" i="15"/>
  <c r="A321" i="15"/>
  <c r="A770" i="14"/>
  <c r="A771" i="14"/>
  <c r="A772" i="14"/>
  <c r="A942" i="14"/>
  <c r="A943" i="14"/>
  <c r="B131" i="16"/>
  <c r="A294" i="14"/>
  <c r="A409" i="15"/>
  <c r="A410" i="15"/>
  <c r="A411" i="15"/>
  <c r="A412" i="15"/>
  <c r="A413" i="15"/>
  <c r="H229" i="15" l="1"/>
  <c r="I229" i="15" s="1"/>
  <c r="H10" i="15"/>
  <c r="I10" i="15" s="1"/>
  <c r="H618" i="14"/>
  <c r="H617" i="14" s="1"/>
  <c r="I617" i="14" s="1"/>
  <c r="K293" i="15"/>
  <c r="L294" i="15"/>
  <c r="H48" i="21"/>
  <c r="L281" i="15"/>
  <c r="H40" i="14"/>
  <c r="H639" i="14"/>
  <c r="I639" i="14" s="1"/>
  <c r="I418" i="14"/>
  <c r="H640" i="14"/>
  <c r="I640" i="14" s="1"/>
  <c r="H91" i="21"/>
  <c r="E98" i="16"/>
  <c r="H1204" i="14"/>
  <c r="I1204" i="14" s="1"/>
  <c r="E106" i="16"/>
  <c r="E15" i="16"/>
  <c r="E49" i="16"/>
  <c r="H42" i="14"/>
  <c r="I42" i="14" s="1"/>
  <c r="H342" i="14"/>
  <c r="I342" i="14" s="1"/>
  <c r="H1171" i="14"/>
  <c r="I1171" i="14" s="1"/>
  <c r="H1170" i="14"/>
  <c r="I1170" i="14" s="1"/>
  <c r="H405" i="14"/>
  <c r="I405" i="14" s="1"/>
  <c r="H441" i="14"/>
  <c r="H440" i="14" s="1"/>
  <c r="I440" i="14" s="1"/>
  <c r="I657" i="14"/>
  <c r="H656" i="14"/>
  <c r="E51" i="16"/>
  <c r="E37" i="16"/>
  <c r="I40" i="14"/>
  <c r="H638" i="14"/>
  <c r="H1210" i="14"/>
  <c r="I1211" i="14"/>
  <c r="I618" i="14"/>
  <c r="H648" i="14"/>
  <c r="I649" i="14"/>
  <c r="H1195" i="14"/>
  <c r="I1195" i="14" s="1"/>
  <c r="I1196" i="14"/>
  <c r="I1146" i="14"/>
  <c r="I57" i="14"/>
  <c r="H1099" i="14"/>
  <c r="I1100" i="14"/>
  <c r="E110" i="16"/>
  <c r="I1042" i="14"/>
  <c r="E39" i="16"/>
  <c r="I619" i="14"/>
  <c r="H794" i="14"/>
  <c r="E95" i="16" s="1"/>
  <c r="I795" i="14"/>
  <c r="D62" i="3"/>
  <c r="F120" i="16"/>
  <c r="H900" i="14"/>
  <c r="I900" i="14" s="1"/>
  <c r="I901" i="14"/>
  <c r="H1002" i="14"/>
  <c r="I1002" i="14" s="1"/>
  <c r="I1003" i="14"/>
  <c r="H35" i="14"/>
  <c r="I36" i="14"/>
  <c r="H650" i="14"/>
  <c r="I650" i="14" s="1"/>
  <c r="I651" i="14"/>
  <c r="H958" i="14"/>
  <c r="I958" i="14" s="1"/>
  <c r="I959" i="14"/>
  <c r="H1017" i="14"/>
  <c r="I1018" i="14"/>
  <c r="H1166" i="14"/>
  <c r="I1166" i="14" s="1"/>
  <c r="I1167" i="14"/>
  <c r="H497" i="14"/>
  <c r="I498" i="14"/>
  <c r="H989" i="14"/>
  <c r="I990" i="14"/>
  <c r="H31" i="14"/>
  <c r="I32" i="14"/>
  <c r="H1205" i="14"/>
  <c r="I1205" i="14" s="1"/>
  <c r="I1206" i="14"/>
  <c r="E46" i="16"/>
  <c r="I770" i="14"/>
  <c r="H906" i="14"/>
  <c r="I906" i="14" s="1"/>
  <c r="I907" i="14"/>
  <c r="H968" i="14"/>
  <c r="I968" i="14" s="1"/>
  <c r="I969" i="14"/>
  <c r="E65" i="16"/>
  <c r="I1125" i="14"/>
  <c r="E109" i="16"/>
  <c r="I1200" i="14"/>
  <c r="E13" i="16"/>
  <c r="I895" i="14"/>
  <c r="H607" i="14"/>
  <c r="I607" i="14" s="1"/>
  <c r="I608" i="14"/>
  <c r="H1010" i="14"/>
  <c r="I1011" i="14"/>
  <c r="H1138" i="14"/>
  <c r="I1138" i="14" s="1"/>
  <c r="I1139" i="14"/>
  <c r="H45" i="14"/>
  <c r="I46" i="14"/>
  <c r="E63" i="16"/>
  <c r="I1107" i="14"/>
  <c r="H1184" i="14"/>
  <c r="I1185" i="14"/>
  <c r="H823" i="14"/>
  <c r="I823" i="14" s="1"/>
  <c r="I824" i="14"/>
  <c r="H450" i="14"/>
  <c r="I451" i="14"/>
  <c r="H951" i="14"/>
  <c r="H802" i="14"/>
  <c r="E57" i="16"/>
  <c r="E55" i="16"/>
  <c r="E44" i="16"/>
  <c r="E100" i="16"/>
  <c r="I550" i="14"/>
  <c r="E12" i="16"/>
  <c r="I880" i="14"/>
  <c r="H758" i="14"/>
  <c r="I759" i="14"/>
  <c r="E64" i="16"/>
  <c r="I1116" i="14"/>
  <c r="H15" i="14"/>
  <c r="I15" i="14" s="1"/>
  <c r="I20" i="14"/>
  <c r="H554" i="14"/>
  <c r="I554" i="14" s="1"/>
  <c r="I555" i="14"/>
  <c r="H1088" i="14"/>
  <c r="I1088" i="14" s="1"/>
  <c r="I1089" i="14"/>
  <c r="H367" i="14"/>
  <c r="I367" i="14" s="1"/>
  <c r="I368" i="14"/>
  <c r="H69" i="14"/>
  <c r="I70" i="14"/>
  <c r="H338" i="14"/>
  <c r="I338" i="14" s="1"/>
  <c r="I339" i="14"/>
  <c r="E31" i="16"/>
  <c r="I522" i="14"/>
  <c r="H815" i="14"/>
  <c r="I816" i="14"/>
  <c r="H873" i="14"/>
  <c r="I874" i="14"/>
  <c r="H964" i="14"/>
  <c r="I964" i="14" s="1"/>
  <c r="I965" i="14"/>
  <c r="H1021" i="14"/>
  <c r="I1022" i="14"/>
  <c r="E108" i="16"/>
  <c r="I1197" i="14"/>
  <c r="H613" i="14"/>
  <c r="I613" i="14" s="1"/>
  <c r="I614" i="14"/>
  <c r="H998" i="14"/>
  <c r="I998" i="14" s="1"/>
  <c r="I999" i="14"/>
  <c r="H1142" i="14"/>
  <c r="I1142" i="14" s="1"/>
  <c r="I1143" i="14"/>
  <c r="E90" i="16"/>
  <c r="I145" i="14"/>
  <c r="H373" i="14"/>
  <c r="I374" i="14"/>
  <c r="H798" i="14"/>
  <c r="I798" i="14" s="1"/>
  <c r="I799" i="14"/>
  <c r="H11" i="14"/>
  <c r="D11" i="3" s="1"/>
  <c r="I12" i="14"/>
  <c r="I49" i="14"/>
  <c r="I53" i="14"/>
  <c r="H292" i="14"/>
  <c r="I293" i="14"/>
  <c r="H910" i="14"/>
  <c r="I911" i="14"/>
  <c r="H994" i="14"/>
  <c r="I995" i="14"/>
  <c r="H1082" i="14"/>
  <c r="I1082" i="14" s="1"/>
  <c r="I1083" i="14"/>
  <c r="H1162" i="14"/>
  <c r="I1163" i="14"/>
  <c r="H80" i="14"/>
  <c r="I80" i="14" s="1"/>
  <c r="I81" i="14"/>
  <c r="H563" i="14"/>
  <c r="I563" i="14" s="1"/>
  <c r="I564" i="14"/>
  <c r="H753" i="14"/>
  <c r="I754" i="14"/>
  <c r="H819" i="14"/>
  <c r="I820" i="14"/>
  <c r="H1006" i="14"/>
  <c r="I1006" i="14" s="1"/>
  <c r="I1007" i="14"/>
  <c r="H1178" i="14"/>
  <c r="I1179" i="14"/>
  <c r="E40" i="16"/>
  <c r="E101" i="16"/>
  <c r="H135" i="14"/>
  <c r="E48" i="16"/>
  <c r="I556" i="14"/>
  <c r="H1029" i="14"/>
  <c r="I1029" i="14" s="1"/>
  <c r="I1030" i="14"/>
  <c r="H219" i="14"/>
  <c r="I219" i="14" s="1"/>
  <c r="I223" i="14"/>
  <c r="H782" i="14"/>
  <c r="I783" i="14"/>
  <c r="E34" i="16"/>
  <c r="E60" i="16"/>
  <c r="H726" i="14"/>
  <c r="E58" i="16"/>
  <c r="E85" i="16"/>
  <c r="H1041" i="14"/>
  <c r="E107" i="16" s="1"/>
  <c r="K44" i="15"/>
  <c r="H90" i="21"/>
  <c r="D51" i="4"/>
  <c r="H322" i="15"/>
  <c r="E30" i="16"/>
  <c r="H510" i="14"/>
  <c r="D22" i="4"/>
  <c r="H114" i="15"/>
  <c r="H113" i="15" s="1"/>
  <c r="D73" i="4" s="1"/>
  <c r="E103" i="16"/>
  <c r="H46" i="21"/>
  <c r="H361" i="15"/>
  <c r="H360" i="15" s="1"/>
  <c r="D78" i="4" s="1"/>
  <c r="E45" i="16"/>
  <c r="H380" i="15"/>
  <c r="H379" i="15" s="1"/>
  <c r="D85" i="4" s="1"/>
  <c r="D81" i="4" s="1"/>
  <c r="K362" i="15"/>
  <c r="H11" i="21" s="1"/>
  <c r="H136" i="21"/>
  <c r="K361" i="15"/>
  <c r="K360" i="15" s="1"/>
  <c r="K322" i="15"/>
  <c r="K82" i="15"/>
  <c r="G22" i="4"/>
  <c r="K459" i="15"/>
  <c r="G15" i="4"/>
  <c r="D15" i="4"/>
  <c r="H398" i="15"/>
  <c r="D55" i="4"/>
  <c r="K214" i="15"/>
  <c r="G97" i="4" s="1"/>
  <c r="K189" i="15"/>
  <c r="K188" i="15" s="1"/>
  <c r="K187" i="15" s="1"/>
  <c r="H32" i="21"/>
  <c r="K141" i="15"/>
  <c r="K140" i="15" s="1"/>
  <c r="K139" i="15" s="1"/>
  <c r="G78" i="4" s="1"/>
  <c r="H38" i="21"/>
  <c r="K420" i="15"/>
  <c r="H74" i="21"/>
  <c r="H140" i="21"/>
  <c r="K380" i="15"/>
  <c r="K379" i="15" s="1"/>
  <c r="G85" i="4" s="1"/>
  <c r="G81" i="4" s="1"/>
  <c r="H22" i="21"/>
  <c r="K101" i="15"/>
  <c r="H27" i="21"/>
  <c r="K115" i="15"/>
  <c r="H28" i="21"/>
  <c r="D100" i="4"/>
  <c r="H139" i="21"/>
  <c r="H111" i="21"/>
  <c r="H18" i="21"/>
  <c r="E43" i="16"/>
  <c r="E96" i="16"/>
  <c r="E35" i="16"/>
  <c r="H384" i="14"/>
  <c r="E27" i="16"/>
  <c r="E147" i="16"/>
  <c r="E93" i="16"/>
  <c r="E20" i="16"/>
  <c r="E89" i="16"/>
  <c r="H582" i="14"/>
  <c r="E32" i="16"/>
  <c r="H477" i="14"/>
  <c r="E33" i="16"/>
  <c r="H972" i="14"/>
  <c r="E22" i="16"/>
  <c r="H503" i="14"/>
  <c r="I503" i="14" s="1"/>
  <c r="E17" i="16"/>
  <c r="H1034" i="14"/>
  <c r="I1034" i="14" s="1"/>
  <c r="E130" i="16"/>
  <c r="H864" i="14"/>
  <c r="I864" i="14" s="1"/>
  <c r="E19" i="16"/>
  <c r="E28" i="16"/>
  <c r="E72" i="16"/>
  <c r="K229" i="15"/>
  <c r="K228" i="15" s="1"/>
  <c r="K159" i="15"/>
  <c r="K153" i="15" s="1"/>
  <c r="H228" i="15"/>
  <c r="H227" i="15" s="1"/>
  <c r="K114" i="15"/>
  <c r="K113" i="15" s="1"/>
  <c r="G73" i="4" s="1"/>
  <c r="H159" i="15"/>
  <c r="H153" i="15" s="1"/>
  <c r="I320" i="15"/>
  <c r="G114" i="21"/>
  <c r="L412" i="15"/>
  <c r="G49" i="21"/>
  <c r="L320" i="15"/>
  <c r="I412" i="15"/>
  <c r="H385" i="14"/>
  <c r="I385" i="14" s="1"/>
  <c r="H920" i="14"/>
  <c r="H915" i="14" s="1"/>
  <c r="H863" i="14"/>
  <c r="H1106" i="14"/>
  <c r="H879" i="14"/>
  <c r="I879" i="14" s="1"/>
  <c r="K42" i="2"/>
  <c r="N97" i="2"/>
  <c r="G19" i="6" s="1"/>
  <c r="K166" i="1"/>
  <c r="D21" i="5" s="1"/>
  <c r="A448" i="15"/>
  <c r="A449" i="15"/>
  <c r="A1176" i="14"/>
  <c r="A1177" i="14"/>
  <c r="A1178" i="14"/>
  <c r="A1179" i="14"/>
  <c r="A445" i="15"/>
  <c r="A446" i="15"/>
  <c r="A447" i="15"/>
  <c r="A450" i="15"/>
  <c r="I388" i="15"/>
  <c r="I387" i="15" s="1"/>
  <c r="L384" i="15"/>
  <c r="L383" i="15" s="1"/>
  <c r="I384" i="15"/>
  <c r="I383" i="15" s="1"/>
  <c r="A563" i="14"/>
  <c r="A564" i="14"/>
  <c r="A565" i="14"/>
  <c r="A566" i="14"/>
  <c r="A1166" i="14"/>
  <c r="A1167" i="14"/>
  <c r="A1168" i="14"/>
  <c r="A1169" i="14"/>
  <c r="A1180" i="14"/>
  <c r="A1181" i="14"/>
  <c r="A1160" i="14"/>
  <c r="A1161" i="14"/>
  <c r="A1162" i="14"/>
  <c r="A1163" i="14"/>
  <c r="A1164" i="14"/>
  <c r="A1165" i="14"/>
  <c r="A964" i="14"/>
  <c r="A965" i="14"/>
  <c r="A966" i="14"/>
  <c r="A967" i="14"/>
  <c r="A873" i="14"/>
  <c r="A872" i="14"/>
  <c r="A874" i="14"/>
  <c r="A875" i="14"/>
  <c r="A876" i="14"/>
  <c r="A955" i="14"/>
  <c r="A956" i="14"/>
  <c r="A957" i="14"/>
  <c r="A998" i="14"/>
  <c r="A999" i="14"/>
  <c r="A1000" i="14"/>
  <c r="A1001" i="14"/>
  <c r="A1002" i="14"/>
  <c r="A1003" i="14"/>
  <c r="A1004" i="14"/>
  <c r="A1005" i="14"/>
  <c r="A211" i="15"/>
  <c r="A207" i="15"/>
  <c r="A208" i="15"/>
  <c r="A209" i="15"/>
  <c r="A210" i="15"/>
  <c r="A212" i="15"/>
  <c r="A203" i="15"/>
  <c r="A206" i="15"/>
  <c r="A202" i="15"/>
  <c r="L198" i="15"/>
  <c r="L197" i="15"/>
  <c r="I197" i="15"/>
  <c r="A604" i="14"/>
  <c r="A601" i="14"/>
  <c r="E133" i="21"/>
  <c r="E131" i="21"/>
  <c r="E129" i="21"/>
  <c r="E134" i="21"/>
  <c r="E135" i="21"/>
  <c r="I178" i="15"/>
  <c r="A173" i="15"/>
  <c r="A174" i="15"/>
  <c r="A526" i="14"/>
  <c r="A490" i="14"/>
  <c r="A491" i="14"/>
  <c r="A492" i="14"/>
  <c r="A148" i="15"/>
  <c r="A149" i="15"/>
  <c r="L148" i="15"/>
  <c r="I148" i="15"/>
  <c r="A150" i="15"/>
  <c r="A127" i="15"/>
  <c r="A128" i="15"/>
  <c r="A129" i="15"/>
  <c r="A130" i="15"/>
  <c r="A131" i="15"/>
  <c r="A132" i="15"/>
  <c r="A449" i="14"/>
  <c r="A448" i="14"/>
  <c r="A450" i="14"/>
  <c r="A451" i="14"/>
  <c r="A452" i="14"/>
  <c r="A453" i="14"/>
  <c r="A409" i="14"/>
  <c r="A410" i="14"/>
  <c r="A411" i="14"/>
  <c r="E43" i="21"/>
  <c r="D43" i="21"/>
  <c r="B41" i="21"/>
  <c r="B42" i="21"/>
  <c r="B43" i="21"/>
  <c r="E33" i="21"/>
  <c r="E34" i="21"/>
  <c r="E37" i="21"/>
  <c r="D33" i="21"/>
  <c r="D34" i="21"/>
  <c r="D37" i="21"/>
  <c r="B33" i="21"/>
  <c r="B34" i="21"/>
  <c r="B35" i="21"/>
  <c r="B36" i="21"/>
  <c r="B37" i="21"/>
  <c r="B38" i="21"/>
  <c r="B39" i="21"/>
  <c r="B40" i="21"/>
  <c r="B33" i="16"/>
  <c r="B34" i="16"/>
  <c r="B35" i="16"/>
  <c r="C21" i="47"/>
  <c r="A72" i="14"/>
  <c r="A69" i="14"/>
  <c r="A70" i="14"/>
  <c r="A71" i="14"/>
  <c r="A73" i="14"/>
  <c r="K292" i="15" l="1"/>
  <c r="H44" i="21" s="1"/>
  <c r="L293" i="15"/>
  <c r="I782" i="14"/>
  <c r="I441" i="14"/>
  <c r="E38" i="16"/>
  <c r="D15" i="3"/>
  <c r="E83" i="16"/>
  <c r="H404" i="14"/>
  <c r="I404" i="14" s="1"/>
  <c r="E56" i="16"/>
  <c r="H337" i="14"/>
  <c r="H98" i="15"/>
  <c r="E47" i="16"/>
  <c r="H218" i="14"/>
  <c r="H217" i="14" s="1"/>
  <c r="E99" i="16"/>
  <c r="I384" i="14"/>
  <c r="H378" i="14"/>
  <c r="H655" i="14"/>
  <c r="I656" i="14"/>
  <c r="I655" i="14" s="1"/>
  <c r="H39" i="14"/>
  <c r="I11" i="14"/>
  <c r="H606" i="14"/>
  <c r="D46" i="4"/>
  <c r="H963" i="14"/>
  <c r="I972" i="14"/>
  <c r="H725" i="14"/>
  <c r="H724" i="14" s="1"/>
  <c r="I726" i="14"/>
  <c r="D14" i="3"/>
  <c r="I31" i="14"/>
  <c r="I497" i="14"/>
  <c r="E14" i="16"/>
  <c r="H1016" i="14"/>
  <c r="I1017" i="14"/>
  <c r="E53" i="16"/>
  <c r="E59" i="16"/>
  <c r="I1099" i="14"/>
  <c r="D98" i="3"/>
  <c r="I648" i="14"/>
  <c r="H1209" i="14"/>
  <c r="I1209" i="14" s="1"/>
  <c r="I1210" i="14"/>
  <c r="H1137" i="14"/>
  <c r="H336" i="14"/>
  <c r="I336" i="14" s="1"/>
  <c r="I337" i="14"/>
  <c r="I920" i="14"/>
  <c r="I863" i="14"/>
  <c r="H509" i="14"/>
  <c r="I509" i="14" s="1"/>
  <c r="I510" i="14"/>
  <c r="H134" i="14"/>
  <c r="I135" i="14"/>
  <c r="H1177" i="14"/>
  <c r="I1178" i="14"/>
  <c r="I819" i="14"/>
  <c r="D115" i="3"/>
  <c r="D114" i="3" s="1"/>
  <c r="I1162" i="14"/>
  <c r="H1161" i="14"/>
  <c r="H993" i="14"/>
  <c r="I993" i="14" s="1"/>
  <c r="I994" i="14"/>
  <c r="D70" i="3"/>
  <c r="D65" i="3" s="1"/>
  <c r="I292" i="14"/>
  <c r="D60" i="3"/>
  <c r="I373" i="14"/>
  <c r="E66" i="16"/>
  <c r="I1021" i="14"/>
  <c r="H872" i="14"/>
  <c r="I872" i="14" s="1"/>
  <c r="I873" i="14"/>
  <c r="I69" i="14"/>
  <c r="E105" i="16"/>
  <c r="H950" i="14"/>
  <c r="I950" i="14" s="1"/>
  <c r="I951" i="14"/>
  <c r="H1081" i="14"/>
  <c r="I1106" i="14"/>
  <c r="H416" i="14"/>
  <c r="I417" i="14"/>
  <c r="H476" i="14"/>
  <c r="H470" i="14" s="1"/>
  <c r="I477" i="14"/>
  <c r="H581" i="14"/>
  <c r="I582" i="14"/>
  <c r="I802" i="14"/>
  <c r="H449" i="14"/>
  <c r="I450" i="14"/>
  <c r="H1183" i="14"/>
  <c r="I1184" i="14"/>
  <c r="I45" i="14"/>
  <c r="E97" i="16"/>
  <c r="D111" i="3"/>
  <c r="D109" i="3" s="1"/>
  <c r="I1010" i="14"/>
  <c r="H988" i="14"/>
  <c r="I988" i="14" s="1"/>
  <c r="I989" i="14"/>
  <c r="D20" i="3"/>
  <c r="I35" i="14"/>
  <c r="H793" i="14"/>
  <c r="H792" i="14" s="1"/>
  <c r="H781" i="14" s="1"/>
  <c r="I794" i="14"/>
  <c r="E102" i="16"/>
  <c r="I56" i="14"/>
  <c r="D97" i="3"/>
  <c r="I638" i="14"/>
  <c r="H1040" i="14"/>
  <c r="I1041" i="14"/>
  <c r="H752" i="14"/>
  <c r="I752" i="14" s="1"/>
  <c r="I753" i="14"/>
  <c r="I910" i="14"/>
  <c r="E50" i="16"/>
  <c r="D26" i="3"/>
  <c r="D23" i="3" s="1"/>
  <c r="I815" i="14"/>
  <c r="H757" i="14"/>
  <c r="I758" i="14"/>
  <c r="E36" i="16"/>
  <c r="K43" i="15"/>
  <c r="K10" i="15" s="1"/>
  <c r="H84" i="21"/>
  <c r="K227" i="15"/>
  <c r="G99" i="4" s="1"/>
  <c r="D80" i="4"/>
  <c r="D71" i="4" s="1"/>
  <c r="G80" i="4"/>
  <c r="D9" i="4"/>
  <c r="H353" i="15"/>
  <c r="H10" i="21"/>
  <c r="K353" i="15"/>
  <c r="E42" i="16"/>
  <c r="I198" i="15"/>
  <c r="I201" i="15"/>
  <c r="H213" i="15"/>
  <c r="D99" i="4"/>
  <c r="D96" i="4" s="1"/>
  <c r="H45" i="21"/>
  <c r="K100" i="15"/>
  <c r="H26" i="21"/>
  <c r="H73" i="21"/>
  <c r="K415" i="15"/>
  <c r="D118" i="3"/>
  <c r="D117" i="3" s="1"/>
  <c r="D13" i="3"/>
  <c r="E26" i="16"/>
  <c r="L12" i="1"/>
  <c r="L13" i="1"/>
  <c r="H878" i="14"/>
  <c r="E11" i="16"/>
  <c r="E88" i="16"/>
  <c r="E18" i="16"/>
  <c r="E62" i="16"/>
  <c r="E16" i="16"/>
  <c r="H496" i="14"/>
  <c r="H1033" i="14"/>
  <c r="E129" i="16"/>
  <c r="E71" i="16"/>
  <c r="E146" i="16"/>
  <c r="I449" i="15"/>
  <c r="I411" i="15"/>
  <c r="F114" i="21" s="1"/>
  <c r="L131" i="15"/>
  <c r="D49" i="21"/>
  <c r="I319" i="15"/>
  <c r="F49" i="21" s="1"/>
  <c r="I131" i="15"/>
  <c r="L211" i="15"/>
  <c r="I210" i="15"/>
  <c r="I211" i="15"/>
  <c r="L411" i="15"/>
  <c r="I114" i="21" s="1"/>
  <c r="L203" i="15"/>
  <c r="L204" i="15"/>
  <c r="I203" i="15"/>
  <c r="I204" i="15"/>
  <c r="E49" i="21"/>
  <c r="L319" i="15"/>
  <c r="I49" i="21" s="1"/>
  <c r="G59" i="21"/>
  <c r="L449" i="15"/>
  <c r="D13" i="16"/>
  <c r="F13" i="16"/>
  <c r="D46" i="16"/>
  <c r="F46" i="16"/>
  <c r="K97" i="2"/>
  <c r="D19" i="6" s="1"/>
  <c r="E36" i="21"/>
  <c r="E42" i="21"/>
  <c r="E41" i="21"/>
  <c r="E35" i="21"/>
  <c r="A83" i="14"/>
  <c r="A80" i="14"/>
  <c r="A81" i="14"/>
  <c r="A82" i="14"/>
  <c r="A92" i="14"/>
  <c r="A347" i="15"/>
  <c r="A348" i="15"/>
  <c r="L347" i="15"/>
  <c r="I347" i="15"/>
  <c r="K291" i="15" l="1"/>
  <c r="K213" i="15" s="1"/>
  <c r="L292" i="15"/>
  <c r="H495" i="14"/>
  <c r="E41" i="16"/>
  <c r="E25" i="16"/>
  <c r="I218" i="14"/>
  <c r="I654" i="14"/>
  <c r="H654" i="14"/>
  <c r="I39" i="14"/>
  <c r="I606" i="14"/>
  <c r="H605" i="14"/>
  <c r="H862" i="14"/>
  <c r="I792" i="14"/>
  <c r="I781" i="14"/>
  <c r="D22" i="3"/>
  <c r="D9" i="3" s="1"/>
  <c r="H877" i="14"/>
  <c r="I878" i="14"/>
  <c r="H1182" i="14"/>
  <c r="I1182" i="14" s="1"/>
  <c r="I1183" i="14"/>
  <c r="H580" i="14"/>
  <c r="I581" i="14"/>
  <c r="H415" i="14"/>
  <c r="I416" i="14"/>
  <c r="H133" i="14"/>
  <c r="H10" i="14" s="1"/>
  <c r="I134" i="14"/>
  <c r="I217" i="14"/>
  <c r="H914" i="14"/>
  <c r="I915" i="14"/>
  <c r="I1016" i="14"/>
  <c r="H1015" i="14"/>
  <c r="H962" i="14"/>
  <c r="I963" i="14"/>
  <c r="D64" i="3"/>
  <c r="I1137" i="14"/>
  <c r="E10" i="16"/>
  <c r="I496" i="14"/>
  <c r="I757" i="14"/>
  <c r="H751" i="14"/>
  <c r="D54" i="3"/>
  <c r="I1040" i="14"/>
  <c r="I793" i="14"/>
  <c r="E92" i="16"/>
  <c r="H448" i="14"/>
  <c r="I449" i="14"/>
  <c r="I470" i="14"/>
  <c r="I476" i="14"/>
  <c r="H1080" i="14"/>
  <c r="I1080" i="14" s="1"/>
  <c r="I1081" i="14"/>
  <c r="H1176" i="14"/>
  <c r="I1176" i="14" s="1"/>
  <c r="I1177" i="14"/>
  <c r="I724" i="14"/>
  <c r="I725" i="14"/>
  <c r="D52" i="3"/>
  <c r="I1033" i="14"/>
  <c r="I378" i="14"/>
  <c r="H1160" i="14"/>
  <c r="I1160" i="14" s="1"/>
  <c r="I1161" i="14"/>
  <c r="G51" i="4"/>
  <c r="D121" i="4"/>
  <c r="H471" i="15"/>
  <c r="H473" i="15" s="1"/>
  <c r="K99" i="15"/>
  <c r="K98" i="15" s="1"/>
  <c r="H25" i="21"/>
  <c r="F36" i="21"/>
  <c r="F42" i="21"/>
  <c r="L210" i="15"/>
  <c r="G36" i="21"/>
  <c r="G42" i="21"/>
  <c r="K414" i="15"/>
  <c r="H70" i="21"/>
  <c r="E82" i="16"/>
  <c r="E52" i="16"/>
  <c r="E68" i="16"/>
  <c r="I448" i="15"/>
  <c r="F59" i="21" s="1"/>
  <c r="F54" i="4"/>
  <c r="L410" i="15"/>
  <c r="I130" i="15"/>
  <c r="I409" i="15"/>
  <c r="E54" i="4" s="1"/>
  <c r="I410" i="15"/>
  <c r="L130" i="15"/>
  <c r="D42" i="21"/>
  <c r="L448" i="15"/>
  <c r="I59" i="21" s="1"/>
  <c r="D36" i="21"/>
  <c r="F134" i="16"/>
  <c r="I18" i="15"/>
  <c r="I17" i="15" s="1"/>
  <c r="A26" i="14"/>
  <c r="A27" i="14"/>
  <c r="L326" i="15"/>
  <c r="L325" i="15" s="1"/>
  <c r="L324" i="15" s="1"/>
  <c r="L323" i="15" s="1"/>
  <c r="I326" i="15"/>
  <c r="I325" i="15" s="1"/>
  <c r="I324" i="15" s="1"/>
  <c r="I323" i="15" s="1"/>
  <c r="A798" i="14"/>
  <c r="A799" i="14"/>
  <c r="A800" i="14"/>
  <c r="A801" i="14"/>
  <c r="A797" i="14"/>
  <c r="A793" i="14"/>
  <c r="A794" i="14"/>
  <c r="A795" i="14"/>
  <c r="A796" i="14"/>
  <c r="L291" i="15" l="1"/>
  <c r="G100" i="4"/>
  <c r="G96" i="4" s="1"/>
  <c r="I862" i="14"/>
  <c r="H833" i="14"/>
  <c r="I833" i="14" s="1"/>
  <c r="I133" i="14"/>
  <c r="I10" i="14"/>
  <c r="H1014" i="14"/>
  <c r="I1014" i="14" s="1"/>
  <c r="D72" i="3"/>
  <c r="D105" i="3"/>
  <c r="D103" i="3" s="1"/>
  <c r="I605" i="14"/>
  <c r="H377" i="14"/>
  <c r="I377" i="14" s="1"/>
  <c r="I495" i="14"/>
  <c r="D73" i="3"/>
  <c r="I415" i="14"/>
  <c r="D99" i="3"/>
  <c r="D102" i="3"/>
  <c r="I751" i="14"/>
  <c r="I1015" i="14"/>
  <c r="D48" i="3"/>
  <c r="I448" i="14"/>
  <c r="D74" i="3"/>
  <c r="D85" i="3"/>
  <c r="I962" i="14"/>
  <c r="D82" i="3"/>
  <c r="I914" i="14"/>
  <c r="I580" i="14"/>
  <c r="D100" i="3"/>
  <c r="D78" i="3"/>
  <c r="I877" i="14"/>
  <c r="D41" i="21"/>
  <c r="D58" i="3"/>
  <c r="E145" i="16"/>
  <c r="E148" i="16" s="1"/>
  <c r="D144" i="16"/>
  <c r="D143" i="16" s="1"/>
  <c r="H637" i="14"/>
  <c r="I637" i="14" s="1"/>
  <c r="D55" i="3"/>
  <c r="H138" i="21"/>
  <c r="H141" i="21" s="1"/>
  <c r="I36" i="21"/>
  <c r="I42" i="21"/>
  <c r="G72" i="4"/>
  <c r="G71" i="4" s="1"/>
  <c r="L209" i="15"/>
  <c r="G35" i="21"/>
  <c r="G41" i="21"/>
  <c r="G55" i="4"/>
  <c r="G46" i="4" s="1"/>
  <c r="K398" i="15"/>
  <c r="D80" i="3"/>
  <c r="D51" i="3"/>
  <c r="D61" i="3"/>
  <c r="D59" i="3" s="1"/>
  <c r="D35" i="21"/>
  <c r="I209" i="15"/>
  <c r="I447" i="15"/>
  <c r="I207" i="15"/>
  <c r="E105" i="4" s="1"/>
  <c r="E103" i="4" s="1"/>
  <c r="I208" i="15"/>
  <c r="L409" i="15"/>
  <c r="H54" i="4" s="1"/>
  <c r="L129" i="15"/>
  <c r="L447" i="15"/>
  <c r="I129" i="15"/>
  <c r="F105" i="4"/>
  <c r="F103" i="4" s="1"/>
  <c r="L208" i="15"/>
  <c r="F132" i="16"/>
  <c r="D132" i="21"/>
  <c r="E132" i="21" s="1"/>
  <c r="D133" i="21"/>
  <c r="D131" i="21"/>
  <c r="D135" i="21"/>
  <c r="D134" i="21"/>
  <c r="B131" i="21"/>
  <c r="B132" i="21"/>
  <c r="B133" i="21"/>
  <c r="B134" i="21"/>
  <c r="B135" i="21"/>
  <c r="B136" i="21"/>
  <c r="B137" i="21"/>
  <c r="D134" i="16"/>
  <c r="D133" i="16"/>
  <c r="H1222" i="14" l="1"/>
  <c r="I1222" i="14" s="1"/>
  <c r="D81" i="3"/>
  <c r="D71" i="3"/>
  <c r="D96" i="3"/>
  <c r="F133" i="16"/>
  <c r="F144" i="16"/>
  <c r="F143" i="16" s="1"/>
  <c r="D46" i="3"/>
  <c r="F35" i="21"/>
  <c r="F41" i="21"/>
  <c r="I35" i="21"/>
  <c r="I41" i="21"/>
  <c r="K471" i="15"/>
  <c r="K473" i="15" s="1"/>
  <c r="L207" i="15"/>
  <c r="H105" i="4" s="1"/>
  <c r="H103" i="4" s="1"/>
  <c r="L128" i="15"/>
  <c r="L445" i="15"/>
  <c r="L446" i="15"/>
  <c r="I445" i="15"/>
  <c r="I446" i="15"/>
  <c r="I127" i="15"/>
  <c r="I128" i="15"/>
  <c r="B133" i="16"/>
  <c r="B134" i="16"/>
  <c r="D132" i="16"/>
  <c r="B132" i="16"/>
  <c r="L424" i="15"/>
  <c r="A363" i="14"/>
  <c r="A364" i="14"/>
  <c r="A338" i="14"/>
  <c r="A339" i="14"/>
  <c r="A340" i="14"/>
  <c r="A341" i="14"/>
  <c r="B48" i="16"/>
  <c r="E17" i="6"/>
  <c r="E19" i="5"/>
  <c r="D121" i="3" l="1"/>
  <c r="D22" i="5" s="1"/>
  <c r="L127" i="15"/>
  <c r="L295" i="15"/>
  <c r="I295" i="15"/>
  <c r="A295" i="15"/>
  <c r="A296" i="15"/>
  <c r="D122" i="3" l="1"/>
  <c r="D20" i="5"/>
  <c r="L299" i="15"/>
  <c r="I299" i="15"/>
  <c r="A299" i="15"/>
  <c r="A300" i="15"/>
  <c r="A285" i="15"/>
  <c r="A286" i="15"/>
  <c r="A287" i="15"/>
  <c r="B130" i="16"/>
  <c r="B129" i="16"/>
  <c r="A451" i="15"/>
  <c r="A452" i="15"/>
  <c r="A453" i="15"/>
  <c r="A454" i="15"/>
  <c r="A455" i="15"/>
  <c r="A456" i="15"/>
  <c r="A457" i="15"/>
  <c r="A458" i="15"/>
  <c r="A1195" i="14"/>
  <c r="A1196" i="14"/>
  <c r="A1197" i="14"/>
  <c r="A1198" i="14"/>
  <c r="A1199" i="14"/>
  <c r="A1200" i="14"/>
  <c r="A1201" i="14"/>
  <c r="A1202" i="14"/>
  <c r="F16" i="48"/>
  <c r="B13" i="56"/>
  <c r="D26" i="5" l="1"/>
  <c r="L454" i="15"/>
  <c r="I453" i="15"/>
  <c r="F112" i="21" s="1"/>
  <c r="I454" i="15"/>
  <c r="L457" i="15"/>
  <c r="I456" i="15"/>
  <c r="F113" i="21" s="1"/>
  <c r="I457" i="15"/>
  <c r="F108" i="16"/>
  <c r="F109" i="16"/>
  <c r="C16" i="46"/>
  <c r="D16" i="46"/>
  <c r="E16" i="46"/>
  <c r="B16" i="46"/>
  <c r="L240" i="15"/>
  <c r="I240" i="15"/>
  <c r="A240" i="15"/>
  <c r="A241" i="15"/>
  <c r="A237" i="15"/>
  <c r="A238" i="15"/>
  <c r="A239" i="15"/>
  <c r="L237" i="15"/>
  <c r="I237" i="15"/>
  <c r="A234" i="15"/>
  <c r="A235" i="15"/>
  <c r="A236" i="15"/>
  <c r="L234" i="15"/>
  <c r="I234" i="15"/>
  <c r="A231" i="15"/>
  <c r="A232" i="15"/>
  <c r="A233" i="15"/>
  <c r="L231" i="15" l="1"/>
  <c r="L230" i="15" s="1"/>
  <c r="I231" i="15"/>
  <c r="I230" i="15" s="1"/>
  <c r="L456" i="15"/>
  <c r="I113" i="21" s="1"/>
  <c r="G113" i="21"/>
  <c r="L453" i="15"/>
  <c r="I112" i="21" s="1"/>
  <c r="G112" i="21"/>
  <c r="A1117" i="14"/>
  <c r="A1118" i="14"/>
  <c r="A1119" i="14"/>
  <c r="A1120" i="14"/>
  <c r="A1108" i="14"/>
  <c r="A1109" i="14"/>
  <c r="A1102" i="14"/>
  <c r="A1033" i="14"/>
  <c r="A1034" i="14"/>
  <c r="A1035" i="14"/>
  <c r="A1036" i="14"/>
  <c r="A1037" i="14"/>
  <c r="A1038" i="14"/>
  <c r="A1039" i="14"/>
  <c r="L452" i="15" l="1"/>
  <c r="I111" i="21" s="1"/>
  <c r="G111" i="21"/>
  <c r="L451" i="15"/>
  <c r="I451" i="15"/>
  <c r="I452" i="15"/>
  <c r="F111" i="21" s="1"/>
  <c r="C16" i="47"/>
  <c r="C47" i="47" s="1"/>
  <c r="F130" i="16" l="1"/>
  <c r="D130" i="16"/>
  <c r="E17" i="55"/>
  <c r="D17" i="55"/>
  <c r="C17" i="55"/>
  <c r="B17" i="55"/>
  <c r="A337" i="15"/>
  <c r="A338" i="15"/>
  <c r="A339" i="15"/>
  <c r="A340" i="15"/>
  <c r="A764" i="14"/>
  <c r="A765" i="14"/>
  <c r="A743" i="14"/>
  <c r="A744" i="14"/>
  <c r="A745" i="14"/>
  <c r="A715" i="14"/>
  <c r="A716" i="14"/>
  <c r="A717" i="14"/>
  <c r="A736" i="14"/>
  <c r="A737" i="14"/>
  <c r="A734" i="14"/>
  <c r="A735" i="14"/>
  <c r="A1138" i="14"/>
  <c r="A1139" i="14"/>
  <c r="A1140" i="14"/>
  <c r="A1141" i="14"/>
  <c r="D17" i="49"/>
  <c r="C17" i="49"/>
  <c r="B17" i="49"/>
  <c r="C16" i="48"/>
  <c r="C15" i="45"/>
  <c r="B15" i="45"/>
  <c r="F17" i="40"/>
  <c r="G17" i="40" s="1"/>
  <c r="C17" i="40"/>
  <c r="D17" i="40" s="1"/>
  <c r="G16" i="40"/>
  <c r="D16" i="40"/>
  <c r="G15" i="40"/>
  <c r="D15" i="40"/>
  <c r="G14" i="40"/>
  <c r="D14" i="40"/>
  <c r="G13" i="40"/>
  <c r="D13" i="40"/>
  <c r="C17" i="39"/>
  <c r="D16" i="39"/>
  <c r="D15" i="39"/>
  <c r="D14" i="39"/>
  <c r="D13" i="39"/>
  <c r="D14" i="29"/>
  <c r="C14" i="29"/>
  <c r="D12" i="29"/>
  <c r="C12" i="29"/>
  <c r="D10" i="29"/>
  <c r="C10" i="29"/>
  <c r="C14" i="28"/>
  <c r="C13" i="28" s="1"/>
  <c r="C11" i="28"/>
  <c r="C9" i="28"/>
  <c r="D19" i="27"/>
  <c r="C19" i="27"/>
  <c r="D24" i="26"/>
  <c r="E23" i="26"/>
  <c r="E22" i="26"/>
  <c r="E21" i="26"/>
  <c r="E20" i="26"/>
  <c r="E19" i="26"/>
  <c r="E18" i="26"/>
  <c r="C17" i="26"/>
  <c r="E17" i="26" s="1"/>
  <c r="E16" i="26"/>
  <c r="E15" i="26"/>
  <c r="E14" i="26"/>
  <c r="E13" i="26"/>
  <c r="C12" i="26"/>
  <c r="E12" i="26" s="1"/>
  <c r="E11" i="26"/>
  <c r="C10" i="26"/>
  <c r="E10" i="26" s="1"/>
  <c r="E17" i="25"/>
  <c r="D17" i="25"/>
  <c r="C17" i="25"/>
  <c r="B17" i="25"/>
  <c r="C17" i="24"/>
  <c r="D17" i="24" s="1"/>
  <c r="D16" i="24"/>
  <c r="D15" i="24"/>
  <c r="D14" i="24"/>
  <c r="D13" i="24"/>
  <c r="D30" i="23"/>
  <c r="C30" i="23"/>
  <c r="D24" i="23"/>
  <c r="C24" i="23"/>
  <c r="D19" i="23"/>
  <c r="C19" i="23"/>
  <c r="D11" i="23"/>
  <c r="C11" i="23"/>
  <c r="B19" i="22"/>
  <c r="C13" i="22"/>
  <c r="B12" i="22"/>
  <c r="B11" i="22"/>
  <c r="B140" i="21"/>
  <c r="B139" i="21"/>
  <c r="E130" i="21"/>
  <c r="D130" i="21"/>
  <c r="B130" i="21"/>
  <c r="D129" i="21"/>
  <c r="B129" i="21"/>
  <c r="E128" i="21"/>
  <c r="D128" i="21"/>
  <c r="B128" i="21"/>
  <c r="E127" i="21"/>
  <c r="D127" i="21"/>
  <c r="B127" i="21"/>
  <c r="E126" i="21"/>
  <c r="D126" i="21"/>
  <c r="B126" i="21"/>
  <c r="E125" i="21"/>
  <c r="D125" i="21"/>
  <c r="B125" i="21"/>
  <c r="E124" i="21"/>
  <c r="D124" i="21"/>
  <c r="B124" i="21"/>
  <c r="E123" i="21"/>
  <c r="D123" i="21"/>
  <c r="B123" i="21"/>
  <c r="E122" i="21"/>
  <c r="D122" i="21"/>
  <c r="B122" i="21"/>
  <c r="E121" i="21"/>
  <c r="D121" i="21"/>
  <c r="B121" i="21"/>
  <c r="E120" i="21"/>
  <c r="D120" i="21"/>
  <c r="B120" i="21"/>
  <c r="E119" i="21"/>
  <c r="D119" i="21"/>
  <c r="B119" i="21"/>
  <c r="E118" i="21"/>
  <c r="D118" i="21"/>
  <c r="B118" i="21"/>
  <c r="E117" i="21"/>
  <c r="D117" i="21"/>
  <c r="B117" i="21"/>
  <c r="E116" i="21"/>
  <c r="D116" i="21"/>
  <c r="B116" i="21"/>
  <c r="E115" i="21"/>
  <c r="D115" i="21"/>
  <c r="B115" i="21"/>
  <c r="E114" i="21"/>
  <c r="D114" i="21"/>
  <c r="B114" i="21"/>
  <c r="B113" i="21"/>
  <c r="B112" i="21"/>
  <c r="B111" i="21"/>
  <c r="E110" i="21"/>
  <c r="D110" i="21"/>
  <c r="B110" i="21"/>
  <c r="E109" i="21"/>
  <c r="D109" i="21"/>
  <c r="B109" i="21"/>
  <c r="E108" i="21"/>
  <c r="D108" i="21"/>
  <c r="B108" i="21"/>
  <c r="E107" i="21"/>
  <c r="D107" i="21"/>
  <c r="B107" i="21"/>
  <c r="E106" i="21"/>
  <c r="D106" i="21"/>
  <c r="B106" i="21"/>
  <c r="E105" i="21"/>
  <c r="D105" i="21"/>
  <c r="B105" i="21"/>
  <c r="E104" i="21"/>
  <c r="D104" i="21"/>
  <c r="B104" i="21"/>
  <c r="E103" i="21"/>
  <c r="D103" i="21"/>
  <c r="B103" i="21"/>
  <c r="E102" i="21"/>
  <c r="D102" i="21"/>
  <c r="B102" i="21"/>
  <c r="E101" i="21"/>
  <c r="D101" i="21"/>
  <c r="B101" i="21"/>
  <c r="E100" i="21"/>
  <c r="D100" i="21"/>
  <c r="B100" i="21"/>
  <c r="E99" i="21"/>
  <c r="D99" i="21"/>
  <c r="B99" i="21"/>
  <c r="B98" i="21"/>
  <c r="B97" i="21"/>
  <c r="B96" i="21"/>
  <c r="B95" i="21"/>
  <c r="B94" i="21"/>
  <c r="E93" i="21"/>
  <c r="D93" i="21"/>
  <c r="B93" i="21"/>
  <c r="E92" i="21"/>
  <c r="D92" i="21"/>
  <c r="B92" i="21"/>
  <c r="B91" i="21"/>
  <c r="B90" i="21"/>
  <c r="E89" i="21"/>
  <c r="D89" i="21"/>
  <c r="B89" i="21"/>
  <c r="E88" i="21"/>
  <c r="D88" i="21"/>
  <c r="B88" i="21"/>
  <c r="E87" i="21"/>
  <c r="D87" i="21"/>
  <c r="B87" i="21"/>
  <c r="E86" i="21"/>
  <c r="D86" i="21"/>
  <c r="B86" i="21"/>
  <c r="E85" i="21"/>
  <c r="D85" i="21"/>
  <c r="B85" i="21"/>
  <c r="B84" i="21"/>
  <c r="E83" i="21"/>
  <c r="D83" i="21"/>
  <c r="B83" i="21"/>
  <c r="E82" i="21"/>
  <c r="D82" i="21"/>
  <c r="B82" i="21"/>
  <c r="E81" i="21"/>
  <c r="D81" i="21"/>
  <c r="B81" i="21"/>
  <c r="E80" i="21"/>
  <c r="D80" i="21"/>
  <c r="B80" i="21"/>
  <c r="E79" i="21"/>
  <c r="D79" i="21"/>
  <c r="B79" i="21"/>
  <c r="E78" i="21"/>
  <c r="D78" i="21"/>
  <c r="B78" i="21"/>
  <c r="E77" i="21"/>
  <c r="D77" i="21"/>
  <c r="B77" i="21"/>
  <c r="E76" i="21"/>
  <c r="D76" i="21"/>
  <c r="B76" i="21"/>
  <c r="E75" i="21"/>
  <c r="D75" i="21"/>
  <c r="B75" i="21"/>
  <c r="B74" i="21"/>
  <c r="B73" i="21"/>
  <c r="B72" i="21"/>
  <c r="B71" i="21"/>
  <c r="B70" i="21"/>
  <c r="E69" i="21"/>
  <c r="D69" i="21"/>
  <c r="B69" i="21"/>
  <c r="E68" i="21"/>
  <c r="D68" i="21"/>
  <c r="B68" i="21"/>
  <c r="E67" i="21"/>
  <c r="D67" i="21"/>
  <c r="B67" i="21"/>
  <c r="E66" i="21"/>
  <c r="D66" i="21"/>
  <c r="B66" i="21"/>
  <c r="E65" i="21"/>
  <c r="D65" i="21"/>
  <c r="B65" i="21"/>
  <c r="E64" i="21"/>
  <c r="D64" i="21"/>
  <c r="B64" i="21"/>
  <c r="E63" i="21"/>
  <c r="D63" i="21"/>
  <c r="B63" i="21"/>
  <c r="B62" i="21"/>
  <c r="B61" i="21"/>
  <c r="E60" i="21"/>
  <c r="B60" i="21"/>
  <c r="E59" i="21"/>
  <c r="D59" i="21"/>
  <c r="B59" i="21"/>
  <c r="E58" i="21"/>
  <c r="B58" i="21"/>
  <c r="E57" i="21"/>
  <c r="D57" i="21"/>
  <c r="B57" i="21"/>
  <c r="E56" i="21"/>
  <c r="D56" i="21"/>
  <c r="B56" i="21"/>
  <c r="E55" i="21"/>
  <c r="D55" i="21"/>
  <c r="B55" i="21"/>
  <c r="B54" i="21"/>
  <c r="E53" i="21"/>
  <c r="D53" i="21"/>
  <c r="B53" i="21"/>
  <c r="E52" i="21"/>
  <c r="D52" i="21"/>
  <c r="E51" i="21"/>
  <c r="D51" i="21"/>
  <c r="B51" i="21"/>
  <c r="E50" i="21"/>
  <c r="D50" i="21"/>
  <c r="B50" i="21"/>
  <c r="B48" i="21"/>
  <c r="B47" i="21"/>
  <c r="B46" i="21"/>
  <c r="B45" i="21"/>
  <c r="B44" i="21"/>
  <c r="B32" i="21"/>
  <c r="B31" i="21"/>
  <c r="E30" i="21"/>
  <c r="D30" i="21"/>
  <c r="B30" i="21"/>
  <c r="B29" i="21"/>
  <c r="B28" i="21"/>
  <c r="B27" i="21"/>
  <c r="B26" i="21"/>
  <c r="B25" i="21"/>
  <c r="E24" i="21"/>
  <c r="D24" i="21"/>
  <c r="B24" i="21"/>
  <c r="E23" i="21"/>
  <c r="D23" i="21"/>
  <c r="B23" i="21"/>
  <c r="B22" i="21"/>
  <c r="B21" i="21"/>
  <c r="B20" i="21"/>
  <c r="B19" i="21"/>
  <c r="B18" i="21"/>
  <c r="B17" i="21"/>
  <c r="B16" i="21"/>
  <c r="E15" i="21"/>
  <c r="D15" i="21"/>
  <c r="B15" i="21"/>
  <c r="E14" i="21"/>
  <c r="D14" i="21"/>
  <c r="B14" i="21"/>
  <c r="B12" i="21"/>
  <c r="B11" i="21"/>
  <c r="B10" i="21"/>
  <c r="C13" i="18"/>
  <c r="B12" i="18"/>
  <c r="B11" i="18"/>
  <c r="I51" i="17"/>
  <c r="H51" i="17"/>
  <c r="G51" i="17"/>
  <c r="F51" i="17"/>
  <c r="E51" i="17"/>
  <c r="D51" i="17"/>
  <c r="B51" i="17"/>
  <c r="I50" i="17"/>
  <c r="H50" i="17"/>
  <c r="G50" i="17"/>
  <c r="F50" i="17"/>
  <c r="E50" i="17"/>
  <c r="D50" i="17"/>
  <c r="B50" i="17"/>
  <c r="I48" i="17"/>
  <c r="H48" i="17"/>
  <c r="G48" i="17"/>
  <c r="F48" i="17"/>
  <c r="E48" i="17"/>
  <c r="D48" i="17"/>
  <c r="B48" i="17"/>
  <c r="I47" i="17"/>
  <c r="H47" i="17"/>
  <c r="G47" i="17"/>
  <c r="F47" i="17"/>
  <c r="E47" i="17"/>
  <c r="D47" i="17"/>
  <c r="B47" i="17"/>
  <c r="I46" i="17"/>
  <c r="H46" i="17"/>
  <c r="G46" i="17"/>
  <c r="F46" i="17"/>
  <c r="E46" i="17"/>
  <c r="D46" i="17"/>
  <c r="B46" i="17"/>
  <c r="I45" i="17"/>
  <c r="H45" i="17"/>
  <c r="G45" i="17"/>
  <c r="F45" i="17"/>
  <c r="E45" i="17"/>
  <c r="D45" i="17"/>
  <c r="B45" i="17"/>
  <c r="I44" i="17"/>
  <c r="H44" i="17"/>
  <c r="G44" i="17"/>
  <c r="F44" i="17"/>
  <c r="E44" i="17"/>
  <c r="D44" i="17"/>
  <c r="B44" i="17"/>
  <c r="I43" i="17"/>
  <c r="H43" i="17"/>
  <c r="G43" i="17"/>
  <c r="F43" i="17"/>
  <c r="E43" i="17"/>
  <c r="D43" i="17"/>
  <c r="B43" i="17"/>
  <c r="I42" i="17"/>
  <c r="H42" i="17"/>
  <c r="G42" i="17"/>
  <c r="F42" i="17"/>
  <c r="E42" i="17"/>
  <c r="D42" i="17"/>
  <c r="B42" i="17"/>
  <c r="I41" i="17"/>
  <c r="H41" i="17"/>
  <c r="G41" i="17"/>
  <c r="F41" i="17"/>
  <c r="E41" i="17"/>
  <c r="D41" i="17"/>
  <c r="B41" i="17"/>
  <c r="I40" i="17"/>
  <c r="H40" i="17"/>
  <c r="G40" i="17"/>
  <c r="F40" i="17"/>
  <c r="E40" i="17"/>
  <c r="D40" i="17"/>
  <c r="B40" i="17"/>
  <c r="I39" i="17"/>
  <c r="H39" i="17"/>
  <c r="G39" i="17"/>
  <c r="F39" i="17"/>
  <c r="E39" i="17"/>
  <c r="D39" i="17"/>
  <c r="B39" i="17"/>
  <c r="I38" i="17"/>
  <c r="H38" i="17"/>
  <c r="G38" i="17"/>
  <c r="F38" i="17"/>
  <c r="E38" i="17"/>
  <c r="D38" i="17"/>
  <c r="B38" i="17"/>
  <c r="I37" i="17"/>
  <c r="H37" i="17"/>
  <c r="G37" i="17"/>
  <c r="F37" i="17"/>
  <c r="E37" i="17"/>
  <c r="D37" i="17"/>
  <c r="B37" i="17"/>
  <c r="I36" i="17"/>
  <c r="H36" i="17"/>
  <c r="G36" i="17"/>
  <c r="F36" i="17"/>
  <c r="E36" i="17"/>
  <c r="D36" i="17"/>
  <c r="B36" i="17"/>
  <c r="I35" i="17"/>
  <c r="H35" i="17"/>
  <c r="G35" i="17"/>
  <c r="F35" i="17"/>
  <c r="E35" i="17"/>
  <c r="D35" i="17"/>
  <c r="B35" i="17"/>
  <c r="I34" i="17"/>
  <c r="H34" i="17"/>
  <c r="G34" i="17"/>
  <c r="F34" i="17"/>
  <c r="E34" i="17"/>
  <c r="D34" i="17"/>
  <c r="B34" i="17"/>
  <c r="I33" i="17"/>
  <c r="H33" i="17"/>
  <c r="G33" i="17"/>
  <c r="F33" i="17"/>
  <c r="E33" i="17"/>
  <c r="D33" i="17"/>
  <c r="B33" i="17"/>
  <c r="I32" i="17"/>
  <c r="H32" i="17"/>
  <c r="G32" i="17"/>
  <c r="F32" i="17"/>
  <c r="E32" i="17"/>
  <c r="D32" i="17"/>
  <c r="B32" i="17"/>
  <c r="I31" i="17"/>
  <c r="H31" i="17"/>
  <c r="G31" i="17"/>
  <c r="F31" i="17"/>
  <c r="E31" i="17"/>
  <c r="D31" i="17"/>
  <c r="B31" i="17"/>
  <c r="I30" i="17"/>
  <c r="H30" i="17"/>
  <c r="G30" i="17"/>
  <c r="F30" i="17"/>
  <c r="E30" i="17"/>
  <c r="D30" i="17"/>
  <c r="B30" i="17"/>
  <c r="I29" i="17"/>
  <c r="H29" i="17"/>
  <c r="G29" i="17"/>
  <c r="F29" i="17"/>
  <c r="E29" i="17"/>
  <c r="D29" i="17"/>
  <c r="B29" i="17"/>
  <c r="I28" i="17"/>
  <c r="H28" i="17"/>
  <c r="G28" i="17"/>
  <c r="F28" i="17"/>
  <c r="E28" i="17"/>
  <c r="D28" i="17"/>
  <c r="B28" i="17"/>
  <c r="I27" i="17"/>
  <c r="H27" i="17"/>
  <c r="G27" i="17"/>
  <c r="F27" i="17"/>
  <c r="E27" i="17"/>
  <c r="D27" i="17"/>
  <c r="B27" i="17"/>
  <c r="I26" i="17"/>
  <c r="H26" i="17"/>
  <c r="G26" i="17"/>
  <c r="F26" i="17"/>
  <c r="E26" i="17"/>
  <c r="D26" i="17"/>
  <c r="B26" i="17"/>
  <c r="I25" i="17"/>
  <c r="H25" i="17"/>
  <c r="G25" i="17"/>
  <c r="F25" i="17"/>
  <c r="E25" i="17"/>
  <c r="D25" i="17"/>
  <c r="B25" i="17"/>
  <c r="I24" i="17"/>
  <c r="H24" i="17"/>
  <c r="G24" i="17"/>
  <c r="F24" i="17"/>
  <c r="E24" i="17"/>
  <c r="D24" i="17"/>
  <c r="B24" i="17"/>
  <c r="I23" i="17"/>
  <c r="H23" i="17"/>
  <c r="G23" i="17"/>
  <c r="F23" i="17"/>
  <c r="E23" i="17"/>
  <c r="D23" i="17"/>
  <c r="B23" i="17"/>
  <c r="I22" i="17"/>
  <c r="H22" i="17"/>
  <c r="G22" i="17"/>
  <c r="F22" i="17"/>
  <c r="E22" i="17"/>
  <c r="D22" i="17"/>
  <c r="B22" i="17"/>
  <c r="I21" i="17"/>
  <c r="H21" i="17"/>
  <c r="G21" i="17"/>
  <c r="F21" i="17"/>
  <c r="E21" i="17"/>
  <c r="D21" i="17"/>
  <c r="B21" i="17"/>
  <c r="I20" i="17"/>
  <c r="H20" i="17"/>
  <c r="G20" i="17"/>
  <c r="F20" i="17"/>
  <c r="E20" i="17"/>
  <c r="D20" i="17"/>
  <c r="B20" i="17"/>
  <c r="I19" i="17"/>
  <c r="H19" i="17"/>
  <c r="G19" i="17"/>
  <c r="F19" i="17"/>
  <c r="E19" i="17"/>
  <c r="D19" i="17"/>
  <c r="B19" i="17"/>
  <c r="I18" i="17"/>
  <c r="H18" i="17"/>
  <c r="G18" i="17"/>
  <c r="F18" i="17"/>
  <c r="E18" i="17"/>
  <c r="D18" i="17"/>
  <c r="B18" i="17"/>
  <c r="I17" i="17"/>
  <c r="H17" i="17"/>
  <c r="G17" i="17"/>
  <c r="F17" i="17"/>
  <c r="E17" i="17"/>
  <c r="D17" i="17"/>
  <c r="B17" i="17"/>
  <c r="I16" i="17"/>
  <c r="H16" i="17"/>
  <c r="G16" i="17"/>
  <c r="F16" i="17"/>
  <c r="E16" i="17"/>
  <c r="D16" i="17"/>
  <c r="B16" i="17"/>
  <c r="I15" i="17"/>
  <c r="H15" i="17"/>
  <c r="G15" i="17"/>
  <c r="F15" i="17"/>
  <c r="E15" i="17"/>
  <c r="D15" i="17"/>
  <c r="B15" i="17"/>
  <c r="I14" i="17"/>
  <c r="H14" i="17"/>
  <c r="G14" i="17"/>
  <c r="F14" i="17"/>
  <c r="E14" i="17"/>
  <c r="D14" i="17"/>
  <c r="B14" i="17"/>
  <c r="I13" i="17"/>
  <c r="H13" i="17"/>
  <c r="G13" i="17"/>
  <c r="F13" i="17"/>
  <c r="E13" i="17"/>
  <c r="D13" i="17"/>
  <c r="B13" i="17"/>
  <c r="I12" i="17"/>
  <c r="H12" i="17"/>
  <c r="G12" i="17"/>
  <c r="F12" i="17"/>
  <c r="E12" i="17"/>
  <c r="D12" i="17"/>
  <c r="B12" i="17"/>
  <c r="I11" i="17"/>
  <c r="H11" i="17"/>
  <c r="G11" i="17"/>
  <c r="F11" i="17"/>
  <c r="E11" i="17"/>
  <c r="D11" i="17"/>
  <c r="B11" i="17"/>
  <c r="I10" i="17"/>
  <c r="H10" i="17"/>
  <c r="G10" i="17"/>
  <c r="F10" i="17"/>
  <c r="E10" i="17"/>
  <c r="D10" i="17"/>
  <c r="B10" i="17"/>
  <c r="B147" i="16"/>
  <c r="B146" i="16"/>
  <c r="D128" i="16"/>
  <c r="B128" i="16"/>
  <c r="D127" i="16"/>
  <c r="B127" i="16"/>
  <c r="D126" i="16"/>
  <c r="B126" i="16"/>
  <c r="D125" i="16"/>
  <c r="B125" i="16"/>
  <c r="D124" i="16"/>
  <c r="B124" i="16"/>
  <c r="D123" i="16"/>
  <c r="B123" i="16"/>
  <c r="D122" i="16"/>
  <c r="B122" i="16"/>
  <c r="D121" i="16"/>
  <c r="B121" i="16"/>
  <c r="D120" i="16"/>
  <c r="B120" i="16"/>
  <c r="D118" i="16"/>
  <c r="B118" i="16"/>
  <c r="D117" i="16"/>
  <c r="B117" i="16"/>
  <c r="D116" i="16"/>
  <c r="B116" i="16"/>
  <c r="D115" i="16"/>
  <c r="B115" i="16"/>
  <c r="D114" i="16"/>
  <c r="B114" i="16"/>
  <c r="D113" i="16"/>
  <c r="B113" i="16"/>
  <c r="D112" i="16"/>
  <c r="B112" i="16"/>
  <c r="B110" i="16"/>
  <c r="B109" i="16"/>
  <c r="B108" i="16"/>
  <c r="B107" i="16"/>
  <c r="B106" i="16"/>
  <c r="B105" i="16"/>
  <c r="D104" i="16"/>
  <c r="B104" i="16"/>
  <c r="B103" i="16"/>
  <c r="B102" i="16"/>
  <c r="B101" i="16"/>
  <c r="B100" i="16"/>
  <c r="B99" i="16"/>
  <c r="B98" i="16"/>
  <c r="B97" i="16"/>
  <c r="B96" i="16"/>
  <c r="B95" i="16"/>
  <c r="B94" i="16"/>
  <c r="B93" i="16"/>
  <c r="B92" i="16"/>
  <c r="B91" i="16"/>
  <c r="B90" i="16"/>
  <c r="B89" i="16"/>
  <c r="B88" i="16"/>
  <c r="B87" i="16"/>
  <c r="B86" i="16"/>
  <c r="B85" i="16"/>
  <c r="B84" i="16"/>
  <c r="B83" i="16"/>
  <c r="B82" i="16"/>
  <c r="D81" i="16"/>
  <c r="B81" i="16"/>
  <c r="D80" i="16"/>
  <c r="B80" i="16"/>
  <c r="D79" i="16"/>
  <c r="B79" i="16"/>
  <c r="D78" i="16"/>
  <c r="B78" i="16"/>
  <c r="D77" i="16"/>
  <c r="B77" i="16"/>
  <c r="D76" i="16"/>
  <c r="B76" i="16"/>
  <c r="D75" i="16"/>
  <c r="B75" i="16"/>
  <c r="D74" i="16"/>
  <c r="B74" i="16"/>
  <c r="D73" i="16"/>
  <c r="B73" i="16"/>
  <c r="B72" i="16"/>
  <c r="B71" i="16"/>
  <c r="B70" i="16"/>
  <c r="B69" i="16"/>
  <c r="B68" i="16"/>
  <c r="B67" i="16"/>
  <c r="B66" i="16"/>
  <c r="B65" i="16"/>
  <c r="B64" i="16"/>
  <c r="B63" i="16"/>
  <c r="B62" i="16"/>
  <c r="D61" i="16"/>
  <c r="B61" i="16"/>
  <c r="B60" i="16"/>
  <c r="B59" i="16"/>
  <c r="B58" i="16"/>
  <c r="B57" i="16"/>
  <c r="B56" i="16"/>
  <c r="B55" i="16"/>
  <c r="B54" i="16"/>
  <c r="B53" i="16"/>
  <c r="B52" i="16"/>
  <c r="B51" i="16"/>
  <c r="B50" i="16"/>
  <c r="B49" i="16"/>
  <c r="B47" i="16"/>
  <c r="B45" i="16"/>
  <c r="B44" i="16"/>
  <c r="B43" i="16"/>
  <c r="B42" i="16"/>
  <c r="B41" i="16"/>
  <c r="B40" i="16"/>
  <c r="B39" i="16"/>
  <c r="B38" i="16"/>
  <c r="B37" i="16"/>
  <c r="B36" i="16"/>
  <c r="B32" i="16"/>
  <c r="B31" i="16"/>
  <c r="B30" i="16"/>
  <c r="B29" i="16"/>
  <c r="B28" i="16"/>
  <c r="B27" i="16"/>
  <c r="B26" i="16"/>
  <c r="B25" i="16"/>
  <c r="B24" i="16"/>
  <c r="B23" i="16"/>
  <c r="B22" i="16"/>
  <c r="B21" i="16"/>
  <c r="B20" i="16"/>
  <c r="B19" i="16"/>
  <c r="B18" i="16"/>
  <c r="B17" i="16"/>
  <c r="B16" i="16"/>
  <c r="B15" i="16"/>
  <c r="B14" i="16"/>
  <c r="B12" i="16"/>
  <c r="B11" i="16"/>
  <c r="B10" i="16"/>
  <c r="A470" i="15"/>
  <c r="A469" i="15"/>
  <c r="L468" i="15"/>
  <c r="I468" i="15"/>
  <c r="A468" i="15"/>
  <c r="A467" i="15"/>
  <c r="L466" i="15"/>
  <c r="I466" i="15"/>
  <c r="A466" i="15"/>
  <c r="A463" i="15"/>
  <c r="A462" i="15"/>
  <c r="A461" i="15"/>
  <c r="A460" i="15"/>
  <c r="A459" i="15"/>
  <c r="A444" i="15"/>
  <c r="A443" i="15"/>
  <c r="A442" i="15"/>
  <c r="L441" i="15"/>
  <c r="I441" i="15"/>
  <c r="A441" i="15"/>
  <c r="A438" i="15"/>
  <c r="L437" i="15"/>
  <c r="A437" i="15"/>
  <c r="A436" i="15"/>
  <c r="A435" i="15"/>
  <c r="A434" i="15"/>
  <c r="A433" i="15"/>
  <c r="A432" i="15"/>
  <c r="A431" i="15"/>
  <c r="A430" i="15"/>
  <c r="A429" i="15"/>
  <c r="A428" i="15"/>
  <c r="A427" i="15"/>
  <c r="A426" i="15"/>
  <c r="A425" i="15"/>
  <c r="I424" i="15"/>
  <c r="A424" i="15"/>
  <c r="A423" i="15"/>
  <c r="I422" i="15"/>
  <c r="A422" i="15"/>
  <c r="A421" i="15"/>
  <c r="A420" i="15"/>
  <c r="A419" i="15"/>
  <c r="L418" i="15"/>
  <c r="I418" i="15"/>
  <c r="A418" i="15"/>
  <c r="G72" i="21"/>
  <c r="A417" i="15"/>
  <c r="A416" i="15"/>
  <c r="A415" i="15"/>
  <c r="A414" i="15"/>
  <c r="E113" i="21"/>
  <c r="D113" i="21"/>
  <c r="A406" i="15"/>
  <c r="A405" i="15"/>
  <c r="A404" i="15"/>
  <c r="A403" i="15"/>
  <c r="A402" i="15"/>
  <c r="A401" i="15"/>
  <c r="A400" i="15"/>
  <c r="A399" i="15"/>
  <c r="A398" i="15"/>
  <c r="A397" i="15"/>
  <c r="A396" i="15"/>
  <c r="A395" i="15"/>
  <c r="A394" i="15"/>
  <c r="A393" i="15"/>
  <c r="A392" i="15"/>
  <c r="L391" i="15"/>
  <c r="I391" i="15"/>
  <c r="A391" i="15"/>
  <c r="A388" i="15"/>
  <c r="A387" i="15"/>
  <c r="A384" i="15"/>
  <c r="A383" i="15"/>
  <c r="A382" i="15"/>
  <c r="A381" i="15"/>
  <c r="A380" i="15"/>
  <c r="A379" i="15"/>
  <c r="A378" i="15"/>
  <c r="A377" i="15"/>
  <c r="A376" i="15"/>
  <c r="A375" i="15"/>
  <c r="A374" i="15"/>
  <c r="A373" i="15"/>
  <c r="A372" i="15"/>
  <c r="A371" i="15"/>
  <c r="A370" i="15"/>
  <c r="A369" i="15"/>
  <c r="L368" i="15"/>
  <c r="I368" i="15"/>
  <c r="A368" i="15"/>
  <c r="A367" i="15"/>
  <c r="L366" i="15"/>
  <c r="I366" i="15"/>
  <c r="A366" i="15"/>
  <c r="A365" i="15"/>
  <c r="L364" i="15"/>
  <c r="I364" i="15"/>
  <c r="A364" i="15"/>
  <c r="A363" i="15"/>
  <c r="A362" i="15"/>
  <c r="A361" i="15"/>
  <c r="A360" i="15"/>
  <c r="A359" i="15"/>
  <c r="A358" i="15"/>
  <c r="A357" i="15"/>
  <c r="A356" i="15"/>
  <c r="A355" i="15"/>
  <c r="A354" i="15"/>
  <c r="A353" i="15"/>
  <c r="A352" i="15"/>
  <c r="L351" i="15"/>
  <c r="I351" i="15"/>
  <c r="A351" i="15"/>
  <c r="A350" i="15"/>
  <c r="L349" i="15"/>
  <c r="A349" i="15"/>
  <c r="A346" i="15"/>
  <c r="A345" i="15"/>
  <c r="A344" i="15"/>
  <c r="I343" i="15"/>
  <c r="A343" i="15"/>
  <c r="A342" i="15"/>
  <c r="A341" i="15"/>
  <c r="A331" i="15"/>
  <c r="A330" i="15"/>
  <c r="L329" i="15"/>
  <c r="I329" i="15"/>
  <c r="A329" i="15"/>
  <c r="A326" i="15"/>
  <c r="A325" i="15"/>
  <c r="A324" i="15"/>
  <c r="A323" i="15"/>
  <c r="A322" i="15"/>
  <c r="A318" i="15"/>
  <c r="A317" i="15"/>
  <c r="A316" i="15"/>
  <c r="L315" i="15"/>
  <c r="I315" i="15"/>
  <c r="A315" i="15"/>
  <c r="A314" i="15"/>
  <c r="L313" i="15"/>
  <c r="A313" i="15"/>
  <c r="A312" i="15"/>
  <c r="A311" i="15"/>
  <c r="A310" i="15"/>
  <c r="A309" i="15"/>
  <c r="A308" i="15"/>
  <c r="A307" i="15"/>
  <c r="A306" i="15"/>
  <c r="A305" i="15"/>
  <c r="A304" i="15"/>
  <c r="L303" i="15"/>
  <c r="I303" i="15"/>
  <c r="A303" i="15"/>
  <c r="A298" i="15"/>
  <c r="A297" i="15"/>
  <c r="A294" i="15"/>
  <c r="A293" i="15"/>
  <c r="A292" i="15"/>
  <c r="A291" i="15"/>
  <c r="A284" i="15"/>
  <c r="A283" i="15"/>
  <c r="A282" i="15"/>
  <c r="A281" i="15"/>
  <c r="A271" i="15"/>
  <c r="A270" i="15"/>
  <c r="A269" i="15"/>
  <c r="A262" i="15"/>
  <c r="A261" i="15"/>
  <c r="A260" i="15"/>
  <c r="A256" i="15"/>
  <c r="A255" i="15"/>
  <c r="A254" i="15"/>
  <c r="A250" i="15"/>
  <c r="A249" i="15"/>
  <c r="A248" i="15"/>
  <c r="A244" i="15"/>
  <c r="A243" i="15"/>
  <c r="A242" i="15"/>
  <c r="A230" i="15"/>
  <c r="A229" i="15"/>
  <c r="A228" i="15"/>
  <c r="A227" i="15"/>
  <c r="A226" i="15"/>
  <c r="A225" i="15"/>
  <c r="A224" i="15"/>
  <c r="A223" i="15"/>
  <c r="A222" i="15"/>
  <c r="A221" i="15"/>
  <c r="A220" i="15"/>
  <c r="A219" i="15"/>
  <c r="A218" i="15"/>
  <c r="A217" i="15"/>
  <c r="A216" i="15"/>
  <c r="A215" i="15"/>
  <c r="A214" i="15"/>
  <c r="A213" i="15"/>
  <c r="A205" i="15"/>
  <c r="A204" i="15"/>
  <c r="A201" i="15"/>
  <c r="A200" i="15"/>
  <c r="A199" i="15"/>
  <c r="A198" i="15"/>
  <c r="A197" i="15"/>
  <c r="A196" i="15"/>
  <c r="L195" i="15"/>
  <c r="I195" i="15"/>
  <c r="A195" i="15"/>
  <c r="A194" i="15"/>
  <c r="L193" i="15"/>
  <c r="I193" i="15"/>
  <c r="A193" i="15"/>
  <c r="A192" i="15"/>
  <c r="A191" i="15"/>
  <c r="A190" i="15"/>
  <c r="A189" i="15"/>
  <c r="A188" i="15"/>
  <c r="A187" i="15"/>
  <c r="A180" i="15"/>
  <c r="A179" i="15"/>
  <c r="A178" i="15"/>
  <c r="A177" i="15"/>
  <c r="A170" i="15"/>
  <c r="A169" i="15"/>
  <c r="A168" i="15"/>
  <c r="A164" i="15"/>
  <c r="A163" i="15"/>
  <c r="A162" i="15"/>
  <c r="A161" i="15"/>
  <c r="A160" i="15"/>
  <c r="A159" i="15"/>
  <c r="A158" i="15"/>
  <c r="A157" i="15"/>
  <c r="A156" i="15"/>
  <c r="A155" i="15"/>
  <c r="A154" i="15"/>
  <c r="A153" i="15"/>
  <c r="A152" i="15"/>
  <c r="A151" i="15"/>
  <c r="A147" i="15"/>
  <c r="A146" i="15"/>
  <c r="L145" i="15"/>
  <c r="I145" i="15"/>
  <c r="A145" i="15"/>
  <c r="A144" i="15"/>
  <c r="A143" i="15"/>
  <c r="A142" i="15"/>
  <c r="A141" i="15"/>
  <c r="A140" i="15"/>
  <c r="A139" i="15"/>
  <c r="A126" i="15"/>
  <c r="L125" i="15"/>
  <c r="I125" i="15"/>
  <c r="A125" i="15"/>
  <c r="A124" i="15"/>
  <c r="L123" i="15"/>
  <c r="I123" i="15"/>
  <c r="A123" i="15"/>
  <c r="A122" i="15"/>
  <c r="L121" i="15"/>
  <c r="I121" i="15"/>
  <c r="A121" i="15"/>
  <c r="A120" i="15"/>
  <c r="L119" i="15"/>
  <c r="I119" i="15"/>
  <c r="A119" i="15"/>
  <c r="A118" i="15"/>
  <c r="I117" i="15"/>
  <c r="A117" i="15"/>
  <c r="A116" i="15"/>
  <c r="A115" i="15"/>
  <c r="A114" i="15"/>
  <c r="A113" i="15"/>
  <c r="A111" i="15"/>
  <c r="A110" i="15"/>
  <c r="A107" i="15"/>
  <c r="I106" i="15"/>
  <c r="A106" i="15"/>
  <c r="A104" i="15"/>
  <c r="A103" i="15"/>
  <c r="A102" i="15"/>
  <c r="A101" i="15"/>
  <c r="A100" i="15"/>
  <c r="A99" i="15"/>
  <c r="A98" i="15"/>
  <c r="A97" i="15"/>
  <c r="A96" i="15"/>
  <c r="A95" i="15"/>
  <c r="A90" i="15"/>
  <c r="A89" i="15"/>
  <c r="A88" i="15"/>
  <c r="A83" i="15"/>
  <c r="A82" i="15"/>
  <c r="A48" i="15"/>
  <c r="I47" i="15"/>
  <c r="A47" i="15"/>
  <c r="A46" i="15"/>
  <c r="A45" i="15"/>
  <c r="A44" i="15"/>
  <c r="A43" i="15"/>
  <c r="A42" i="15"/>
  <c r="A41" i="15"/>
  <c r="L40" i="15"/>
  <c r="I40" i="15"/>
  <c r="A40" i="15"/>
  <c r="A39" i="15"/>
  <c r="A38" i="15"/>
  <c r="A37" i="15"/>
  <c r="A29" i="15"/>
  <c r="A28" i="15"/>
  <c r="A27" i="15"/>
  <c r="A26" i="15"/>
  <c r="A25" i="15"/>
  <c r="A24" i="15"/>
  <c r="A23" i="15"/>
  <c r="A22" i="15"/>
  <c r="A21" i="15"/>
  <c r="A19" i="15"/>
  <c r="A18" i="15"/>
  <c r="A17" i="15"/>
  <c r="A16" i="15"/>
  <c r="A15" i="15"/>
  <c r="A14" i="15"/>
  <c r="A13" i="15"/>
  <c r="A12" i="15"/>
  <c r="A11" i="15"/>
  <c r="A10" i="15"/>
  <c r="A1221" i="14"/>
  <c r="A1220" i="14"/>
  <c r="A1219" i="14"/>
  <c r="A1218" i="14"/>
  <c r="A1217" i="14"/>
  <c r="A1216" i="14"/>
  <c r="A1214" i="14"/>
  <c r="A1213" i="14"/>
  <c r="A1212" i="14"/>
  <c r="A1211" i="14"/>
  <c r="A1210" i="14"/>
  <c r="A1209" i="14"/>
  <c r="A1208" i="14"/>
  <c r="A1207" i="14"/>
  <c r="A1206" i="14"/>
  <c r="A1205" i="14"/>
  <c r="A1204" i="14"/>
  <c r="A1203" i="14"/>
  <c r="A1189" i="14"/>
  <c r="A1188" i="14"/>
  <c r="A1187" i="14"/>
  <c r="A1186" i="14"/>
  <c r="A1185" i="14"/>
  <c r="A1184" i="14"/>
  <c r="A1183" i="14"/>
  <c r="A1182" i="14"/>
  <c r="A1175" i="14"/>
  <c r="A1174" i="14"/>
  <c r="A1173" i="14"/>
  <c r="A1172" i="14"/>
  <c r="A1171" i="14"/>
  <c r="A1170" i="14"/>
  <c r="A1159" i="14"/>
  <c r="A1158" i="14"/>
  <c r="A1157" i="14"/>
  <c r="A1156" i="14"/>
  <c r="A1155" i="14"/>
  <c r="A1154" i="14"/>
  <c r="A1149" i="14"/>
  <c r="A1148" i="14"/>
  <c r="A1147" i="14"/>
  <c r="A1146" i="14"/>
  <c r="A1145" i="14"/>
  <c r="A1144" i="14"/>
  <c r="A1143" i="14"/>
  <c r="A1142" i="14"/>
  <c r="A1137" i="14"/>
  <c r="A1127" i="14"/>
  <c r="A1126" i="14"/>
  <c r="A1125" i="14"/>
  <c r="A1123" i="14"/>
  <c r="A1122" i="14"/>
  <c r="A1116" i="14"/>
  <c r="A1112" i="14"/>
  <c r="A1111" i="14"/>
  <c r="A1107" i="14"/>
  <c r="A1106" i="14"/>
  <c r="A1103" i="14"/>
  <c r="F60" i="16"/>
  <c r="A1101" i="14"/>
  <c r="A1100" i="14"/>
  <c r="A1099" i="14"/>
  <c r="A1092" i="14"/>
  <c r="A1090" i="14"/>
  <c r="A1089" i="14"/>
  <c r="A1088" i="14"/>
  <c r="A1085" i="14"/>
  <c r="A1084" i="14"/>
  <c r="A1083" i="14"/>
  <c r="A1082" i="14"/>
  <c r="A1081" i="14"/>
  <c r="A1080" i="14"/>
  <c r="A1053" i="14"/>
  <c r="A1044" i="14"/>
  <c r="A1043" i="14"/>
  <c r="A1042" i="14"/>
  <c r="D109" i="16"/>
  <c r="A1041" i="14"/>
  <c r="A1040" i="14"/>
  <c r="A1030" i="14"/>
  <c r="A1029" i="14"/>
  <c r="A1024" i="14"/>
  <c r="A1023" i="14"/>
  <c r="A1022" i="14"/>
  <c r="A1021" i="14"/>
  <c r="A1020" i="14"/>
  <c r="A1019" i="14"/>
  <c r="A1018" i="14"/>
  <c r="A1017" i="14"/>
  <c r="A1016" i="14"/>
  <c r="A1015" i="14"/>
  <c r="A1014" i="14"/>
  <c r="A1013" i="14"/>
  <c r="A1012" i="14"/>
  <c r="A1011" i="14"/>
  <c r="A1010" i="14"/>
  <c r="A1009" i="14"/>
  <c r="A1008" i="14"/>
  <c r="A1007" i="14"/>
  <c r="A1006" i="14"/>
  <c r="A997" i="14"/>
  <c r="A996" i="14"/>
  <c r="A995" i="14"/>
  <c r="A994" i="14"/>
  <c r="A993" i="14"/>
  <c r="A992" i="14"/>
  <c r="A991" i="14"/>
  <c r="A990" i="14"/>
  <c r="A989" i="14"/>
  <c r="A988" i="14"/>
  <c r="A984" i="14"/>
  <c r="A983" i="14"/>
  <c r="A982" i="14"/>
  <c r="A981" i="14"/>
  <c r="A980" i="14"/>
  <c r="A979" i="14"/>
  <c r="A978" i="14"/>
  <c r="A977" i="14"/>
  <c r="A976" i="14"/>
  <c r="A975" i="14"/>
  <c r="A974" i="14"/>
  <c r="A973" i="14"/>
  <c r="A972" i="14"/>
  <c r="A971" i="14"/>
  <c r="A970" i="14"/>
  <c r="A969" i="14"/>
  <c r="A968" i="14"/>
  <c r="A963" i="14"/>
  <c r="A962" i="14"/>
  <c r="A961" i="14"/>
  <c r="A960" i="14"/>
  <c r="A959" i="14"/>
  <c r="A958" i="14"/>
  <c r="A954" i="14"/>
  <c r="A953" i="14"/>
  <c r="A952" i="14"/>
  <c r="A951" i="14"/>
  <c r="A950" i="14"/>
  <c r="A939" i="14"/>
  <c r="A938" i="14"/>
  <c r="A937" i="14"/>
  <c r="A932" i="14"/>
  <c r="A931" i="14"/>
  <c r="A930" i="14"/>
  <c r="A929" i="14"/>
  <c r="A928" i="14"/>
  <c r="A927" i="14"/>
  <c r="A926" i="14"/>
  <c r="A924" i="14"/>
  <c r="A923" i="14"/>
  <c r="A922" i="14"/>
  <c r="A921" i="14"/>
  <c r="A920" i="14"/>
  <c r="A915" i="14"/>
  <c r="A914" i="14"/>
  <c r="A913" i="14"/>
  <c r="A912" i="14"/>
  <c r="A911" i="14"/>
  <c r="A910" i="14"/>
  <c r="A909" i="14"/>
  <c r="A908" i="14"/>
  <c r="A907" i="14"/>
  <c r="A906" i="14"/>
  <c r="A903" i="14"/>
  <c r="A902" i="14"/>
  <c r="A901" i="14"/>
  <c r="A900" i="14"/>
  <c r="A890" i="14"/>
  <c r="A889" i="14"/>
  <c r="A888" i="14"/>
  <c r="A887" i="14"/>
  <c r="A886" i="14"/>
  <c r="A885" i="14"/>
  <c r="A884" i="14"/>
  <c r="A883" i="14"/>
  <c r="A882" i="14"/>
  <c r="A881" i="14"/>
  <c r="A880" i="14"/>
  <c r="A879" i="14"/>
  <c r="A878" i="14"/>
  <c r="A877" i="14"/>
  <c r="A871" i="14"/>
  <c r="A870" i="14"/>
  <c r="A869" i="14"/>
  <c r="A868" i="14"/>
  <c r="A867" i="14"/>
  <c r="A866" i="14"/>
  <c r="A865" i="14"/>
  <c r="A864" i="14"/>
  <c r="A863" i="14"/>
  <c r="A862" i="14"/>
  <c r="A843" i="14"/>
  <c r="A833" i="14"/>
  <c r="A828" i="14"/>
  <c r="A827" i="14"/>
  <c r="A826" i="14"/>
  <c r="A825" i="14"/>
  <c r="A824" i="14"/>
  <c r="A823" i="14"/>
  <c r="A822" i="14"/>
  <c r="A821" i="14"/>
  <c r="A820" i="14"/>
  <c r="A819" i="14"/>
  <c r="A818" i="14"/>
  <c r="A817" i="14"/>
  <c r="A816" i="14"/>
  <c r="A815" i="14"/>
  <c r="A808" i="14"/>
  <c r="A807" i="14"/>
  <c r="A806" i="14"/>
  <c r="A805" i="14"/>
  <c r="A804" i="14"/>
  <c r="A803" i="14"/>
  <c r="A802" i="14"/>
  <c r="A792" i="14"/>
  <c r="A791" i="14"/>
  <c r="A790" i="14"/>
  <c r="A789" i="14"/>
  <c r="A788" i="14"/>
  <c r="A786" i="14"/>
  <c r="A785" i="14"/>
  <c r="A784" i="14"/>
  <c r="A783" i="14"/>
  <c r="A782" i="14"/>
  <c r="A781" i="14"/>
  <c r="A769" i="14"/>
  <c r="A768" i="14"/>
  <c r="A767" i="14"/>
  <c r="A766" i="14"/>
  <c r="A763" i="14"/>
  <c r="A761" i="14"/>
  <c r="A760" i="14"/>
  <c r="A759" i="14"/>
  <c r="A758" i="14"/>
  <c r="A757" i="14"/>
  <c r="A756" i="14"/>
  <c r="A755" i="14"/>
  <c r="A754" i="14"/>
  <c r="A753" i="14"/>
  <c r="A752" i="14"/>
  <c r="A751" i="14"/>
  <c r="A750" i="14"/>
  <c r="A749" i="14"/>
  <c r="A748" i="14"/>
  <c r="A747" i="14"/>
  <c r="A746" i="14"/>
  <c r="A740" i="14"/>
  <c r="A739" i="14"/>
  <c r="A738" i="14"/>
  <c r="A733" i="14"/>
  <c r="A732" i="14"/>
  <c r="A731" i="14"/>
  <c r="A730" i="14"/>
  <c r="A727" i="14"/>
  <c r="A726" i="14"/>
  <c r="A725" i="14"/>
  <c r="A724" i="14"/>
  <c r="A712" i="14"/>
  <c r="A701" i="14"/>
  <c r="A699" i="14"/>
  <c r="A698" i="14"/>
  <c r="A697" i="14"/>
  <c r="A693" i="14"/>
  <c r="A692" i="14"/>
  <c r="A691" i="14"/>
  <c r="A687" i="14"/>
  <c r="A686" i="14"/>
  <c r="A685" i="14"/>
  <c r="A681" i="14"/>
  <c r="A680" i="14"/>
  <c r="A679"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4" i="14"/>
  <c r="A643" i="14"/>
  <c r="A642" i="14"/>
  <c r="A641" i="14"/>
  <c r="A640" i="14"/>
  <c r="A639" i="14"/>
  <c r="A638" i="14"/>
  <c r="A637" i="14"/>
  <c r="A628" i="14"/>
  <c r="A627" i="14"/>
  <c r="A626" i="14"/>
  <c r="A621" i="14"/>
  <c r="A620" i="14"/>
  <c r="A619" i="14"/>
  <c r="A618" i="14"/>
  <c r="A617" i="14"/>
  <c r="A616" i="14"/>
  <c r="A615" i="14"/>
  <c r="A614" i="14"/>
  <c r="A613" i="14"/>
  <c r="A610" i="14"/>
  <c r="A609" i="14"/>
  <c r="A608" i="14"/>
  <c r="A607" i="14"/>
  <c r="A606" i="14"/>
  <c r="A605" i="14"/>
  <c r="A603" i="14"/>
  <c r="A602" i="14"/>
  <c r="A600" i="14"/>
  <c r="A599" i="14"/>
  <c r="A598" i="14"/>
  <c r="A597" i="14"/>
  <c r="A596" i="14"/>
  <c r="A595" i="14"/>
  <c r="A594" i="14"/>
  <c r="A593" i="14"/>
  <c r="A592" i="14"/>
  <c r="A590" i="14"/>
  <c r="A589" i="14"/>
  <c r="A588" i="14"/>
  <c r="A583" i="14"/>
  <c r="A582" i="14"/>
  <c r="A581" i="14"/>
  <c r="A580" i="14"/>
  <c r="A573" i="14"/>
  <c r="A572" i="14"/>
  <c r="A571" i="14"/>
  <c r="A569" i="14"/>
  <c r="A568" i="14"/>
  <c r="A567" i="14"/>
  <c r="A558" i="14"/>
  <c r="A557"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5" i="14"/>
  <c r="A524" i="14"/>
  <c r="A523" i="14"/>
  <c r="A522" i="14"/>
  <c r="A521" i="14"/>
  <c r="A520" i="14"/>
  <c r="A519" i="14"/>
  <c r="A518" i="14"/>
  <c r="A517" i="14"/>
  <c r="A516" i="14"/>
  <c r="A515" i="14"/>
  <c r="A514" i="14"/>
  <c r="A513" i="14"/>
  <c r="A512" i="14"/>
  <c r="F29" i="16"/>
  <c r="A511" i="14"/>
  <c r="A510" i="14"/>
  <c r="A509" i="14"/>
  <c r="A508" i="14"/>
  <c r="A507" i="14"/>
  <c r="A506" i="14"/>
  <c r="A505" i="14"/>
  <c r="A504" i="14"/>
  <c r="A503" i="14"/>
  <c r="A500" i="14"/>
  <c r="A499" i="14"/>
  <c r="A498" i="14"/>
  <c r="A497" i="14"/>
  <c r="A496" i="14"/>
  <c r="A495" i="14"/>
  <c r="A494" i="14"/>
  <c r="A493" i="14"/>
  <c r="A489" i="14"/>
  <c r="A488" i="14"/>
  <c r="A487" i="14"/>
  <c r="A486" i="14"/>
  <c r="A485" i="14"/>
  <c r="A484" i="14"/>
  <c r="A483" i="14"/>
  <c r="A482" i="14"/>
  <c r="A481" i="14"/>
  <c r="A478" i="14"/>
  <c r="A477" i="14"/>
  <c r="A476" i="14"/>
  <c r="A470" i="14"/>
  <c r="A447" i="14"/>
  <c r="A446" i="14"/>
  <c r="A445" i="14"/>
  <c r="A444" i="14"/>
  <c r="A443" i="14"/>
  <c r="A442" i="14"/>
  <c r="A441" i="14"/>
  <c r="A440" i="14"/>
  <c r="A439" i="14"/>
  <c r="A438" i="14"/>
  <c r="A437" i="14"/>
  <c r="A436" i="14"/>
  <c r="A428" i="14"/>
  <c r="A427" i="14"/>
  <c r="A426" i="14"/>
  <c r="A425" i="14"/>
  <c r="A424" i="14"/>
  <c r="A423" i="14"/>
  <c r="A422" i="14"/>
  <c r="A421" i="14"/>
  <c r="A420" i="14"/>
  <c r="A419" i="14"/>
  <c r="A418" i="14"/>
  <c r="A417" i="14"/>
  <c r="A416" i="14"/>
  <c r="A415" i="14"/>
  <c r="A414" i="14"/>
  <c r="A413" i="14"/>
  <c r="A412" i="14"/>
  <c r="A408" i="14"/>
  <c r="A407" i="14"/>
  <c r="A406" i="14"/>
  <c r="A405" i="14"/>
  <c r="A404" i="14"/>
  <c r="A398" i="14"/>
  <c r="A397" i="14"/>
  <c r="A394" i="14"/>
  <c r="A393" i="14"/>
  <c r="A388" i="14"/>
  <c r="A387" i="14"/>
  <c r="A386" i="14"/>
  <c r="A385" i="14"/>
  <c r="A384" i="14"/>
  <c r="A378" i="14"/>
  <c r="A377" i="14"/>
  <c r="A376" i="14"/>
  <c r="A375" i="14"/>
  <c r="A374" i="14"/>
  <c r="A373" i="14"/>
  <c r="A370" i="14"/>
  <c r="A369" i="14"/>
  <c r="A368" i="14"/>
  <c r="A367" i="14"/>
  <c r="A362" i="14"/>
  <c r="A361" i="14"/>
  <c r="A360" i="14"/>
  <c r="A357" i="14"/>
  <c r="A356" i="14"/>
  <c r="A355" i="14"/>
  <c r="A354" i="14"/>
  <c r="A353" i="14"/>
  <c r="A352" i="14"/>
  <c r="A351" i="14"/>
  <c r="A350" i="14"/>
  <c r="A349" i="14"/>
  <c r="A348" i="14"/>
  <c r="A347" i="14"/>
  <c r="A346" i="14"/>
  <c r="A345" i="14"/>
  <c r="A344" i="14"/>
  <c r="A343" i="14"/>
  <c r="A342" i="14"/>
  <c r="A337" i="14"/>
  <c r="A336" i="14"/>
  <c r="A296" i="14"/>
  <c r="A295" i="14"/>
  <c r="A293" i="14"/>
  <c r="A292" i="14"/>
  <c r="A239" i="14"/>
  <c r="A232" i="14"/>
  <c r="A229" i="14"/>
  <c r="A228" i="14"/>
  <c r="A225" i="14"/>
  <c r="A224" i="14"/>
  <c r="A223" i="14"/>
  <c r="A218" i="14"/>
  <c r="A217" i="14"/>
  <c r="A136" i="14"/>
  <c r="A135" i="14"/>
  <c r="A134" i="14"/>
  <c r="A133" i="14"/>
  <c r="A111" i="14"/>
  <c r="A110" i="14"/>
  <c r="A109" i="14"/>
  <c r="A108" i="14"/>
  <c r="A107" i="14"/>
  <c r="A106" i="14"/>
  <c r="A105" i="14"/>
  <c r="A104" i="14"/>
  <c r="A103" i="14"/>
  <c r="A100" i="14"/>
  <c r="A99" i="14"/>
  <c r="A98" i="14"/>
  <c r="A89" i="14"/>
  <c r="A88" i="14"/>
  <c r="A87" i="14"/>
  <c r="A86" i="14"/>
  <c r="A85" i="14"/>
  <c r="A84" i="14"/>
  <c r="A62" i="14"/>
  <c r="A60" i="14"/>
  <c r="A57" i="14"/>
  <c r="A56" i="14"/>
  <c r="A55" i="14"/>
  <c r="A54" i="14"/>
  <c r="A53" i="14"/>
  <c r="A49" i="14"/>
  <c r="A48" i="14"/>
  <c r="A47" i="14"/>
  <c r="A46" i="14"/>
  <c r="A45" i="14"/>
  <c r="A44" i="14"/>
  <c r="A43" i="14"/>
  <c r="A42" i="14"/>
  <c r="A41" i="14"/>
  <c r="A40" i="14"/>
  <c r="A39" i="14"/>
  <c r="A38" i="14"/>
  <c r="A37" i="14"/>
  <c r="A36" i="14"/>
  <c r="A35" i="14"/>
  <c r="A34" i="14"/>
  <c r="A33" i="14"/>
  <c r="A32" i="14"/>
  <c r="A31" i="14"/>
  <c r="A30" i="14"/>
  <c r="A29" i="14"/>
  <c r="A28" i="14"/>
  <c r="A25" i="14"/>
  <c r="A23" i="14"/>
  <c r="A22" i="14"/>
  <c r="A21" i="14"/>
  <c r="A20" i="14"/>
  <c r="A15" i="14"/>
  <c r="A14" i="14"/>
  <c r="A13" i="14"/>
  <c r="A12" i="14"/>
  <c r="A11" i="14"/>
  <c r="A10" i="14"/>
  <c r="D15" i="10"/>
  <c r="D14" i="10"/>
  <c r="D20" i="10" s="1"/>
  <c r="B45" i="7"/>
  <c r="C43" i="7" s="1"/>
  <c r="B15" i="7"/>
  <c r="B21" i="7" s="1"/>
  <c r="F22" i="6"/>
  <c r="C22" i="6"/>
  <c r="F16" i="6"/>
  <c r="C16" i="6"/>
  <c r="F13" i="6"/>
  <c r="H13" i="6" s="1"/>
  <c r="C13" i="6"/>
  <c r="F11" i="6"/>
  <c r="H11" i="6" s="1"/>
  <c r="C11" i="6"/>
  <c r="E11" i="6" s="1"/>
  <c r="C24" i="5"/>
  <c r="C18" i="5"/>
  <c r="B19" i="7" s="1"/>
  <c r="C16" i="5"/>
  <c r="E16" i="5" s="1"/>
  <c r="C13" i="5"/>
  <c r="E13" i="5" s="1"/>
  <c r="C11" i="5"/>
  <c r="E11" i="5" s="1"/>
  <c r="C120" i="4"/>
  <c r="C119" i="4"/>
  <c r="C116" i="4"/>
  <c r="C113" i="4"/>
  <c r="C112" i="4"/>
  <c r="C110" i="4"/>
  <c r="C108" i="4"/>
  <c r="C107" i="4"/>
  <c r="C106" i="4"/>
  <c r="C105" i="4"/>
  <c r="C104" i="4"/>
  <c r="C101" i="4"/>
  <c r="C95" i="4"/>
  <c r="C94" i="4"/>
  <c r="C93" i="4"/>
  <c r="C92" i="4"/>
  <c r="C91" i="4"/>
  <c r="C90" i="4"/>
  <c r="C89" i="4"/>
  <c r="C88" i="4"/>
  <c r="C87" i="4"/>
  <c r="C84" i="4"/>
  <c r="C83" i="4"/>
  <c r="C79" i="4"/>
  <c r="C77" i="4"/>
  <c r="C75" i="4"/>
  <c r="C70" i="4"/>
  <c r="C69" i="4"/>
  <c r="C68" i="4"/>
  <c r="C67" i="4"/>
  <c r="C66" i="4"/>
  <c r="C63" i="4"/>
  <c r="C62" i="4"/>
  <c r="C60" i="4"/>
  <c r="C58" i="4"/>
  <c r="C57" i="4"/>
  <c r="C56" i="4"/>
  <c r="C53" i="4"/>
  <c r="C52" i="4"/>
  <c r="C50" i="4"/>
  <c r="C49" i="4"/>
  <c r="C48" i="4"/>
  <c r="C47" i="4"/>
  <c r="C45" i="4"/>
  <c r="C44" i="4"/>
  <c r="C43" i="4"/>
  <c r="C42" i="4"/>
  <c r="C41" i="4"/>
  <c r="C40" i="4"/>
  <c r="C39" i="4"/>
  <c r="C38" i="4"/>
  <c r="C37" i="4"/>
  <c r="C36" i="4"/>
  <c r="C35" i="4"/>
  <c r="C34" i="4"/>
  <c r="C32" i="4"/>
  <c r="C31" i="4"/>
  <c r="C30" i="4"/>
  <c r="C29" i="4"/>
  <c r="C28" i="4"/>
  <c r="C27" i="4"/>
  <c r="C25" i="4"/>
  <c r="C24" i="4"/>
  <c r="C120" i="3"/>
  <c r="C119" i="3"/>
  <c r="C116" i="3"/>
  <c r="C113" i="3"/>
  <c r="C112" i="3"/>
  <c r="C110" i="3"/>
  <c r="C108" i="3"/>
  <c r="C107" i="3"/>
  <c r="C106" i="3"/>
  <c r="C104" i="3"/>
  <c r="C101" i="3"/>
  <c r="C95" i="3"/>
  <c r="C94" i="3"/>
  <c r="C93" i="3"/>
  <c r="C92" i="3"/>
  <c r="C91" i="3"/>
  <c r="C90" i="3"/>
  <c r="C89" i="3"/>
  <c r="C88" i="3"/>
  <c r="C87" i="3"/>
  <c r="C84" i="3"/>
  <c r="C83" i="3"/>
  <c r="C79" i="3"/>
  <c r="C77" i="3"/>
  <c r="C76" i="3"/>
  <c r="C75" i="3"/>
  <c r="C69" i="3"/>
  <c r="C68" i="3"/>
  <c r="C67" i="3"/>
  <c r="C66" i="3"/>
  <c r="C63" i="3"/>
  <c r="C57" i="3"/>
  <c r="C56" i="3"/>
  <c r="C53" i="3"/>
  <c r="C50" i="3"/>
  <c r="C49" i="3"/>
  <c r="C47" i="3"/>
  <c r="C45" i="3"/>
  <c r="C44" i="3"/>
  <c r="C43" i="3"/>
  <c r="C42" i="3"/>
  <c r="C41" i="3"/>
  <c r="C40" i="3"/>
  <c r="C39" i="3"/>
  <c r="C38" i="3"/>
  <c r="C37" i="3"/>
  <c r="C36" i="3"/>
  <c r="C35" i="3"/>
  <c r="C34" i="3"/>
  <c r="C32" i="3"/>
  <c r="C31" i="3"/>
  <c r="C30" i="3"/>
  <c r="C29" i="3"/>
  <c r="C28" i="3"/>
  <c r="C27" i="3"/>
  <c r="C25" i="3"/>
  <c r="C24" i="3"/>
  <c r="C21" i="3"/>
  <c r="C19" i="3"/>
  <c r="C18" i="3"/>
  <c r="C17" i="3"/>
  <c r="C16" i="3"/>
  <c r="C12" i="3"/>
  <c r="C10" i="3"/>
  <c r="M95" i="2"/>
  <c r="O95" i="2" s="1"/>
  <c r="J95" i="2"/>
  <c r="L95" i="2" s="1"/>
  <c r="M49" i="2"/>
  <c r="O49" i="2" s="1"/>
  <c r="L49" i="2"/>
  <c r="M44" i="2"/>
  <c r="O44" i="2" s="1"/>
  <c r="J44" i="2"/>
  <c r="M35" i="2"/>
  <c r="O35" i="2" s="1"/>
  <c r="J35" i="2"/>
  <c r="L35" i="2" s="1"/>
  <c r="M33" i="2"/>
  <c r="O33" i="2" s="1"/>
  <c r="J33" i="2"/>
  <c r="L33" i="2" s="1"/>
  <c r="M30" i="2"/>
  <c r="O30" i="2" s="1"/>
  <c r="J30" i="2"/>
  <c r="L30" i="2" s="1"/>
  <c r="O27" i="2"/>
  <c r="J27" i="2"/>
  <c r="L27" i="2" s="1"/>
  <c r="M25" i="2"/>
  <c r="O25" i="2" s="1"/>
  <c r="J25" i="2"/>
  <c r="L25" i="2" s="1"/>
  <c r="M20" i="2"/>
  <c r="O20" i="2" s="1"/>
  <c r="J20" i="2"/>
  <c r="L20" i="2" s="1"/>
  <c r="M16" i="2"/>
  <c r="O16" i="2" s="1"/>
  <c r="J16" i="2"/>
  <c r="L16" i="2" s="1"/>
  <c r="M14" i="2"/>
  <c r="O14" i="2" s="1"/>
  <c r="J14" i="2"/>
  <c r="L14" i="2" s="1"/>
  <c r="M12" i="2"/>
  <c r="O12" i="2" s="1"/>
  <c r="J12" i="2"/>
  <c r="L12" i="2" s="1"/>
  <c r="L114" i="1"/>
  <c r="L50" i="1"/>
  <c r="L45" i="1"/>
  <c r="L32" i="1"/>
  <c r="L30" i="1"/>
  <c r="L27" i="1"/>
  <c r="L25" i="1"/>
  <c r="L20" i="1"/>
  <c r="L16" i="1"/>
  <c r="L14" i="1"/>
  <c r="C15" i="5" l="1"/>
  <c r="E15" i="5" s="1"/>
  <c r="E18" i="5"/>
  <c r="L297" i="15"/>
  <c r="I297" i="15"/>
  <c r="I294" i="15" s="1"/>
  <c r="L44" i="2"/>
  <c r="J43" i="2"/>
  <c r="D27" i="21"/>
  <c r="L106" i="15"/>
  <c r="L102" i="15" s="1"/>
  <c r="G27" i="21"/>
  <c r="I102" i="15"/>
  <c r="L95" i="15"/>
  <c r="L88" i="15" s="1"/>
  <c r="L83" i="15" s="1"/>
  <c r="I95" i="15"/>
  <c r="I88" i="15" s="1"/>
  <c r="I83" i="15" s="1"/>
  <c r="I37" i="15"/>
  <c r="I26" i="15" s="1"/>
  <c r="L37" i="15"/>
  <c r="L26" i="15" s="1"/>
  <c r="L16" i="15"/>
  <c r="I242" i="15"/>
  <c r="L242" i="15"/>
  <c r="B18" i="10"/>
  <c r="B16" i="10" s="1"/>
  <c r="E16" i="6"/>
  <c r="C21" i="6"/>
  <c r="E21" i="6" s="1"/>
  <c r="E22" i="6"/>
  <c r="B15" i="10"/>
  <c r="B21" i="10" s="1"/>
  <c r="E13" i="6"/>
  <c r="F21" i="6"/>
  <c r="H21" i="6" s="1"/>
  <c r="H22" i="6"/>
  <c r="F15" i="6"/>
  <c r="H15" i="6" s="1"/>
  <c r="H16" i="6"/>
  <c r="I401" i="15"/>
  <c r="L417" i="15"/>
  <c r="I72" i="21" s="1"/>
  <c r="I426" i="15"/>
  <c r="I427" i="15"/>
  <c r="I433" i="15"/>
  <c r="F31" i="21"/>
  <c r="L218" i="15"/>
  <c r="D47" i="21"/>
  <c r="I225" i="15"/>
  <c r="L405" i="15"/>
  <c r="I416" i="15"/>
  <c r="F71" i="21" s="1"/>
  <c r="I417" i="15"/>
  <c r="F72" i="21" s="1"/>
  <c r="L47" i="15"/>
  <c r="I191" i="15"/>
  <c r="I217" i="15"/>
  <c r="I218" i="15"/>
  <c r="G19" i="21"/>
  <c r="L358" i="15"/>
  <c r="L374" i="15"/>
  <c r="I405" i="15"/>
  <c r="I437" i="15"/>
  <c r="I339" i="15"/>
  <c r="L23" i="15"/>
  <c r="I46" i="15"/>
  <c r="F91" i="21" s="1"/>
  <c r="L177" i="15"/>
  <c r="L168" i="15" s="1"/>
  <c r="I358" i="15"/>
  <c r="I374" i="15"/>
  <c r="I23" i="15"/>
  <c r="I13" i="15"/>
  <c r="G39" i="21"/>
  <c r="L151" i="15"/>
  <c r="L157" i="15"/>
  <c r="L343" i="15"/>
  <c r="G21" i="21"/>
  <c r="L377" i="15"/>
  <c r="L13" i="15"/>
  <c r="I177" i="15"/>
  <c r="I168" i="15" s="1"/>
  <c r="F40" i="21" s="1"/>
  <c r="L117" i="15"/>
  <c r="L143" i="15"/>
  <c r="I151" i="15"/>
  <c r="I155" i="15"/>
  <c r="F16" i="21" s="1"/>
  <c r="I157" i="15"/>
  <c r="L162" i="15"/>
  <c r="L306" i="15"/>
  <c r="L307" i="15"/>
  <c r="I376" i="15"/>
  <c r="F21" i="21" s="1"/>
  <c r="I377" i="15"/>
  <c r="L396" i="15"/>
  <c r="I16" i="15"/>
  <c r="I142" i="15"/>
  <c r="F38" i="21" s="1"/>
  <c r="I143" i="15"/>
  <c r="I161" i="15"/>
  <c r="I162" i="15"/>
  <c r="I306" i="15"/>
  <c r="I307" i="15"/>
  <c r="I312" i="15"/>
  <c r="I313" i="15"/>
  <c r="I396" i="15"/>
  <c r="L401" i="15"/>
  <c r="L422" i="15"/>
  <c r="L426" i="15"/>
  <c r="L427" i="15"/>
  <c r="L433" i="15"/>
  <c r="G47" i="21"/>
  <c r="L225" i="15"/>
  <c r="I346" i="15"/>
  <c r="I349" i="15"/>
  <c r="G32" i="21"/>
  <c r="L191" i="15"/>
  <c r="L339" i="15"/>
  <c r="F67" i="16"/>
  <c r="F49" i="16"/>
  <c r="F31" i="16"/>
  <c r="D91" i="16"/>
  <c r="F91" i="16"/>
  <c r="D39" i="16"/>
  <c r="F39" i="16"/>
  <c r="F110" i="16"/>
  <c r="C52" i="3"/>
  <c r="F94" i="16"/>
  <c r="D106" i="16"/>
  <c r="F34" i="16"/>
  <c r="D51" i="16"/>
  <c r="F63" i="16"/>
  <c r="D44" i="16"/>
  <c r="C23" i="5"/>
  <c r="E23" i="5" s="1"/>
  <c r="E24" i="5"/>
  <c r="L35" i="1"/>
  <c r="L37" i="1"/>
  <c r="B33" i="7"/>
  <c r="B13" i="22"/>
  <c r="F21" i="16"/>
  <c r="F131" i="16"/>
  <c r="E74" i="21"/>
  <c r="E137" i="21"/>
  <c r="F32" i="16"/>
  <c r="E40" i="21"/>
  <c r="D23" i="16"/>
  <c r="D96" i="21"/>
  <c r="C10" i="6"/>
  <c r="E10" i="6" s="1"/>
  <c r="B13" i="18"/>
  <c r="I356" i="15"/>
  <c r="C17" i="29"/>
  <c r="I49" i="17"/>
  <c r="E17" i="21"/>
  <c r="M24" i="2"/>
  <c r="M43" i="2"/>
  <c r="C45" i="7"/>
  <c r="G49" i="17"/>
  <c r="C44" i="7"/>
  <c r="F10" i="6"/>
  <c r="H10" i="6" s="1"/>
  <c r="C42" i="7"/>
  <c r="D27" i="16"/>
  <c r="D74" i="21"/>
  <c r="J24" i="2"/>
  <c r="L24" i="2" s="1"/>
  <c r="D17" i="29"/>
  <c r="D12" i="16"/>
  <c r="E20" i="21"/>
  <c r="E73" i="21"/>
  <c r="I52" i="17"/>
  <c r="I381" i="15"/>
  <c r="F35" i="16"/>
  <c r="D31" i="23"/>
  <c r="E38" i="21"/>
  <c r="C31" i="23"/>
  <c r="C15" i="6"/>
  <c r="E15" i="6" s="1"/>
  <c r="B17" i="7"/>
  <c r="C16" i="28"/>
  <c r="C10" i="5"/>
  <c r="E10" i="5" s="1"/>
  <c r="B14" i="7"/>
  <c r="D42" i="7" s="1"/>
  <c r="D72" i="16"/>
  <c r="E24" i="26"/>
  <c r="D17" i="39"/>
  <c r="D29" i="16"/>
  <c r="C33" i="3"/>
  <c r="C86" i="3"/>
  <c r="C65" i="4"/>
  <c r="C103" i="4"/>
  <c r="C86" i="4"/>
  <c r="E49" i="17"/>
  <c r="E52" i="17"/>
  <c r="C33" i="4"/>
  <c r="E95" i="21"/>
  <c r="D97" i="21"/>
  <c r="D98" i="21"/>
  <c r="D112" i="21"/>
  <c r="D94" i="16"/>
  <c r="E97" i="21"/>
  <c r="E98" i="21"/>
  <c r="E91" i="21"/>
  <c r="E16" i="21"/>
  <c r="I215" i="15"/>
  <c r="D32" i="10"/>
  <c r="D72" i="21"/>
  <c r="D24" i="16"/>
  <c r="F49" i="17"/>
  <c r="D108" i="16"/>
  <c r="E29" i="21"/>
  <c r="E46" i="21"/>
  <c r="F96" i="16"/>
  <c r="D60" i="16"/>
  <c r="E96" i="21"/>
  <c r="E19" i="21"/>
  <c r="E12" i="21"/>
  <c r="E112" i="21"/>
  <c r="E72" i="21"/>
  <c r="E62" i="21"/>
  <c r="B14" i="10"/>
  <c r="D18" i="10"/>
  <c r="D16" i="10" s="1"/>
  <c r="D52" i="17"/>
  <c r="H52" i="17"/>
  <c r="G52" i="17"/>
  <c r="D13" i="10"/>
  <c r="D49" i="17"/>
  <c r="H49" i="17"/>
  <c r="F52" i="17"/>
  <c r="C24" i="26"/>
  <c r="I160" i="15" l="1"/>
  <c r="F89" i="16"/>
  <c r="F29" i="21"/>
  <c r="G58" i="21"/>
  <c r="G60" i="21"/>
  <c r="I432" i="15"/>
  <c r="F60" i="21" s="1"/>
  <c r="D60" i="21"/>
  <c r="F62" i="21"/>
  <c r="G48" i="21"/>
  <c r="D62" i="21"/>
  <c r="D48" i="21"/>
  <c r="J11" i="2"/>
  <c r="L11" i="2" s="1"/>
  <c r="I372" i="15"/>
  <c r="F18" i="21" s="1"/>
  <c r="L222" i="15"/>
  <c r="D38" i="21"/>
  <c r="F53" i="16"/>
  <c r="I140" i="15"/>
  <c r="D63" i="16"/>
  <c r="D71" i="21"/>
  <c r="D140" i="21"/>
  <c r="D57" i="16"/>
  <c r="D33" i="16"/>
  <c r="D21" i="21"/>
  <c r="F56" i="16"/>
  <c r="D19" i="16"/>
  <c r="D29" i="21"/>
  <c r="D37" i="16"/>
  <c r="L223" i="15"/>
  <c r="D31" i="21"/>
  <c r="F45" i="16"/>
  <c r="D34" i="16"/>
  <c r="D40" i="16"/>
  <c r="D32" i="16"/>
  <c r="L229" i="15"/>
  <c r="L154" i="15"/>
  <c r="L155" i="15"/>
  <c r="I16" i="21" s="1"/>
  <c r="G16" i="21"/>
  <c r="L361" i="15"/>
  <c r="G12" i="21"/>
  <c r="I137" i="21"/>
  <c r="G137" i="21"/>
  <c r="L432" i="15"/>
  <c r="G62" i="21"/>
  <c r="L421" i="15"/>
  <c r="I74" i="21" s="1"/>
  <c r="G74" i="21"/>
  <c r="L161" i="15"/>
  <c r="L160" i="15" s="1"/>
  <c r="G29" i="21"/>
  <c r="L142" i="15"/>
  <c r="I38" i="21" s="1"/>
  <c r="G38" i="21"/>
  <c r="L116" i="15"/>
  <c r="I28" i="21" s="1"/>
  <c r="G28" i="21"/>
  <c r="L156" i="15"/>
  <c r="I17" i="21" s="1"/>
  <c r="G17" i="21"/>
  <c r="G40" i="21"/>
  <c r="L373" i="15"/>
  <c r="I20" i="21" s="1"/>
  <c r="G20" i="21"/>
  <c r="L46" i="15"/>
  <c r="I91" i="21" s="1"/>
  <c r="G91" i="21"/>
  <c r="L416" i="15"/>
  <c r="I71" i="21" s="1"/>
  <c r="G71" i="21"/>
  <c r="I31" i="21"/>
  <c r="G31" i="21"/>
  <c r="G140" i="21"/>
  <c r="F48" i="21"/>
  <c r="G46" i="21"/>
  <c r="G61" i="21"/>
  <c r="L216" i="15"/>
  <c r="L45" i="15"/>
  <c r="I90" i="21" s="1"/>
  <c r="G90" i="21"/>
  <c r="L382" i="15"/>
  <c r="I22" i="21" s="1"/>
  <c r="G22" i="21"/>
  <c r="D21" i="16"/>
  <c r="D98" i="16"/>
  <c r="F83" i="16"/>
  <c r="D15" i="16"/>
  <c r="D17" i="16"/>
  <c r="D101" i="16"/>
  <c r="D43" i="7"/>
  <c r="D45" i="7" s="1"/>
  <c r="E44" i="7" s="1"/>
  <c r="B22" i="7"/>
  <c r="B28" i="7" s="1"/>
  <c r="G139" i="21"/>
  <c r="D91" i="21"/>
  <c r="I380" i="15"/>
  <c r="I45" i="15"/>
  <c r="F90" i="21" s="1"/>
  <c r="L159" i="15"/>
  <c r="D40" i="21"/>
  <c r="I216" i="15"/>
  <c r="I430" i="15"/>
  <c r="F54" i="21" s="1"/>
  <c r="D22" i="21"/>
  <c r="I382" i="15"/>
  <c r="F22" i="21" s="1"/>
  <c r="I141" i="15"/>
  <c r="L141" i="15"/>
  <c r="G11" i="21"/>
  <c r="L363" i="15"/>
  <c r="I12" i="21" s="1"/>
  <c r="F111" i="4"/>
  <c r="F109" i="4" s="1"/>
  <c r="L395" i="15"/>
  <c r="D17" i="21"/>
  <c r="I156" i="15"/>
  <c r="F17" i="21" s="1"/>
  <c r="F115" i="4"/>
  <c r="F114" i="4" s="1"/>
  <c r="L342" i="15"/>
  <c r="C20" i="4"/>
  <c r="I22" i="15"/>
  <c r="I403" i="15"/>
  <c r="I404" i="15"/>
  <c r="L403" i="15"/>
  <c r="L404" i="15"/>
  <c r="D28" i="21"/>
  <c r="I116" i="15"/>
  <c r="F28" i="21" s="1"/>
  <c r="I101" i="15"/>
  <c r="F27" i="21"/>
  <c r="D12" i="21"/>
  <c r="I363" i="15"/>
  <c r="F12" i="21" s="1"/>
  <c r="L115" i="15"/>
  <c r="I342" i="15"/>
  <c r="L114" i="15"/>
  <c r="C13" i="4"/>
  <c r="E21" i="21"/>
  <c r="L376" i="15"/>
  <c r="I21" i="21" s="1"/>
  <c r="I12" i="15"/>
  <c r="I436" i="15"/>
  <c r="I399" i="15"/>
  <c r="I400" i="15"/>
  <c r="L355" i="15"/>
  <c r="I222" i="15"/>
  <c r="D137" i="21"/>
  <c r="F137" i="21"/>
  <c r="I27" i="21"/>
  <c r="F118" i="4"/>
  <c r="F117" i="4" s="1"/>
  <c r="L346" i="15"/>
  <c r="L372" i="15"/>
  <c r="I421" i="15"/>
  <c r="F74" i="21" s="1"/>
  <c r="E48" i="21"/>
  <c r="I48" i="21"/>
  <c r="L190" i="15"/>
  <c r="I32" i="21" s="1"/>
  <c r="I395" i="15"/>
  <c r="I461" i="15"/>
  <c r="E39" i="21"/>
  <c r="L150" i="15"/>
  <c r="I39" i="21" s="1"/>
  <c r="D19" i="21"/>
  <c r="I357" i="15"/>
  <c r="F19" i="21" s="1"/>
  <c r="I338" i="15"/>
  <c r="F140" i="21" s="1"/>
  <c r="L357" i="15"/>
  <c r="I19" i="21" s="1"/>
  <c r="L217" i="15"/>
  <c r="F98" i="4"/>
  <c r="F64" i="4"/>
  <c r="L436" i="15"/>
  <c r="L312" i="15"/>
  <c r="E136" i="21"/>
  <c r="L461" i="15"/>
  <c r="L338" i="15"/>
  <c r="E47" i="21"/>
  <c r="L224" i="15"/>
  <c r="I47" i="21" s="1"/>
  <c r="L399" i="15"/>
  <c r="L400" i="15"/>
  <c r="D39" i="21"/>
  <c r="I150" i="15"/>
  <c r="F39" i="21" s="1"/>
  <c r="F11" i="4"/>
  <c r="L12" i="15"/>
  <c r="D20" i="21"/>
  <c r="I373" i="15"/>
  <c r="F20" i="21" s="1"/>
  <c r="L22" i="15"/>
  <c r="I190" i="15"/>
  <c r="F32" i="21" s="1"/>
  <c r="I223" i="15"/>
  <c r="I224" i="15"/>
  <c r="F47" i="21" s="1"/>
  <c r="L25" i="15"/>
  <c r="I355" i="15"/>
  <c r="G73" i="21"/>
  <c r="D67" i="16"/>
  <c r="F62" i="16"/>
  <c r="D56" i="16"/>
  <c r="D69" i="16"/>
  <c r="F69" i="16"/>
  <c r="D30" i="16"/>
  <c r="F98" i="16"/>
  <c r="D59" i="16"/>
  <c r="F59" i="16"/>
  <c r="D66" i="16"/>
  <c r="F66" i="16"/>
  <c r="D90" i="16"/>
  <c r="F90" i="16"/>
  <c r="D62" i="16"/>
  <c r="F19" i="16"/>
  <c r="E52" i="3"/>
  <c r="D55" i="16"/>
  <c r="F55" i="16"/>
  <c r="D36" i="16"/>
  <c r="C20" i="3"/>
  <c r="F20" i="16"/>
  <c r="D38" i="16"/>
  <c r="F12" i="16"/>
  <c r="F27" i="16"/>
  <c r="D65" i="16"/>
  <c r="F65" i="16"/>
  <c r="D85" i="16"/>
  <c r="F85" i="16"/>
  <c r="F106" i="16"/>
  <c r="D103" i="16"/>
  <c r="F72" i="16"/>
  <c r="C118" i="3"/>
  <c r="F93" i="16"/>
  <c r="F57" i="16"/>
  <c r="D70" i="16"/>
  <c r="F70" i="16"/>
  <c r="D84" i="16"/>
  <c r="F84" i="16"/>
  <c r="C111" i="3"/>
  <c r="D86" i="16"/>
  <c r="F86" i="16"/>
  <c r="D54" i="16"/>
  <c r="F54" i="16"/>
  <c r="C60" i="3"/>
  <c r="D83" i="16"/>
  <c r="F28" i="16"/>
  <c r="C62" i="3"/>
  <c r="D22" i="16"/>
  <c r="F22" i="16"/>
  <c r="D64" i="16"/>
  <c r="F64" i="16"/>
  <c r="D87" i="16"/>
  <c r="F87" i="16"/>
  <c r="D58" i="16"/>
  <c r="F58" i="16"/>
  <c r="D93" i="16"/>
  <c r="D43" i="16"/>
  <c r="D110" i="16"/>
  <c r="F33" i="16"/>
  <c r="F44" i="16"/>
  <c r="F107" i="16"/>
  <c r="J42" i="2"/>
  <c r="L43" i="2"/>
  <c r="M11" i="2"/>
  <c r="O11" i="2" s="1"/>
  <c r="O24" i="2"/>
  <c r="M42" i="2"/>
  <c r="O42" i="2" s="1"/>
  <c r="O43" i="2"/>
  <c r="L11" i="1"/>
  <c r="L24" i="1"/>
  <c r="L43" i="1"/>
  <c r="L44" i="1"/>
  <c r="D45" i="16"/>
  <c r="E139" i="21"/>
  <c r="E140" i="21"/>
  <c r="F129" i="16"/>
  <c r="D131" i="16"/>
  <c r="D139" i="21"/>
  <c r="C74" i="3"/>
  <c r="E32" i="21"/>
  <c r="D32" i="21"/>
  <c r="E31" i="21"/>
  <c r="D35" i="16"/>
  <c r="E28" i="21"/>
  <c r="D28" i="16"/>
  <c r="E27" i="21"/>
  <c r="D147" i="16"/>
  <c r="D102" i="16"/>
  <c r="D48" i="16"/>
  <c r="D95" i="21"/>
  <c r="D94" i="21"/>
  <c r="I115" i="15"/>
  <c r="D16" i="21"/>
  <c r="E26" i="21"/>
  <c r="E22" i="21"/>
  <c r="E45" i="21"/>
  <c r="D46" i="21"/>
  <c r="D111" i="21"/>
  <c r="C54" i="4"/>
  <c r="D31" i="16"/>
  <c r="B20" i="10"/>
  <c r="B13" i="10"/>
  <c r="E61" i="21"/>
  <c r="E111" i="21"/>
  <c r="D11" i="16"/>
  <c r="D61" i="21"/>
  <c r="E44" i="21"/>
  <c r="D20" i="16"/>
  <c r="E94" i="21"/>
  <c r="D21" i="10"/>
  <c r="D19" i="10" s="1"/>
  <c r="D22" i="10" s="1"/>
  <c r="D49" i="16"/>
  <c r="E25" i="21"/>
  <c r="E71" i="21"/>
  <c r="E90" i="21"/>
  <c r="D96" i="16"/>
  <c r="D53" i="16"/>
  <c r="D89" i="16"/>
  <c r="D146" i="16"/>
  <c r="B43" i="10" l="1"/>
  <c r="L431" i="15"/>
  <c r="I44" i="15"/>
  <c r="F84" i="21" s="1"/>
  <c r="L360" i="15"/>
  <c r="B27" i="10"/>
  <c r="F68" i="16"/>
  <c r="E11" i="3"/>
  <c r="L42" i="2"/>
  <c r="J97" i="2"/>
  <c r="I29" i="21"/>
  <c r="I40" i="21"/>
  <c r="F88" i="16"/>
  <c r="F92" i="16"/>
  <c r="F101" i="16"/>
  <c r="I61" i="21"/>
  <c r="I58" i="21"/>
  <c r="I62" i="21"/>
  <c r="I60" i="21"/>
  <c r="I431" i="15"/>
  <c r="F58" i="21" s="1"/>
  <c r="D58" i="21"/>
  <c r="F61" i="21"/>
  <c r="C11" i="4"/>
  <c r="L11" i="15"/>
  <c r="H11" i="4" s="1"/>
  <c r="F30" i="16"/>
  <c r="C26" i="3"/>
  <c r="C23" i="3" s="1"/>
  <c r="D18" i="21"/>
  <c r="D10" i="21"/>
  <c r="C15" i="4"/>
  <c r="D92" i="16"/>
  <c r="C61" i="3"/>
  <c r="F51" i="16"/>
  <c r="C98" i="3"/>
  <c r="C11" i="3"/>
  <c r="D99" i="16"/>
  <c r="D18" i="16"/>
  <c r="F48" i="16"/>
  <c r="C13" i="3"/>
  <c r="D90" i="21"/>
  <c r="F146" i="16"/>
  <c r="B20" i="7"/>
  <c r="B23" i="7" s="1"/>
  <c r="F15" i="4"/>
  <c r="F100" i="16"/>
  <c r="D100" i="16"/>
  <c r="M97" i="2"/>
  <c r="O97" i="2" s="1"/>
  <c r="G45" i="21"/>
  <c r="L21" i="15"/>
  <c r="H20" i="4" s="1"/>
  <c r="F20" i="4"/>
  <c r="L15" i="15"/>
  <c r="H13" i="4" s="1"/>
  <c r="F13" i="4"/>
  <c r="F22" i="4"/>
  <c r="G10" i="21"/>
  <c r="F103" i="16"/>
  <c r="F102" i="16"/>
  <c r="L44" i="15"/>
  <c r="I84" i="21" s="1"/>
  <c r="G84" i="21"/>
  <c r="L430" i="15"/>
  <c r="I54" i="21" s="1"/>
  <c r="G54" i="21"/>
  <c r="L356" i="15"/>
  <c r="G18" i="21"/>
  <c r="I25" i="15"/>
  <c r="C22" i="4"/>
  <c r="L354" i="15"/>
  <c r="H74" i="4" s="1"/>
  <c r="F74" i="4"/>
  <c r="L113" i="15"/>
  <c r="H73" i="4" s="1"/>
  <c r="F73" i="4"/>
  <c r="I136" i="21"/>
  <c r="G136" i="21"/>
  <c r="I139" i="21"/>
  <c r="I140" i="21"/>
  <c r="D45" i="21"/>
  <c r="G26" i="21"/>
  <c r="F26" i="4"/>
  <c r="F23" i="4" s="1"/>
  <c r="I46" i="21"/>
  <c r="E15" i="3"/>
  <c r="C15" i="3"/>
  <c r="E115" i="3"/>
  <c r="E114" i="3" s="1"/>
  <c r="C115" i="3"/>
  <c r="C114" i="3" s="1"/>
  <c r="F17" i="16"/>
  <c r="F37" i="16"/>
  <c r="F38" i="16"/>
  <c r="F40" i="16"/>
  <c r="F97" i="16"/>
  <c r="E43" i="7"/>
  <c r="F147" i="16"/>
  <c r="F15" i="16"/>
  <c r="F43" i="16"/>
  <c r="I139" i="15"/>
  <c r="I100" i="15"/>
  <c r="D26" i="21"/>
  <c r="L394" i="15"/>
  <c r="H111" i="4" s="1"/>
  <c r="H109" i="4" s="1"/>
  <c r="L82" i="15"/>
  <c r="H22" i="4"/>
  <c r="L435" i="15"/>
  <c r="H64" i="4" s="1"/>
  <c r="C26" i="4"/>
  <c r="I337" i="15"/>
  <c r="C111" i="4"/>
  <c r="C109" i="4" s="1"/>
  <c r="I394" i="15"/>
  <c r="F82" i="4"/>
  <c r="L371" i="15"/>
  <c r="L345" i="15"/>
  <c r="H118" i="4" s="1"/>
  <c r="H117" i="4" s="1"/>
  <c r="C98" i="4"/>
  <c r="I221" i="15"/>
  <c r="E98" i="4" s="1"/>
  <c r="I11" i="15"/>
  <c r="E11" i="4" s="1"/>
  <c r="C115" i="4"/>
  <c r="C114" i="4" s="1"/>
  <c r="I341" i="15"/>
  <c r="I414" i="15"/>
  <c r="E55" i="4" s="1"/>
  <c r="I415" i="15"/>
  <c r="F70" i="21" s="1"/>
  <c r="D136" i="21"/>
  <c r="F136" i="21"/>
  <c r="I214" i="15"/>
  <c r="E97" i="4" s="1"/>
  <c r="F85" i="4"/>
  <c r="L380" i="15"/>
  <c r="D11" i="21"/>
  <c r="I362" i="15"/>
  <c r="F11" i="21" s="1"/>
  <c r="E18" i="21"/>
  <c r="L381" i="15"/>
  <c r="C74" i="4"/>
  <c r="I354" i="15"/>
  <c r="E74" i="4" s="1"/>
  <c r="L459" i="15"/>
  <c r="L460" i="15"/>
  <c r="L311" i="15"/>
  <c r="I459" i="15"/>
  <c r="I460" i="15"/>
  <c r="D73" i="21"/>
  <c r="I420" i="15"/>
  <c r="F73" i="21" s="1"/>
  <c r="C118" i="4"/>
  <c r="C117" i="4" s="1"/>
  <c r="I345" i="15"/>
  <c r="C64" i="4"/>
  <c r="I435" i="15"/>
  <c r="E64" i="4" s="1"/>
  <c r="F80" i="4"/>
  <c r="I114" i="15"/>
  <c r="I361" i="15"/>
  <c r="L341" i="15"/>
  <c r="H115" i="4" s="1"/>
  <c r="H114" i="4" s="1"/>
  <c r="L140" i="15"/>
  <c r="L420" i="15"/>
  <c r="I73" i="21" s="1"/>
  <c r="I189" i="15"/>
  <c r="I293" i="15"/>
  <c r="F97" i="4"/>
  <c r="L215" i="15"/>
  <c r="L101" i="15"/>
  <c r="I15" i="15"/>
  <c r="E13" i="4" s="1"/>
  <c r="I154" i="15"/>
  <c r="I311" i="15"/>
  <c r="I21" i="15"/>
  <c r="E20" i="4" s="1"/>
  <c r="E11" i="21"/>
  <c r="L362" i="15"/>
  <c r="I11" i="21" s="1"/>
  <c r="I82" i="15"/>
  <c r="L337" i="15"/>
  <c r="H26" i="4" s="1"/>
  <c r="H23" i="4" s="1"/>
  <c r="L221" i="15"/>
  <c r="H98" i="4" s="1"/>
  <c r="L189" i="15"/>
  <c r="C85" i="4"/>
  <c r="I379" i="15"/>
  <c r="E85" i="4" s="1"/>
  <c r="D97" i="16"/>
  <c r="F99" i="16"/>
  <c r="D95" i="16"/>
  <c r="F95" i="16"/>
  <c r="C14" i="3"/>
  <c r="E14" i="3"/>
  <c r="E74" i="3"/>
  <c r="E60" i="3"/>
  <c r="C97" i="3"/>
  <c r="C109" i="3"/>
  <c r="E111" i="3"/>
  <c r="E109" i="3" s="1"/>
  <c r="D47" i="16"/>
  <c r="D107" i="16"/>
  <c r="F11" i="16"/>
  <c r="E20" i="3"/>
  <c r="F52" i="16"/>
  <c r="D71" i="16"/>
  <c r="F71" i="16"/>
  <c r="E13" i="3"/>
  <c r="F50" i="16"/>
  <c r="D50" i="16"/>
  <c r="D16" i="16"/>
  <c r="F16" i="16"/>
  <c r="F105" i="16"/>
  <c r="D105" i="16"/>
  <c r="F18" i="16"/>
  <c r="E62" i="3"/>
  <c r="E26" i="3"/>
  <c r="E23" i="3" s="1"/>
  <c r="C117" i="3"/>
  <c r="E118" i="3"/>
  <c r="E117" i="3" s="1"/>
  <c r="D26" i="16"/>
  <c r="F14" i="16"/>
  <c r="D14" i="16"/>
  <c r="F36" i="16"/>
  <c r="C64" i="3"/>
  <c r="E10" i="21"/>
  <c r="E42" i="7"/>
  <c r="D129" i="16"/>
  <c r="C70" i="3"/>
  <c r="E45" i="7"/>
  <c r="D42" i="16"/>
  <c r="D70" i="21"/>
  <c r="E54" i="21"/>
  <c r="F61" i="4"/>
  <c r="F59" i="4" s="1"/>
  <c r="E70" i="21"/>
  <c r="B32" i="10"/>
  <c r="B19" i="10"/>
  <c r="B22" i="10" s="1"/>
  <c r="D43" i="10"/>
  <c r="D84" i="21"/>
  <c r="C97" i="4"/>
  <c r="D52" i="16"/>
  <c r="D88" i="16"/>
  <c r="E84" i="21"/>
  <c r="F51" i="4"/>
  <c r="D54" i="21"/>
  <c r="I353" i="15" l="1"/>
  <c r="F139" i="21"/>
  <c r="H15" i="4"/>
  <c r="I322" i="15"/>
  <c r="L322" i="15"/>
  <c r="F99" i="4"/>
  <c r="I159" i="15"/>
  <c r="I45" i="21"/>
  <c r="C73" i="3"/>
  <c r="L353" i="15"/>
  <c r="I371" i="15"/>
  <c r="F10" i="21" s="1"/>
  <c r="E98" i="3"/>
  <c r="L228" i="15"/>
  <c r="L227" i="15" s="1"/>
  <c r="C22" i="3"/>
  <c r="C9" i="3" s="1"/>
  <c r="C48" i="3"/>
  <c r="C58" i="3"/>
  <c r="F19" i="6"/>
  <c r="H19" i="6" s="1"/>
  <c r="F47" i="16"/>
  <c r="F26" i="16"/>
  <c r="G44" i="21"/>
  <c r="F45" i="21"/>
  <c r="F9" i="4"/>
  <c r="F82" i="16"/>
  <c r="F26" i="21"/>
  <c r="G25" i="21"/>
  <c r="E15" i="4"/>
  <c r="I10" i="21"/>
  <c r="L415" i="15"/>
  <c r="I70" i="21" s="1"/>
  <c r="G70" i="21"/>
  <c r="L139" i="15"/>
  <c r="H78" i="4" s="1"/>
  <c r="F78" i="4"/>
  <c r="E115" i="4"/>
  <c r="E114" i="4" s="1"/>
  <c r="E111" i="4"/>
  <c r="E109" i="4" s="1"/>
  <c r="E26" i="4"/>
  <c r="E23" i="4" s="1"/>
  <c r="E118" i="4"/>
  <c r="E117" i="4" s="1"/>
  <c r="I26" i="21"/>
  <c r="F81" i="4"/>
  <c r="E22" i="4"/>
  <c r="I18" i="21"/>
  <c r="E105" i="3"/>
  <c r="E103" i="3" s="1"/>
  <c r="C105" i="3"/>
  <c r="C103" i="3" s="1"/>
  <c r="E55" i="3"/>
  <c r="C55" i="3"/>
  <c r="E54" i="3"/>
  <c r="C54" i="3"/>
  <c r="C80" i="3"/>
  <c r="F42" i="16"/>
  <c r="C23" i="4"/>
  <c r="E138" i="21"/>
  <c r="E141" i="21" s="1"/>
  <c r="D25" i="21"/>
  <c r="C9" i="4"/>
  <c r="C78" i="4"/>
  <c r="L398" i="15"/>
  <c r="L43" i="15"/>
  <c r="H51" i="4" s="1"/>
  <c r="I43" i="15"/>
  <c r="L429" i="15"/>
  <c r="H61" i="4" s="1"/>
  <c r="H59" i="4" s="1"/>
  <c r="C61" i="4"/>
  <c r="C59" i="4" s="1"/>
  <c r="I429" i="15"/>
  <c r="L214" i="15"/>
  <c r="H97" i="4" s="1"/>
  <c r="C82" i="4"/>
  <c r="C81" i="4" s="1"/>
  <c r="L310" i="15"/>
  <c r="I310" i="15"/>
  <c r="L100" i="15"/>
  <c r="I188" i="15"/>
  <c r="H99" i="4"/>
  <c r="L370" i="15"/>
  <c r="H82" i="4" s="1"/>
  <c r="L153" i="15"/>
  <c r="I99" i="15"/>
  <c r="E72" i="4" s="1"/>
  <c r="I292" i="15"/>
  <c r="C73" i="4"/>
  <c r="I113" i="15"/>
  <c r="E73" i="4" s="1"/>
  <c r="I228" i="15"/>
  <c r="I227" i="15" s="1"/>
  <c r="D44" i="21"/>
  <c r="I360" i="15"/>
  <c r="E78" i="4" s="1"/>
  <c r="L188" i="15"/>
  <c r="L379" i="15"/>
  <c r="H85" i="4" s="1"/>
  <c r="D41" i="16"/>
  <c r="C85" i="3"/>
  <c r="C99" i="3"/>
  <c r="C82" i="3"/>
  <c r="C65" i="3"/>
  <c r="E70" i="3"/>
  <c r="E65" i="3" s="1"/>
  <c r="E97" i="3"/>
  <c r="E61" i="3"/>
  <c r="C102" i="3"/>
  <c r="D25" i="16"/>
  <c r="D10" i="16"/>
  <c r="E64" i="3"/>
  <c r="C19" i="6"/>
  <c r="E19" i="6" s="1"/>
  <c r="L97" i="2"/>
  <c r="L166" i="1"/>
  <c r="E21" i="5"/>
  <c r="D82" i="16"/>
  <c r="D27" i="10"/>
  <c r="B45" i="10"/>
  <c r="C51" i="4"/>
  <c r="C72" i="4"/>
  <c r="C55" i="4"/>
  <c r="F25" i="21" l="1"/>
  <c r="I370" i="15"/>
  <c r="E58" i="3"/>
  <c r="E22" i="3"/>
  <c r="E9" i="3" s="1"/>
  <c r="H80" i="4"/>
  <c r="F100" i="4"/>
  <c r="D145" i="16"/>
  <c r="D148" i="16" s="1"/>
  <c r="F25" i="16"/>
  <c r="E48" i="3"/>
  <c r="C51" i="3"/>
  <c r="E80" i="3"/>
  <c r="E9" i="4"/>
  <c r="G138" i="21"/>
  <c r="G141" i="21" s="1"/>
  <c r="I44" i="21"/>
  <c r="F44" i="21"/>
  <c r="I25" i="21"/>
  <c r="I398" i="15"/>
  <c r="H81" i="4"/>
  <c r="C100" i="3"/>
  <c r="L309" i="15"/>
  <c r="H102" i="4" s="1"/>
  <c r="F102" i="4"/>
  <c r="E82" i="4"/>
  <c r="E81" i="4" s="1"/>
  <c r="E61" i="4"/>
  <c r="E59" i="4" s="1"/>
  <c r="L414" i="15"/>
  <c r="H55" i="4" s="1"/>
  <c r="H46" i="4" s="1"/>
  <c r="F55" i="4"/>
  <c r="F46" i="4" s="1"/>
  <c r="L213" i="15"/>
  <c r="L99" i="15"/>
  <c r="H72" i="4" s="1"/>
  <c r="F72" i="4"/>
  <c r="F71" i="4" s="1"/>
  <c r="E51" i="4"/>
  <c r="E46" i="4" s="1"/>
  <c r="C72" i="3"/>
  <c r="E78" i="3"/>
  <c r="C78" i="3"/>
  <c r="F41" i="16"/>
  <c r="E59" i="3"/>
  <c r="F10" i="16"/>
  <c r="D138" i="21"/>
  <c r="D141" i="21" s="1"/>
  <c r="L187" i="15"/>
  <c r="L10" i="15"/>
  <c r="E99" i="4"/>
  <c r="C99" i="4"/>
  <c r="I213" i="15"/>
  <c r="I187" i="15"/>
  <c r="C100" i="4"/>
  <c r="C102" i="4"/>
  <c r="I309" i="15"/>
  <c r="E102" i="4" s="1"/>
  <c r="C80" i="4"/>
  <c r="C71" i="4" s="1"/>
  <c r="I153" i="15"/>
  <c r="E85" i="3"/>
  <c r="C59" i="3"/>
  <c r="E102" i="3"/>
  <c r="E99" i="3"/>
  <c r="E82" i="3"/>
  <c r="E73" i="3"/>
  <c r="C46" i="4"/>
  <c r="C44" i="10"/>
  <c r="B42" i="10"/>
  <c r="C45" i="10"/>
  <c r="C43" i="10"/>
  <c r="F145" i="16" l="1"/>
  <c r="F148" i="16" s="1"/>
  <c r="F138" i="21"/>
  <c r="F141" i="21" s="1"/>
  <c r="H71" i="4"/>
  <c r="C71" i="3"/>
  <c r="L98" i="15"/>
  <c r="I98" i="15"/>
  <c r="F96" i="4"/>
  <c r="F121" i="4" s="1"/>
  <c r="F20" i="6" s="1"/>
  <c r="H100" i="4"/>
  <c r="H96" i="4" s="1"/>
  <c r="E100" i="4"/>
  <c r="E96" i="4" s="1"/>
  <c r="E72" i="3"/>
  <c r="E71" i="3" s="1"/>
  <c r="E51" i="3"/>
  <c r="E46" i="3" s="1"/>
  <c r="E121" i="3" s="1"/>
  <c r="E81" i="3"/>
  <c r="I138" i="21"/>
  <c r="I141" i="21" s="1"/>
  <c r="L471" i="15"/>
  <c r="E80" i="4"/>
  <c r="E71" i="4" s="1"/>
  <c r="E100" i="3"/>
  <c r="E96" i="3" s="1"/>
  <c r="D20" i="6"/>
  <c r="D18" i="6" s="1"/>
  <c r="D24" i="6" s="1"/>
  <c r="C96" i="4"/>
  <c r="C121" i="4" s="1"/>
  <c r="C20" i="6" s="1"/>
  <c r="C81" i="3"/>
  <c r="C96" i="3"/>
  <c r="C46" i="3"/>
  <c r="C42" i="10"/>
  <c r="D42" i="10"/>
  <c r="C121" i="3" l="1"/>
  <c r="C122" i="3" s="1"/>
  <c r="E122" i="3"/>
  <c r="E121" i="4"/>
  <c r="E123" i="4" s="1"/>
  <c r="J473" i="15"/>
  <c r="L473" i="15" s="1"/>
  <c r="I471" i="15"/>
  <c r="G12" i="4"/>
  <c r="H12" i="4"/>
  <c r="I473" i="15"/>
  <c r="F18" i="6"/>
  <c r="C18" i="6"/>
  <c r="E20" i="6"/>
  <c r="D45" i="10"/>
  <c r="E42" i="10" s="1"/>
  <c r="C22" i="5" l="1"/>
  <c r="C20" i="5" s="1"/>
  <c r="C26" i="5" s="1"/>
  <c r="E26" i="5" s="1"/>
  <c r="G9" i="4"/>
  <c r="G121" i="4" s="1"/>
  <c r="H9" i="4"/>
  <c r="F24" i="6"/>
  <c r="C24" i="6"/>
  <c r="E24" i="6" s="1"/>
  <c r="E18" i="6"/>
  <c r="E45" i="10"/>
  <c r="E44" i="10"/>
  <c r="E43" i="10"/>
  <c r="E22" i="5" l="1"/>
  <c r="E20" i="5" s="1"/>
  <c r="H121" i="4"/>
  <c r="H123" i="4" s="1"/>
  <c r="G20" i="6"/>
  <c r="G18" i="6" l="1"/>
  <c r="H20" i="6"/>
  <c r="G24" i="6" l="1"/>
  <c r="H24" i="6" s="1"/>
  <c r="H18" i="6"/>
  <c r="F46" i="21"/>
</calcChain>
</file>

<file path=xl/sharedStrings.xml><?xml version="1.0" encoding="utf-8"?>
<sst xmlns="http://schemas.openxmlformats.org/spreadsheetml/2006/main" count="7946" uniqueCount="3479">
  <si>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</si>
  <si>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</si>
  <si>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</si>
  <si>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</si>
  <si>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</si>
  <si>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</si>
  <si>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</si>
  <si>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</si>
  <si>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</si>
  <si>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</si>
  <si>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</si>
  <si>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</si>
  <si>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</si>
  <si>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</si>
  <si>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</si>
  <si>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</si>
  <si>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</si>
  <si>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</si>
  <si>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</si>
  <si>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</si>
  <si>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</si>
  <si>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</si>
  <si>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</si>
  <si>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</si>
  <si>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</si>
  <si>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</si>
  <si>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</si>
  <si>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</si>
  <si>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</si>
  <si>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</si>
  <si>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</si>
  <si>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</si>
  <si>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</si>
  <si>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</si>
  <si>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</si>
  <si>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</si>
  <si>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</si>
  <si>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</si>
  <si>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</si>
  <si>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</si>
  <si>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</si>
  <si>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</si>
  <si>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</si>
  <si>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</si>
  <si>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</si>
  <si>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</si>
  <si>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</si>
  <si>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</si>
  <si>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</si>
  <si>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</si>
  <si>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</si>
  <si>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</si>
  <si>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</si>
  <si>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</si>
  <si>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</si>
  <si>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</si>
  <si>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</si>
  <si>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</si>
  <si>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</si>
  <si>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</si>
  <si>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</si>
  <si>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</si>
  <si>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</si>
  <si>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</si>
  <si>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</si>
  <si>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</si>
  <si>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</si>
  <si>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</si>
  <si>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</si>
  <si>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</si>
  <si>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</si>
  <si>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</si>
  <si>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</si>
  <si>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</si>
  <si>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</si>
  <si>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</si>
  <si>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</si>
  <si>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</si>
  <si>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</si>
  <si>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</si>
  <si>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</si>
  <si>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</si>
  <si>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</si>
  <si>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</si>
  <si>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</si>
  <si>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</si>
  <si>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</si>
  <si>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</si>
  <si>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</si>
  <si>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</si>
  <si>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</si>
  <si>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</si>
  <si>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</si>
  <si>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</si>
  <si>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</si>
  <si>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</si>
  <si>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</si>
  <si>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</si>
  <si>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</si>
  <si>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</si>
  <si>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</si>
  <si>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</si>
  <si>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</si>
  <si>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</si>
  <si>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</si>
  <si>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</si>
  <si>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</si>
  <si>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</si>
  <si>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</si>
  <si>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</si>
  <si>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</si>
  <si>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</si>
  <si>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</si>
  <si>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</si>
  <si>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</si>
  <si>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</si>
  <si>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</si>
  <si>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</si>
  <si>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</si>
  <si>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</si>
  <si>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</si>
  <si>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</si>
  <si>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</si>
  <si>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</si>
  <si>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</si>
  <si>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</si>
  <si>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</si>
  <si>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</si>
  <si>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</si>
  <si>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</si>
  <si>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</si>
  <si>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</si>
  <si>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</si>
  <si>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</si>
  <si>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</si>
  <si>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</si>
  <si>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</si>
  <si>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</si>
  <si>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</si>
  <si>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</si>
  <si>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</si>
  <si>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</si>
  <si>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</si>
  <si>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</si>
  <si>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</si>
  <si>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</si>
  <si>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</si>
  <si>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</si>
  <si>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2906</t>
  </si>
  <si>
    <t xml:space="preserve">Межбюджетные трансферты на обеспечение мероприятий по строительству и реконструкции  объектов  газификации </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</si>
  <si>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</si>
  <si>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</si>
  <si>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</si>
  <si>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</si>
  <si>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</si>
  <si>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</si>
  <si>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</si>
  <si>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</si>
  <si>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</si>
  <si>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</si>
  <si>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</si>
  <si>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</si>
  <si>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</si>
  <si>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</si>
  <si>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</si>
  <si>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</si>
  <si>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</si>
  <si>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</si>
  <si>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</si>
  <si>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</si>
  <si>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</si>
  <si>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</si>
  <si>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</si>
  <si>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</si>
  <si>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</si>
  <si>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</si>
  <si>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</si>
  <si>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</si>
  <si>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</si>
  <si>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</si>
  <si>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</si>
  <si>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</si>
  <si>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</si>
  <si>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</si>
  <si>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</si>
  <si>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</si>
  <si>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</si>
  <si>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</si>
  <si>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</si>
  <si>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</si>
  <si>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</si>
  <si>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</si>
  <si>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</si>
  <si>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</si>
  <si>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</si>
  <si>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</si>
  <si>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</si>
  <si>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</si>
  <si>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</si>
  <si>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</si>
  <si>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</si>
  <si>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</si>
  <si>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</si>
  <si>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</si>
  <si>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</si>
  <si>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</si>
  <si>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</si>
  <si>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</si>
  <si>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</si>
  <si>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</si>
  <si>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</si>
  <si>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</si>
  <si>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</si>
  <si>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</si>
  <si>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</si>
  <si>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</si>
  <si>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</si>
  <si>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</si>
  <si>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</si>
  <si>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</si>
  <si>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</si>
  <si>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</si>
  <si>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</si>
  <si>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</si>
  <si>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</si>
  <si>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</si>
  <si>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</si>
  <si>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</si>
  <si>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</si>
  <si>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</si>
  <si>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</si>
  <si>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</si>
  <si>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</si>
  <si>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</si>
  <si>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</si>
  <si>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</si>
  <si>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</si>
  <si>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</si>
  <si>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</si>
  <si>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</si>
  <si>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</si>
  <si>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</si>
  <si>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</si>
  <si>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</si>
  <si>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</si>
  <si>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</si>
  <si>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</si>
  <si>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</si>
  <si>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</si>
  <si>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</si>
  <si>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</si>
  <si>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</si>
  <si>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</si>
  <si>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</si>
  <si>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</si>
  <si>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</si>
  <si>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</si>
  <si>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</si>
  <si>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</si>
  <si>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</si>
  <si>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</si>
  <si>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</si>
  <si>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</si>
  <si>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</si>
  <si>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</si>
  <si>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</si>
  <si>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</si>
  <si>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</si>
  <si>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</si>
  <si>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</si>
  <si>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</si>
  <si>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</si>
  <si>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</si>
  <si>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</si>
  <si>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</si>
  <si>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</si>
  <si>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</si>
  <si>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</si>
  <si>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</si>
  <si>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</si>
  <si>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</si>
  <si>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</si>
  <si>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</si>
  <si>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</si>
  <si>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</si>
  <si>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</si>
  <si>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</si>
  <si>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</si>
  <si>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</si>
  <si>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</si>
  <si>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</si>
  <si>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</si>
  <si>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</si>
  <si>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</si>
  <si>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</si>
  <si>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</si>
  <si>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</si>
  <si>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</si>
  <si>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</si>
  <si>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</si>
  <si>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</si>
  <si>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</si>
  <si>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</si>
  <si>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</si>
  <si>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</si>
  <si>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</si>
  <si>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</si>
  <si>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</si>
  <si>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</si>
  <si>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</si>
  <si>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</si>
  <si>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</si>
  <si>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</si>
  <si>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</si>
  <si>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</si>
  <si>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</si>
  <si>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</si>
  <si>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</si>
  <si>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</si>
  <si>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</si>
  <si>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</si>
  <si>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</si>
  <si>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</si>
  <si>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</si>
  <si>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</si>
  <si>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</si>
  <si>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</si>
  <si>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</si>
  <si>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</si>
  <si>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</si>
  <si>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</si>
  <si>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</si>
  <si>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</si>
  <si>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</si>
  <si>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</si>
  <si>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</si>
  <si>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</si>
  <si>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</si>
  <si>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</si>
  <si>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</si>
  <si>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</si>
  <si>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</si>
  <si>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</si>
  <si>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</si>
  <si>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</si>
  <si>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</si>
  <si>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</si>
  <si>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</si>
  <si>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</si>
  <si>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</si>
  <si>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</si>
  <si>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</si>
  <si>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                                                                                                                                                                                       руб.</t>
  </si>
  <si>
    <t>Виды заимствований</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</si>
  <si>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</si>
  <si>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</si>
  <si>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</si>
  <si>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</si>
  <si>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</si>
  <si>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</si>
  <si>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</si>
  <si>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</si>
  <si>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</si>
  <si>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</si>
  <si>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</si>
  <si>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</si>
  <si>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</si>
  <si>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</si>
  <si>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</si>
  <si>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</si>
  <si>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</si>
  <si>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</si>
  <si>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</si>
  <si>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</si>
  <si>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(прогноз)</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</si>
  <si>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</si>
  <si>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</si>
  <si>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</si>
  <si>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</si>
  <si>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</si>
  <si>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</si>
  <si>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</si>
  <si>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</si>
  <si>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</si>
  <si>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</si>
  <si>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</si>
  <si>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</si>
  <si>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</si>
  <si>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</si>
  <si>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</si>
  <si>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</si>
  <si>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</si>
  <si>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</si>
  <si>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</si>
  <si>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</si>
  <si>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</si>
  <si>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</si>
  <si>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</si>
  <si>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</si>
  <si>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</si>
  <si>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</si>
  <si>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</si>
  <si>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</si>
  <si>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</si>
  <si>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</si>
  <si>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</si>
  <si>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</si>
  <si>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</si>
  <si>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</si>
  <si>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</si>
  <si>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</si>
  <si>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</si>
  <si>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</si>
  <si>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</si>
  <si>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</si>
  <si>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</si>
  <si>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</si>
  <si>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</si>
  <si>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</si>
  <si>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</si>
  <si>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</si>
  <si>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</si>
  <si>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</si>
  <si>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</si>
  <si>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</si>
  <si>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</si>
  <si>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</si>
  <si>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</si>
  <si>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</si>
  <si>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</si>
  <si>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</si>
  <si>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</si>
  <si>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</si>
  <si>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</si>
  <si>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</si>
  <si>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</si>
  <si>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</si>
  <si>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</si>
  <si>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</si>
  <si>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</si>
  <si>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</si>
  <si>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</si>
  <si>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</si>
  <si>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</si>
  <si>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</si>
  <si>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</si>
  <si>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</si>
  <si>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</si>
  <si>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</si>
  <si>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</si>
  <si>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</si>
  <si>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</si>
  <si>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</si>
  <si>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</si>
  <si>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</si>
  <si>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</si>
  <si>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</si>
  <si>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</si>
  <si>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</si>
  <si>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</si>
  <si>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</si>
  <si>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</si>
  <si>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</si>
  <si>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</si>
  <si>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</si>
  <si>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</si>
  <si>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</si>
  <si>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</si>
  <si>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</si>
  <si>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</si>
  <si>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</si>
  <si>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</si>
  <si>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</si>
  <si>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</si>
  <si>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</si>
  <si>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</si>
  <si>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</si>
  <si>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</si>
  <si>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</si>
  <si>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</si>
  <si>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</si>
  <si>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</si>
  <si>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</si>
  <si>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</si>
  <si>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</si>
  <si>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</si>
  <si>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</si>
  <si>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</si>
  <si>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</si>
  <si>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</si>
  <si>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</si>
  <si>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</si>
  <si>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</si>
  <si>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</si>
  <si>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</si>
  <si>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</si>
  <si>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</si>
  <si>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</si>
  <si>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</si>
  <si>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</si>
  <si>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</si>
  <si>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</si>
  <si>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</si>
  <si>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</si>
  <si>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</si>
  <si>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</si>
  <si>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</si>
  <si>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</si>
  <si>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</si>
  <si>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</si>
  <si>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</si>
  <si>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</si>
  <si>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</si>
  <si>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</si>
  <si>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</si>
  <si>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</si>
  <si>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</si>
  <si>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</si>
  <si>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</si>
  <si>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</si>
  <si>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</si>
  <si>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</si>
  <si>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</si>
  <si>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</si>
  <si>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</si>
  <si>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</si>
  <si>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</si>
  <si>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</si>
  <si>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</si>
  <si>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</si>
  <si>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</si>
  <si>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</si>
  <si>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</si>
  <si>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</si>
  <si>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</si>
  <si>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</si>
  <si>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</si>
  <si>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</si>
  <si>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</si>
  <si>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</si>
  <si>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</si>
  <si>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</si>
  <si>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</si>
  <si>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</si>
  <si>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</si>
  <si>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</si>
  <si>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</si>
  <si>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</si>
  <si>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</si>
  <si>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</si>
  <si>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</si>
  <si>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</si>
  <si>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</si>
  <si>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</si>
  <si>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</si>
  <si>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</si>
  <si>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</si>
  <si>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</si>
  <si>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</si>
  <si>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</si>
  <si>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</si>
  <si>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</si>
  <si>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</si>
  <si>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</si>
  <si>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</si>
  <si>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</si>
  <si>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</si>
  <si>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</si>
  <si>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</si>
  <si>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</si>
  <si>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</si>
  <si>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</si>
  <si>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</si>
  <si>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</si>
  <si>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</si>
  <si>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</si>
  <si>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</si>
  <si>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</si>
  <si>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</si>
  <si>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</si>
  <si>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</si>
  <si>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</si>
  <si>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</si>
  <si>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</si>
  <si>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</si>
  <si>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</si>
  <si>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</si>
  <si>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</si>
  <si>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</si>
  <si>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</si>
  <si>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</si>
  <si>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</si>
  <si>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</si>
  <si>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</si>
  <si>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</si>
  <si>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</si>
  <si>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</si>
  <si>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</si>
  <si>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</si>
  <si>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</si>
  <si>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</si>
  <si>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</si>
  <si>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</si>
  <si>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</si>
  <si>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</si>
  <si>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</si>
  <si>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</si>
  <si>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</si>
  <si>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</si>
  <si>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</si>
  <si>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</si>
  <si>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</si>
  <si>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</si>
  <si>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</si>
  <si>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</si>
  <si>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</si>
  <si>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</si>
  <si>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</si>
  <si>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</si>
  <si>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</si>
  <si>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</si>
  <si>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</si>
  <si>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</si>
  <si>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</si>
  <si>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</si>
  <si>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</si>
  <si>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</si>
  <si>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</si>
  <si>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Содержание центрального аппарата</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</si>
  <si>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</si>
  <si>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</si>
  <si>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</si>
  <si>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</si>
  <si>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</si>
  <si>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</si>
  <si>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</si>
  <si>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</si>
  <si>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</si>
  <si>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</si>
  <si>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</si>
  <si>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</si>
  <si>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</si>
  <si>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</si>
  <si>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</si>
  <si>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</si>
  <si>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</si>
  <si>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</si>
  <si>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</si>
  <si>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</si>
  <si>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</si>
  <si>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</si>
  <si>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</si>
  <si>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</si>
  <si>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</si>
  <si>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</si>
  <si>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</si>
  <si>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</si>
  <si>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</si>
  <si>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</si>
  <si>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</si>
  <si>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</si>
  <si>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</si>
  <si>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</si>
  <si>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</si>
  <si>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</si>
  <si>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</si>
  <si>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</si>
  <si>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</si>
  <si>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</si>
  <si>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</si>
  <si>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</si>
  <si>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</si>
  <si>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</si>
  <si>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</si>
  <si>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</si>
  <si>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</si>
  <si>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</si>
  <si>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</si>
  <si>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</si>
  <si>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</si>
  <si>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</si>
  <si>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</si>
  <si>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</si>
  <si>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</si>
  <si>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</si>
  <si>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</si>
  <si>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</si>
  <si>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</si>
  <si>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</si>
  <si>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</si>
  <si>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</si>
  <si>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</si>
  <si>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</si>
  <si>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</si>
  <si>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</si>
  <si>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</si>
  <si>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</si>
  <si>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</si>
  <si>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</si>
  <si>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</si>
  <si>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</si>
  <si>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</si>
  <si>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</si>
  <si>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</si>
  <si>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</si>
  <si>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</si>
  <si>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</si>
  <si>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</si>
  <si>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</si>
  <si>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</si>
  <si>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</si>
  <si>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</si>
  <si>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</si>
  <si>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</si>
  <si>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</si>
  <si>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</si>
  <si>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</si>
  <si>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</si>
  <si>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</si>
  <si>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</si>
  <si>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</si>
  <si>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</si>
  <si>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</si>
  <si>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</si>
  <si>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</si>
  <si>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</si>
  <si>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</si>
  <si>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</si>
  <si>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</si>
  <si>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</si>
  <si>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</si>
  <si>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</si>
  <si>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</si>
  <si>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</si>
  <si>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</si>
  <si>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</si>
  <si>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</si>
  <si>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</si>
  <si>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</si>
  <si>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</si>
  <si>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</si>
  <si>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</si>
  <si>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</si>
  <si>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</si>
  <si>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</si>
  <si>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</si>
  <si>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</si>
  <si>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</si>
  <si>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</si>
  <si>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</si>
  <si>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</si>
  <si>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</si>
  <si>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</si>
  <si>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</si>
  <si>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</si>
  <si>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</si>
  <si>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</si>
  <si>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</si>
  <si>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</si>
  <si>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</si>
  <si>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</si>
  <si>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</si>
  <si>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</si>
  <si>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</si>
  <si>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</si>
  <si>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</si>
  <si>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</si>
  <si>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</si>
  <si>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</si>
  <si>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</si>
  <si>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</si>
  <si>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</si>
  <si>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</si>
  <si>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</si>
  <si>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</si>
  <si>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</si>
  <si>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</si>
  <si>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</si>
  <si>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</si>
  <si>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</si>
  <si>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</si>
  <si>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</si>
  <si>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</si>
  <si>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</si>
  <si>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</si>
  <si>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</si>
  <si>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</si>
  <si>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</si>
  <si>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</si>
  <si>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</si>
  <si>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</si>
  <si>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</si>
  <si>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</si>
  <si>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</si>
  <si>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</si>
  <si>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</si>
  <si>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</si>
  <si>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</si>
  <si>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Обеспечение деятельности финансового органа</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</si>
  <si>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</si>
  <si>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</si>
  <si>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</si>
  <si>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</si>
  <si>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</si>
  <si>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</si>
  <si>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</si>
  <si>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</si>
  <si>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</si>
  <si>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</si>
  <si>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</si>
  <si>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</si>
  <si>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</si>
  <si>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</si>
  <si>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</si>
  <si>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</si>
  <si>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</si>
  <si>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</si>
  <si>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</si>
  <si>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</si>
  <si>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</si>
  <si>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</si>
  <si>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</si>
  <si>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</si>
  <si>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</si>
  <si>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</si>
  <si>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</si>
  <si>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</si>
  <si>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</si>
  <si>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</si>
  <si>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</si>
  <si>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</si>
  <si>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</si>
  <si>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</si>
  <si>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</si>
  <si>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</si>
  <si>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</si>
  <si>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</si>
  <si>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</si>
  <si>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</si>
  <si>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</si>
  <si>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</si>
  <si>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</si>
  <si>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</si>
  <si>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</si>
  <si>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</si>
  <si>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</si>
  <si>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</si>
  <si>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</si>
  <si>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</si>
  <si>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</si>
  <si>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</si>
  <si>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</si>
  <si>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</si>
  <si>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</si>
  <si>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</si>
  <si>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</si>
  <si>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</si>
  <si>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</si>
  <si>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</si>
  <si>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</si>
  <si>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</si>
  <si>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</si>
  <si>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</si>
  <si>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</si>
  <si>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</si>
  <si>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</si>
  <si>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Организация предоставления транспортных услуг по перевозке пассажиров автомобильным транспортом, транспортом общего пользования</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</si>
  <si>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</si>
  <si>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</si>
  <si>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</si>
  <si>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</si>
  <si>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</si>
  <si>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</si>
  <si>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</si>
  <si>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</si>
  <si>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</si>
  <si>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</si>
  <si>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</si>
  <si>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</si>
  <si>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</si>
  <si>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</si>
  <si>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</si>
  <si>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</si>
  <si>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</si>
  <si>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</si>
  <si>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</si>
  <si>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</si>
  <si>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</si>
  <si>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</si>
  <si>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</si>
  <si>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</si>
  <si>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</si>
  <si>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</si>
  <si>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</si>
  <si>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</si>
  <si>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</si>
  <si>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</si>
  <si>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</si>
  <si>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</si>
  <si>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</si>
  <si>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</si>
  <si>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</si>
  <si>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</si>
  <si>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</si>
  <si>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</si>
  <si>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</si>
  <si>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</si>
  <si>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</si>
  <si>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</si>
  <si>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</si>
  <si>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</si>
  <si>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</si>
  <si>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</si>
  <si>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</si>
  <si>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</si>
  <si>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</si>
  <si>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</si>
  <si>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</si>
  <si>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</si>
  <si>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</si>
  <si>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</si>
  <si>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</si>
  <si>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</si>
  <si>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</si>
  <si>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</si>
  <si>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</si>
  <si>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</si>
  <si>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</si>
  <si>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</si>
  <si>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</si>
  <si>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</si>
  <si>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</si>
  <si>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</si>
  <si>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</si>
  <si>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</si>
  <si>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</si>
  <si>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</si>
  <si>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</si>
  <si>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</si>
  <si>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</si>
  <si>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</si>
  <si>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</si>
  <si>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</si>
  <si>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</si>
  <si>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</si>
  <si>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</si>
  <si>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</si>
  <si>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</si>
  <si>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</si>
  <si>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</si>
  <si>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</si>
  <si>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</si>
  <si>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</si>
  <si>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</si>
  <si>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</si>
  <si>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</si>
  <si>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</si>
  <si>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</si>
  <si>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</si>
  <si>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</si>
  <si>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</si>
  <si>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</si>
  <si>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</si>
  <si>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</si>
  <si>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</si>
  <si>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</si>
  <si>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</si>
  <si>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</si>
  <si>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</si>
  <si>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</si>
  <si>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</si>
  <si>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</si>
  <si>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</si>
  <si>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</si>
  <si>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</si>
  <si>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</si>
  <si>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</si>
  <si>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</si>
  <si>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</si>
  <si>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</si>
  <si>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</si>
  <si>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</si>
  <si>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</si>
  <si>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</si>
  <si>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</si>
  <si>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</si>
  <si>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</si>
  <si>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</si>
  <si>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</si>
  <si>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</si>
  <si>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</si>
  <si>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</si>
  <si>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</si>
  <si>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</si>
  <si>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</si>
  <si>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</si>
  <si>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</si>
  <si>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</si>
  <si>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</si>
  <si>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</si>
  <si>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</si>
  <si>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</si>
  <si>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</si>
  <si>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</si>
  <si>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</si>
  <si>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</si>
  <si>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</si>
  <si>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</si>
  <si>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</si>
  <si>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</si>
  <si>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</si>
  <si>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</si>
  <si>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</si>
  <si>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</si>
  <si>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</si>
  <si>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</si>
  <si>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</si>
  <si>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</si>
  <si>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</si>
  <si>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</si>
  <si>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</si>
  <si>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</si>
  <si>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</si>
  <si>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</si>
  <si>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</si>
  <si>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</si>
  <si>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</si>
  <si>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</si>
  <si>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</si>
  <si>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</si>
  <si>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</si>
  <si>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</si>
  <si>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</si>
  <si>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</si>
  <si>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</si>
  <si>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</si>
  <si>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</si>
  <si>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</si>
  <si>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</si>
  <si>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</si>
  <si>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</si>
  <si>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</si>
  <si>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</si>
  <si>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</si>
  <si>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</si>
  <si>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</si>
  <si>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</si>
  <si>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</si>
  <si>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</si>
  <si>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</si>
  <si>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</si>
  <si>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</si>
  <si>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</si>
  <si>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</si>
  <si>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</si>
  <si>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</si>
  <si>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</si>
  <si>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</si>
  <si>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</si>
  <si>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</si>
  <si>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</si>
  <si>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</si>
  <si>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</si>
  <si>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</si>
  <si>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</si>
  <si>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</si>
  <si>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</si>
  <si>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</si>
  <si>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</si>
  <si>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</si>
  <si>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</si>
  <si>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</si>
  <si>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</si>
  <si>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</si>
  <si>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</si>
  <si>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</si>
  <si>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</si>
  <si>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</si>
  <si>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</si>
  <si>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</si>
  <si>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</si>
  <si>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</si>
  <si>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</si>
  <si>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</si>
  <si>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</si>
  <si>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</si>
  <si>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</si>
  <si>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</si>
  <si>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</si>
  <si>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</si>
  <si>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</si>
  <si>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</si>
  <si>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</si>
  <si>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</si>
  <si>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</si>
  <si>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</si>
  <si>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</si>
  <si>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</si>
  <si>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</si>
  <si>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</si>
  <si>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</si>
  <si>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</si>
  <si>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</si>
  <si>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</si>
  <si>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</si>
  <si>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</si>
  <si>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</si>
  <si>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</si>
  <si>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</si>
  <si>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</si>
  <si>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</si>
  <si>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</si>
  <si>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</si>
  <si>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</si>
  <si>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</si>
  <si>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</si>
  <si>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</si>
  <si>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</si>
  <si>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</si>
  <si>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</si>
  <si>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</si>
  <si>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</si>
  <si>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</si>
  <si>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</si>
  <si>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</si>
  <si>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</si>
  <si>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</si>
  <si>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</si>
  <si>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</si>
  <si>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</si>
  <si>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</si>
  <si>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</si>
  <si>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</si>
  <si>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</si>
  <si>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</si>
  <si>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</si>
  <si>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</si>
  <si>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</si>
  <si>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</si>
  <si>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</si>
  <si>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</si>
  <si>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</si>
  <si>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</si>
  <si>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</si>
  <si>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</si>
  <si>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</si>
  <si>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</si>
  <si>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</si>
  <si>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</si>
  <si>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</si>
  <si>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</si>
  <si>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</si>
  <si>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</si>
  <si>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</si>
  <si>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</si>
  <si>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</si>
  <si>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</si>
  <si>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</si>
  <si>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</si>
  <si>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</si>
  <si>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</si>
  <si>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</si>
  <si>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</si>
  <si>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</si>
  <si>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</si>
  <si>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</si>
  <si>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</si>
  <si>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</si>
  <si>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</si>
  <si>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</si>
  <si>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</si>
  <si>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</si>
  <si>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</si>
  <si>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</si>
  <si>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</si>
  <si>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</si>
  <si>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</si>
  <si>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</si>
  <si>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</si>
  <si>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</si>
  <si>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</si>
  <si>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</si>
  <si>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</si>
  <si>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</si>
  <si>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</si>
  <si>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</si>
  <si>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</si>
  <si>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</si>
  <si>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</si>
  <si>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</si>
  <si>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</si>
  <si>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</si>
  <si>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</si>
  <si>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</si>
  <si>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</si>
  <si>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</si>
  <si>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</si>
  <si>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</si>
  <si>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</si>
  <si>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</si>
  <si>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</si>
  <si>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</si>
  <si>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</si>
  <si>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</si>
  <si>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</si>
  <si>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</si>
  <si>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</si>
  <si>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</si>
  <si>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</si>
  <si>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</si>
  <si>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</si>
  <si>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</si>
  <si>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</si>
  <si>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</si>
  <si>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</si>
  <si>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</si>
  <si>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</si>
  <si>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</si>
  <si>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</si>
  <si>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</si>
  <si>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</si>
  <si>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</si>
  <si>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</si>
  <si>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</si>
  <si>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</si>
  <si>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</si>
  <si>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</si>
  <si>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</si>
  <si>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</si>
  <si>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</si>
  <si>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</si>
  <si>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</si>
  <si>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</si>
  <si>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</si>
  <si>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</si>
  <si>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</si>
  <si>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</si>
  <si>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</si>
  <si>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</si>
  <si>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</si>
  <si>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</si>
  <si>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</si>
  <si>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</si>
  <si>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</si>
  <si>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</si>
  <si>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</si>
  <si>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</si>
  <si>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</si>
  <si>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</si>
  <si>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</si>
  <si>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</si>
  <si>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</si>
  <si>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</si>
  <si>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</si>
  <si>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</si>
  <si>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</si>
  <si>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</si>
  <si>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</si>
  <si>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</si>
  <si>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</si>
  <si>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</si>
  <si>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</si>
  <si>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</si>
  <si>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</si>
  <si>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</si>
  <si>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</si>
  <si>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</si>
  <si>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</si>
  <si>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</si>
  <si>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</si>
  <si>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</si>
  <si>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</si>
  <si>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</si>
  <si>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</si>
  <si>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</si>
  <si>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</si>
  <si>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</si>
  <si>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</si>
  <si>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</si>
  <si>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</si>
  <si>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</si>
  <si>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</si>
  <si>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</si>
  <si>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</si>
  <si>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</si>
  <si>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</si>
  <si>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</si>
  <si>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</si>
  <si>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</si>
  <si>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</si>
  <si>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</si>
  <si>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</si>
  <si>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</si>
  <si>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</si>
  <si>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</si>
  <si>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</si>
  <si>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</si>
  <si>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</si>
  <si>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</si>
  <si>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</si>
  <si>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</si>
  <si>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</si>
  <si>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</si>
  <si>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</si>
  <si>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</si>
  <si>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</si>
  <si>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</si>
  <si>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</si>
  <si>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</si>
  <si>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</si>
  <si>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</si>
  <si>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</si>
  <si>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</si>
  <si>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</si>
  <si>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</si>
  <si>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</si>
  <si>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</si>
  <si>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</si>
  <si>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</si>
  <si>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</si>
  <si>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</si>
  <si>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</si>
  <si>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</si>
  <si>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</si>
  <si>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</si>
  <si>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</si>
  <si>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</si>
  <si>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</si>
  <si>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</si>
  <si>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</si>
  <si>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</si>
  <si>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</si>
  <si>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</si>
  <si>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</si>
  <si>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</si>
  <si>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</si>
  <si>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</si>
  <si>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</si>
  <si>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</si>
  <si>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</si>
  <si>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</si>
  <si>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</si>
  <si>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</si>
  <si>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</si>
  <si>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</si>
  <si>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</si>
  <si>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</si>
  <si>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</si>
  <si>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</si>
  <si>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</si>
  <si>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</si>
  <si>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</si>
  <si>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</si>
  <si>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</si>
  <si>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</si>
  <si>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</si>
  <si>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</si>
  <si>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</si>
  <si>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</si>
  <si>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</si>
  <si>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</si>
  <si>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</si>
  <si>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</si>
  <si>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</si>
  <si>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</si>
  <si>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</si>
  <si>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</si>
  <si>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</si>
  <si>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</si>
  <si>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</si>
  <si>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</si>
  <si>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</si>
  <si>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</si>
  <si>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</si>
  <si>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</si>
  <si>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</si>
  <si>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</si>
  <si>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</si>
  <si>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</si>
  <si>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</si>
  <si>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</si>
  <si>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</si>
  <si>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</si>
  <si>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</si>
  <si>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</si>
  <si>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</si>
  <si>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</si>
  <si>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</si>
  <si>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</si>
  <si>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</si>
  <si>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</si>
  <si>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</si>
  <si>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</si>
  <si>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</si>
  <si>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</si>
  <si>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</si>
  <si>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</si>
  <si>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</si>
  <si>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</si>
  <si>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</si>
  <si>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</si>
  <si>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</si>
  <si>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</si>
  <si>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</si>
  <si>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</si>
  <si>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</si>
  <si>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</si>
  <si>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</si>
  <si>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</si>
  <si>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</si>
  <si>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</si>
  <si>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</si>
  <si>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</si>
  <si>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</si>
  <si>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</si>
  <si>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</si>
  <si>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</si>
  <si>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</si>
  <si>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</si>
  <si>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</si>
  <si>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</si>
  <si>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</si>
  <si>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</si>
  <si>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</si>
  <si>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</si>
  <si>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</si>
  <si>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</si>
  <si>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</si>
  <si>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</si>
  <si>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</si>
  <si>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</si>
  <si>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</si>
  <si>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</si>
  <si>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</si>
  <si>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</si>
  <si>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</si>
  <si>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</si>
  <si>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</si>
  <si>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</si>
  <si>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</si>
  <si>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</si>
  <si>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</si>
  <si>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</si>
  <si>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</si>
  <si>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</si>
  <si>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</si>
  <si>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</si>
  <si>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</si>
  <si>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</si>
  <si>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</si>
  <si>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</si>
  <si>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</si>
  <si>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</si>
  <si>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</si>
  <si>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</si>
  <si>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</si>
  <si>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</si>
  <si>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</si>
  <si>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</si>
  <si>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</si>
  <si>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</si>
  <si>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</si>
  <si>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</si>
  <si>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</si>
  <si>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</si>
  <si>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</si>
  <si>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</si>
  <si>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</si>
  <si>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</si>
  <si>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</si>
  <si>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</si>
  <si>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</si>
  <si>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</si>
  <si>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</si>
  <si>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</si>
  <si>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</si>
  <si>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</si>
  <si>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</si>
  <si>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</si>
  <si>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</si>
  <si>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</si>
  <si>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</si>
  <si>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</si>
  <si>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</si>
  <si>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</si>
  <si>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</si>
  <si>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</si>
  <si>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</si>
  <si>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</si>
  <si>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</si>
  <si>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</si>
  <si>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</si>
  <si>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</si>
  <si>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</si>
  <si>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</si>
  <si>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</si>
  <si>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</si>
  <si>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</si>
  <si>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</si>
  <si>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</si>
  <si>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</si>
  <si>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</si>
  <si>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</si>
  <si>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</si>
  <si>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</si>
  <si>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</si>
  <si>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</si>
  <si>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</si>
  <si>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</si>
  <si>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</si>
  <si>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</si>
  <si>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</si>
  <si>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</si>
  <si>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</si>
  <si>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</si>
  <si>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</si>
  <si>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</si>
  <si>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</si>
  <si>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</si>
  <si>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</si>
  <si>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</si>
  <si>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</si>
  <si>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</si>
  <si>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</si>
  <si>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</si>
  <si>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</si>
  <si>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</si>
  <si>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</si>
  <si>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</si>
  <si>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</si>
  <si>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</si>
  <si>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</si>
  <si>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</si>
  <si>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</si>
  <si>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</si>
  <si>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</si>
  <si>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</si>
  <si>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</si>
  <si>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</si>
  <si>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</si>
  <si>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</si>
  <si>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</si>
  <si>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</si>
  <si>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</si>
  <si>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</si>
  <si>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</si>
  <si>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</si>
  <si>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</si>
  <si>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</si>
  <si>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</si>
  <si>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</si>
  <si>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</si>
  <si>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</si>
  <si>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</si>
  <si>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</si>
  <si>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</si>
  <si>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</si>
  <si>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</si>
  <si>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</si>
  <si>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</si>
  <si>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</si>
  <si>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</si>
  <si>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</si>
  <si>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</si>
  <si>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</si>
  <si>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</si>
  <si>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</si>
  <si>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</si>
  <si>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</si>
  <si>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</si>
  <si>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</si>
  <si>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</si>
  <si>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</si>
  <si>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</si>
  <si>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</si>
  <si>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</si>
  <si>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</si>
  <si>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</si>
  <si>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</si>
  <si>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</si>
  <si>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</si>
  <si>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</si>
  <si>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</si>
  <si>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</si>
  <si>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</si>
  <si>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</si>
  <si>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</si>
  <si>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</si>
  <si>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</si>
  <si>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</si>
  <si>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</si>
  <si>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</si>
  <si>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</si>
  <si>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</si>
  <si>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</si>
  <si>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</si>
  <si>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</si>
  <si>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</si>
  <si>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</si>
  <si>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</si>
  <si>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</si>
  <si>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</si>
  <si>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</si>
  <si>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</si>
  <si>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</si>
  <si>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</si>
  <si>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</si>
  <si>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</si>
  <si>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</si>
  <si>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</si>
  <si>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</si>
  <si>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</si>
  <si>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</si>
  <si>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</si>
  <si>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</si>
  <si>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</si>
  <si>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</si>
  <si>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</si>
  <si>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</si>
  <si>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</si>
  <si>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</si>
  <si>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</si>
  <si>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</si>
  <si>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</si>
  <si>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</si>
  <si>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</si>
  <si>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</si>
  <si>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</si>
  <si>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</si>
  <si>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</si>
  <si>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</si>
  <si>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</si>
  <si>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</si>
  <si>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</si>
  <si>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</si>
  <si>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</si>
  <si>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</si>
  <si>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</si>
  <si>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</si>
  <si>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</si>
  <si>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</si>
  <si>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</si>
  <si>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</si>
  <si>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</si>
  <si>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</si>
  <si>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</si>
  <si>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</si>
  <si>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</si>
  <si>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</si>
  <si>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</si>
  <si>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</si>
  <si>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</si>
  <si>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</si>
  <si>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</si>
  <si>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</si>
  <si>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</si>
  <si>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</si>
  <si>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</si>
  <si>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</si>
  <si>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</si>
  <si>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</si>
  <si>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</si>
  <si>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</si>
  <si>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</si>
  <si>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</si>
  <si>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</si>
  <si>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</si>
  <si>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</si>
  <si>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</si>
  <si>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</si>
  <si>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</si>
  <si>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</si>
  <si>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</si>
  <si>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</si>
  <si>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</si>
  <si>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</si>
  <si>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</si>
  <si>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</si>
  <si>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</si>
  <si>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</si>
  <si>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</si>
  <si>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</si>
  <si>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</si>
  <si>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</si>
  <si>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</si>
  <si>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</si>
  <si>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</si>
  <si>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</si>
  <si>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</si>
  <si>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</si>
  <si>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</si>
  <si>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</si>
  <si>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</si>
  <si>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</si>
  <si>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</si>
  <si>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</si>
  <si>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</si>
  <si>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</si>
  <si>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</si>
  <si>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</si>
  <si>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</si>
  <si>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</si>
  <si>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</si>
  <si>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</si>
  <si>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</si>
  <si>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</si>
  <si>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</si>
  <si>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</si>
  <si>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</si>
  <si>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</si>
  <si>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</si>
  <si>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</si>
  <si>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</si>
  <si>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</si>
  <si>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</si>
  <si>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</si>
  <si>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</si>
  <si>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</si>
  <si>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</si>
  <si>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</si>
  <si>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</si>
  <si>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</si>
  <si>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</si>
  <si>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</si>
  <si>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</si>
  <si>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</si>
  <si>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</si>
  <si>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</si>
  <si>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</si>
  <si>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</si>
  <si>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</si>
  <si>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</si>
  <si>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</si>
  <si>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</si>
  <si>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</si>
  <si>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</si>
  <si>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</si>
  <si>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</si>
  <si>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</si>
  <si>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</si>
  <si>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</si>
  <si>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</si>
  <si>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</si>
  <si>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</si>
  <si>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</si>
  <si>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</si>
  <si>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</si>
  <si>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</si>
  <si>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</si>
  <si>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</si>
  <si>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</si>
  <si>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</si>
  <si>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</si>
  <si>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</si>
  <si>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</si>
  <si>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</si>
  <si>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</si>
  <si>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</si>
  <si>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</si>
  <si>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</si>
  <si>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</si>
  <si>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</si>
  <si>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</si>
  <si>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</si>
  <si>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</si>
  <si>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</si>
  <si>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</si>
  <si>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</si>
  <si>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</si>
  <si>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</si>
  <si>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</si>
  <si>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</si>
  <si>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</si>
  <si>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</si>
  <si>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</si>
  <si>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</si>
  <si>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</si>
  <si>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</si>
  <si>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</si>
  <si>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</si>
  <si>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</si>
  <si>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</si>
  <si>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</si>
  <si>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</si>
  <si>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</si>
  <si>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</si>
  <si>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</si>
  <si>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</si>
  <si>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</si>
  <si>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</si>
  <si>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</si>
  <si>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</si>
  <si>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</si>
  <si>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</si>
  <si>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</si>
  <si>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</si>
  <si>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</si>
  <si>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</si>
  <si>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</si>
  <si>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</si>
  <si>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</si>
  <si>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</si>
  <si>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</si>
  <si>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</si>
  <si>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</si>
  <si>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</si>
  <si>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</si>
  <si>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</si>
  <si>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</si>
  <si>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</si>
  <si>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</si>
  <si>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</si>
  <si>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</si>
  <si>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</si>
  <si>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</si>
  <si>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</si>
  <si>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</si>
  <si>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</si>
  <si>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</si>
  <si>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</si>
  <si>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</si>
  <si>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</si>
  <si>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</si>
  <si>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</si>
  <si>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</si>
  <si>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</si>
  <si>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</si>
  <si>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</si>
  <si>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</si>
  <si>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</si>
  <si>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</si>
  <si>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</si>
  <si>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</si>
  <si>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</si>
  <si>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</si>
  <si>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</si>
  <si>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</si>
  <si>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</si>
  <si>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</si>
  <si>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</si>
  <si>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</si>
  <si>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</si>
  <si>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</si>
  <si>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</si>
  <si>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</si>
  <si>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</si>
  <si>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</si>
  <si>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</si>
  <si>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</si>
  <si>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</si>
  <si>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</si>
  <si>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</si>
  <si>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</si>
  <si>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</si>
  <si>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</si>
  <si>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</si>
  <si>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</si>
  <si>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</si>
  <si>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</si>
  <si>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</si>
  <si>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</si>
  <si>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</si>
  <si>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</si>
  <si>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</si>
  <si>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</si>
  <si>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</si>
  <si>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</si>
  <si>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</si>
  <si>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</si>
  <si>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</si>
  <si>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</si>
  <si>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</si>
  <si>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</si>
  <si>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</si>
  <si>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</si>
  <si>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</si>
  <si>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</si>
  <si>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</si>
  <si>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</si>
  <si>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</si>
  <si>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</si>
  <si>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</si>
  <si>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</si>
  <si>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</si>
  <si>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</si>
  <si>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</si>
  <si>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</si>
  <si>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</si>
  <si>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</si>
  <si>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</si>
  <si>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</si>
  <si>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</si>
  <si>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</si>
  <si>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</si>
  <si>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</si>
  <si>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</si>
  <si>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</si>
  <si>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</si>
  <si>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</si>
  <si>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</si>
  <si>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</si>
  <si>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</si>
  <si>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</si>
  <si>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</si>
  <si>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</si>
  <si>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</si>
  <si>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</si>
  <si>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</si>
  <si>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</si>
  <si>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</si>
  <si>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</si>
  <si>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</si>
  <si>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</si>
  <si>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</si>
  <si>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</si>
  <si>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</si>
  <si>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</si>
  <si>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</si>
  <si>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</si>
  <si>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</si>
  <si>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</si>
  <si>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</si>
  <si>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</si>
  <si>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</si>
  <si>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</si>
  <si>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</si>
  <si>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</si>
  <si>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</si>
  <si>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</si>
  <si>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</si>
  <si>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</si>
  <si>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</si>
  <si>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</si>
  <si>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</si>
  <si>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</si>
  <si>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</si>
  <si>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</si>
  <si>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</si>
  <si>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</si>
  <si>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</si>
  <si>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</si>
  <si>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</si>
  <si>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</si>
  <si>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</si>
  <si>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</si>
  <si>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</si>
  <si>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</si>
  <si>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</si>
  <si>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</si>
  <si>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</si>
  <si>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</si>
  <si>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</si>
  <si>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</si>
  <si>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</si>
  <si>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</si>
  <si>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</si>
  <si>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</si>
  <si>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</si>
  <si>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</si>
  <si>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</si>
  <si>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</si>
  <si>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</si>
  <si>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</si>
  <si>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</si>
  <si>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</si>
  <si>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</si>
  <si>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</si>
  <si>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</si>
  <si>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</si>
  <si>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</si>
  <si>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</si>
  <si>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</si>
  <si>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</si>
  <si>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</si>
  <si>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</si>
  <si>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</si>
  <si>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</si>
  <si>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</si>
  <si>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</si>
  <si>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</si>
  <si>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</si>
  <si>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</si>
  <si>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</si>
  <si>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</si>
  <si>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</si>
  <si>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</si>
  <si>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</si>
  <si>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</si>
  <si>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</si>
  <si>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</si>
  <si>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</si>
  <si>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</si>
  <si>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</si>
  <si>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</si>
  <si>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</si>
  <si>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</si>
  <si>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</si>
  <si>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</si>
  <si>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</si>
  <si>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</si>
  <si>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</si>
  <si>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</si>
  <si>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</si>
  <si>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</si>
  <si>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</si>
  <si>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</si>
  <si>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</si>
  <si>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</si>
  <si>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</si>
  <si>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</si>
  <si>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</si>
  <si>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</si>
  <si>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</si>
  <si>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</si>
  <si>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</si>
  <si>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</si>
  <si>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</si>
  <si>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</si>
  <si>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</si>
  <si>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</si>
  <si>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</si>
  <si>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</si>
  <si>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</si>
  <si>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</si>
  <si>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</si>
  <si>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</si>
  <si>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</si>
  <si>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</si>
  <si>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</si>
  <si>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</si>
  <si>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</si>
  <si>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</si>
  <si>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</si>
  <si>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</si>
  <si>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</si>
  <si>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</si>
  <si>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</si>
  <si>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</si>
  <si>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</si>
  <si>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</si>
  <si>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</si>
  <si>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</si>
  <si>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</si>
  <si>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</si>
  <si>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</si>
  <si>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</si>
  <si>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</si>
  <si>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</si>
  <si>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</si>
  <si>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</si>
  <si>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</si>
  <si>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</si>
  <si>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</si>
  <si>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</si>
  <si>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</si>
  <si>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</si>
  <si>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</si>
  <si>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</si>
  <si>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</si>
  <si>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</si>
  <si>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</si>
  <si>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</si>
  <si>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</si>
  <si>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</si>
  <si>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</si>
  <si>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</si>
  <si>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</si>
  <si>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</si>
  <si>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</si>
  <si>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</si>
  <si>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</si>
  <si>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</si>
  <si>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</si>
  <si>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</si>
  <si>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</si>
  <si>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</si>
  <si>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</si>
  <si>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</si>
  <si>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</si>
  <si>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</si>
  <si>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</si>
  <si>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</si>
  <si>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</si>
  <si>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</si>
  <si>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</si>
  <si>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</si>
  <si>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</si>
  <si>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</si>
  <si>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</si>
  <si>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</si>
  <si>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</si>
  <si>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</si>
  <si>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</si>
  <si>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</si>
  <si>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</si>
  <si>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</si>
  <si>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</si>
  <si>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</si>
  <si>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</si>
  <si>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</si>
  <si>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</si>
  <si>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</si>
  <si>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</si>
  <si>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</si>
  <si>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</si>
  <si>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</si>
  <si>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</si>
  <si>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</si>
  <si>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</si>
  <si>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</si>
  <si>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</si>
  <si>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</si>
  <si>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</si>
  <si>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</si>
  <si>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</si>
  <si>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</si>
  <si>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</si>
  <si>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</si>
  <si>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</si>
  <si>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</si>
  <si>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</si>
  <si>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</si>
  <si>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</si>
  <si>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</si>
  <si>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</si>
  <si>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</si>
  <si>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</si>
  <si>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</si>
  <si>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</si>
  <si>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</si>
  <si>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</si>
  <si>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</si>
  <si>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</si>
  <si>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</si>
  <si>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</si>
  <si>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</si>
  <si>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</si>
  <si>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</si>
  <si>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</si>
  <si>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</si>
  <si>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</si>
  <si>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</si>
  <si>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</si>
  <si>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</si>
  <si>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</si>
  <si>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</si>
  <si>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</si>
  <si>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</si>
  <si>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</si>
  <si>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</si>
  <si>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</si>
  <si>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</si>
  <si>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</si>
  <si>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</si>
  <si>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</si>
  <si>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</si>
  <si>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</si>
  <si>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</si>
  <si>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</si>
  <si>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</si>
  <si>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</si>
  <si>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</si>
  <si>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</si>
  <si>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</si>
  <si>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</si>
  <si>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</si>
  <si>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</si>
  <si>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</si>
  <si>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</si>
  <si>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</si>
  <si>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</si>
  <si>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</si>
  <si>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</si>
  <si>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</si>
  <si>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</si>
  <si>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</si>
  <si>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</si>
  <si>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</si>
  <si>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</si>
  <si>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</si>
  <si>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</si>
  <si>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</si>
  <si>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</si>
  <si>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</si>
  <si>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</si>
  <si>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</si>
  <si>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</si>
  <si>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</si>
  <si>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</si>
  <si>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</si>
  <si>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</si>
  <si>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</si>
  <si>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</si>
  <si>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</si>
  <si>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</si>
  <si>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</si>
  <si>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</si>
  <si>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</si>
  <si>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</si>
  <si>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</si>
  <si>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</si>
  <si>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</si>
  <si>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</si>
  <si>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</si>
  <si>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</si>
  <si>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</si>
  <si>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</si>
  <si>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</si>
  <si>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</si>
  <si>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</si>
  <si>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</si>
  <si>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</si>
  <si>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</si>
  <si>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</si>
  <si>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</si>
  <si>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</si>
  <si>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</si>
  <si>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</si>
  <si>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</si>
  <si>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</si>
  <si>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</si>
  <si>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</si>
  <si>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</si>
  <si>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</si>
  <si>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</si>
  <si>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</si>
  <si>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</si>
  <si>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</si>
  <si>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</si>
  <si>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</si>
  <si>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</si>
  <si>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</si>
  <si>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</si>
  <si>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</si>
  <si>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</si>
  <si>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</si>
  <si>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</si>
  <si>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</si>
  <si>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</si>
  <si>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</si>
  <si>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</si>
  <si>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</si>
  <si>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</si>
  <si>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</si>
  <si>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</si>
  <si>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</si>
  <si>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</si>
  <si>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</si>
  <si>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</si>
  <si>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</si>
  <si>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</si>
  <si>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</si>
  <si>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</si>
  <si>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</si>
  <si>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</si>
  <si>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</si>
  <si>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</si>
  <si>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</si>
  <si>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</si>
  <si>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</si>
  <si>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</si>
  <si>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</si>
  <si>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</si>
  <si>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</si>
  <si>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</si>
  <si>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</si>
  <si>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</si>
  <si>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</si>
  <si>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</si>
  <si>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</si>
  <si>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</si>
  <si>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</si>
  <si>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</si>
  <si>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</si>
  <si>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</si>
  <si>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</si>
  <si>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</si>
  <si>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</si>
  <si>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</si>
  <si>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</si>
  <si>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</si>
  <si>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</si>
  <si>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</si>
  <si>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</si>
  <si>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</si>
  <si>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</si>
  <si>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</si>
  <si>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</si>
  <si>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</si>
  <si>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</si>
  <si>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</si>
  <si>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</si>
  <si>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</si>
  <si>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</si>
  <si>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</si>
  <si>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</si>
  <si>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</si>
  <si>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</si>
  <si>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</si>
  <si>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</si>
  <si>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</si>
  <si>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</si>
  <si>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</si>
  <si>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</si>
  <si>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</si>
  <si>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</si>
  <si>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</si>
  <si>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</si>
  <si>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</si>
  <si>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</si>
  <si>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</si>
  <si>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</si>
  <si>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</si>
  <si>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</si>
  <si>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</si>
  <si>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</si>
  <si>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</si>
  <si>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</si>
  <si>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</si>
  <si>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</si>
  <si>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</si>
  <si>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</si>
  <si>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</si>
  <si>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</si>
  <si>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</si>
  <si>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</si>
  <si>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</si>
  <si>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</si>
  <si>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</si>
  <si>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</si>
  <si>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</si>
  <si>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</si>
  <si>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</si>
  <si>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</si>
  <si>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</si>
  <si>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</si>
  <si>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</si>
  <si>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</si>
  <si>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</si>
  <si>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</si>
  <si>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</si>
  <si>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</si>
  <si>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</si>
  <si>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</si>
  <si>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</si>
  <si>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</si>
  <si>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</si>
  <si>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</si>
  <si>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</si>
  <si>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</si>
  <si>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</si>
  <si>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</si>
  <si>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</si>
  <si>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</si>
  <si>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</si>
  <si>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</si>
  <si>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</si>
  <si>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</si>
  <si>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</si>
  <si>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</si>
  <si>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</si>
  <si>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</si>
  <si>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</si>
  <si>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</si>
  <si>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</si>
  <si>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</si>
  <si>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</si>
  <si>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</si>
  <si>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</si>
  <si>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</si>
  <si>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</si>
  <si>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</si>
  <si>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</si>
  <si>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</si>
  <si>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</si>
  <si>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</si>
  <si>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</si>
  <si>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</si>
  <si>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</si>
  <si>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</si>
  <si>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</si>
  <si>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</si>
  <si>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</si>
  <si>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</si>
  <si>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</si>
  <si>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</si>
  <si>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</si>
  <si>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</si>
  <si>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</si>
  <si>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</si>
  <si>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</si>
  <si>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</si>
  <si>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</si>
  <si>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</si>
  <si>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</si>
  <si>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</si>
  <si>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</si>
  <si>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</si>
  <si>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</si>
  <si>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</si>
  <si>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</si>
  <si>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</si>
  <si>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</si>
  <si>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</si>
  <si>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</si>
  <si>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</si>
  <si>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</si>
  <si>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</si>
  <si>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</si>
  <si>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</si>
  <si>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</si>
  <si>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</si>
  <si>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</si>
  <si>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</si>
  <si>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</si>
  <si>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</si>
  <si>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</si>
  <si>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</si>
  <si>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</si>
  <si>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</si>
  <si>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</si>
  <si>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</si>
  <si>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</si>
  <si>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</si>
  <si>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</si>
  <si>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</si>
  <si>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</si>
  <si>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</si>
  <si>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</si>
  <si>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</si>
  <si>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</si>
  <si>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</si>
  <si>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</si>
  <si>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</si>
  <si>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</si>
  <si>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</si>
  <si>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</si>
  <si>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</si>
  <si>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</si>
  <si>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</si>
  <si>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</si>
  <si>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</si>
  <si>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</si>
  <si>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</si>
  <si>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</si>
  <si>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</si>
  <si>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</si>
  <si>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</si>
  <si>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</si>
  <si>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</si>
  <si>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</si>
  <si>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</si>
  <si>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</si>
  <si>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</si>
  <si>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</si>
  <si>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</si>
  <si>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</si>
  <si>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</si>
  <si>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</si>
  <si>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</si>
  <si>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</si>
  <si>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</si>
  <si>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</si>
  <si>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</si>
  <si>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</si>
  <si>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</si>
  <si>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</si>
  <si>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</si>
  <si>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</si>
  <si>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</si>
  <si>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</si>
  <si>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</si>
  <si>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</si>
  <si>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</si>
  <si>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</si>
  <si>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</si>
  <si>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</si>
  <si>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</si>
  <si>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</si>
  <si>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</si>
  <si>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</si>
  <si>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</si>
  <si>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</si>
  <si>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</si>
  <si>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</si>
  <si>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</si>
  <si>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</si>
  <si>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</si>
  <si>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</si>
  <si>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</si>
  <si>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</si>
  <si>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</si>
  <si>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</si>
  <si>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</si>
  <si>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</si>
  <si>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</si>
  <si>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</si>
  <si>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</si>
  <si>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</si>
  <si>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</si>
  <si>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</si>
  <si>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</si>
  <si>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</si>
  <si>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</si>
  <si>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</si>
  <si>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</si>
  <si>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</si>
  <si>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</si>
  <si>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</si>
  <si>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</si>
  <si>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</si>
  <si>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</si>
  <si>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</si>
  <si>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</si>
  <si>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</si>
  <si>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</si>
  <si>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</si>
  <si>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</si>
  <si>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</si>
  <si>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</si>
  <si>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</si>
  <si>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</si>
  <si>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</si>
  <si>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</si>
  <si>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</si>
  <si>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</si>
  <si>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</si>
  <si>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</si>
  <si>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</si>
  <si>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</si>
  <si>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</si>
  <si>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</si>
  <si>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</si>
  <si>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</si>
  <si>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</si>
  <si>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</si>
  <si>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</si>
  <si>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</si>
  <si>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</si>
  <si>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</si>
  <si>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</si>
  <si>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</si>
  <si>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</si>
  <si>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</si>
  <si>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</si>
  <si>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</si>
  <si>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</si>
  <si>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</si>
  <si>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</si>
  <si>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</si>
  <si>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</si>
  <si>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</si>
  <si>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</si>
  <si>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</si>
  <si>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</si>
  <si>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</si>
  <si>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</si>
  <si>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</si>
  <si>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</si>
  <si>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</si>
  <si>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</si>
  <si>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</si>
  <si>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</si>
  <si>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</si>
  <si>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</si>
  <si>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</si>
  <si>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</si>
  <si>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</si>
  <si>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</si>
  <si>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</si>
  <si>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</si>
  <si>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</si>
  <si>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</si>
  <si>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</si>
  <si>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</si>
  <si>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</si>
  <si>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</si>
  <si>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</si>
  <si>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</si>
  <si>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</si>
  <si>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</si>
  <si>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</si>
  <si>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</si>
  <si>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</si>
  <si>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</si>
  <si>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</si>
  <si>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</si>
  <si>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</si>
  <si>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</si>
  <si>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</si>
  <si>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</si>
  <si>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</si>
  <si>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</si>
  <si>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</si>
  <si>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</si>
  <si>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</si>
  <si>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</si>
  <si>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</si>
  <si>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</si>
  <si>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</si>
  <si>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</si>
  <si>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</si>
  <si>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</si>
  <si>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</si>
  <si>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</si>
  <si>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</si>
  <si>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</si>
  <si>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</si>
  <si>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</si>
  <si>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</si>
  <si>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</si>
  <si>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</si>
  <si>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</si>
  <si>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</si>
  <si>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</si>
  <si>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</si>
  <si>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</si>
  <si>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</si>
  <si>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</si>
  <si>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</si>
  <si>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</si>
  <si>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</si>
  <si>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</si>
  <si>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</si>
  <si>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</si>
  <si>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</si>
  <si>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</si>
  <si>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</si>
  <si>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</si>
  <si>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</si>
  <si>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</si>
  <si>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</si>
  <si>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</si>
  <si>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</si>
  <si>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</si>
  <si>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</si>
  <si>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</si>
  <si>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</si>
  <si>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</si>
  <si>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</si>
  <si>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</si>
  <si>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</si>
  <si>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</si>
  <si>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</si>
  <si>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</si>
  <si>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</si>
  <si>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</si>
  <si>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</si>
  <si>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</si>
  <si>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</si>
  <si>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</si>
  <si>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</si>
  <si>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</si>
  <si>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</si>
  <si>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</si>
  <si>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</si>
  <si>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</si>
  <si>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</si>
  <si>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</si>
  <si>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</si>
  <si>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</si>
  <si>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</si>
  <si>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</si>
  <si>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</si>
  <si>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</si>
  <si>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</si>
  <si>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</si>
  <si>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</si>
  <si>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</si>
  <si>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</si>
  <si>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</si>
  <si>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</si>
  <si>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</si>
  <si>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</si>
  <si>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</si>
  <si>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</si>
  <si>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</si>
  <si>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</si>
  <si>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</si>
  <si>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</si>
  <si>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</si>
  <si>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</si>
  <si>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</si>
  <si>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</si>
  <si>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</si>
  <si>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</si>
  <si>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</si>
  <si>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</si>
  <si>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</si>
  <si>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</si>
  <si>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</si>
  <si>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</si>
  <si>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</si>
  <si>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</si>
  <si>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</si>
  <si>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</si>
  <si>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</si>
  <si>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</si>
  <si>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</si>
  <si>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</si>
  <si>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</si>
  <si>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</si>
  <si>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</si>
  <si>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</si>
  <si>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</si>
  <si>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</si>
  <si>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</si>
  <si>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</si>
  <si>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</si>
  <si>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</si>
  <si>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</si>
  <si>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</si>
  <si>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</si>
  <si>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</si>
  <si>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</si>
  <si>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</si>
  <si>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</si>
  <si>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</si>
  <si>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</si>
  <si>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</si>
  <si>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</si>
  <si>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</si>
  <si>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</si>
  <si>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</si>
  <si>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</si>
  <si>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</si>
  <si>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</si>
  <si>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</si>
  <si>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</si>
  <si>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</si>
  <si>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</si>
  <si>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</si>
  <si>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</si>
  <si>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</si>
  <si>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</si>
  <si>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</si>
  <si>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</si>
  <si>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</si>
  <si>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</si>
  <si>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</si>
  <si>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</si>
  <si>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</si>
  <si>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</si>
  <si>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</si>
  <si>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</si>
  <si>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</si>
  <si>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</si>
  <si>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</si>
  <si>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</si>
  <si>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</si>
  <si>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</si>
  <si>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</si>
  <si>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</si>
  <si>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</si>
  <si>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</si>
  <si>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</si>
  <si>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</si>
  <si>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</si>
  <si>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</si>
  <si>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</si>
  <si>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</si>
  <si>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</si>
  <si>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</si>
  <si>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</si>
  <si>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</si>
  <si>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</si>
  <si>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</si>
  <si>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</si>
  <si>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</si>
  <si>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</si>
  <si>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</si>
  <si>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</si>
  <si>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</si>
  <si>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</si>
  <si>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</si>
  <si>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</si>
  <si>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</si>
  <si>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</si>
  <si>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</si>
  <si>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</si>
  <si>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</si>
  <si>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</si>
  <si>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</si>
  <si>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</si>
  <si>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</si>
  <si>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</si>
  <si>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</si>
  <si>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</si>
  <si>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</si>
  <si>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</si>
  <si>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</si>
  <si>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</si>
  <si>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</si>
  <si>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</si>
  <si>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</si>
  <si>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</si>
  <si>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</si>
  <si>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</si>
  <si>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</si>
  <si>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</si>
  <si>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</si>
  <si>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</si>
  <si>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</si>
  <si>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</si>
  <si>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</si>
  <si>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</si>
  <si>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</si>
  <si>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</si>
  <si>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</si>
  <si>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</si>
  <si>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</si>
  <si>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Приложение 17</t>
  </si>
  <si>
    <t>2018 год                                                                               Сумма, руб.</t>
  </si>
  <si>
    <t>1-я редакция</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</si>
  <si>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</si>
  <si>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</si>
  <si>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</si>
  <si>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</si>
  <si>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</si>
  <si>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</si>
  <si>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</si>
  <si>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</si>
  <si>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</si>
  <si>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</si>
  <si>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</si>
  <si>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</si>
  <si>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</si>
  <si>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</si>
  <si>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</si>
  <si>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</si>
  <si>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</si>
  <si>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</si>
  <si>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</si>
  <si>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</si>
  <si>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</si>
  <si>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</si>
  <si>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</si>
  <si>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</si>
  <si>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</si>
  <si>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</si>
  <si>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</si>
  <si>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Обеспечение мероприятий,  связанные с выполнением полномочий ОМС МО  по тепло-, водоснабжению и водоотведению</t>
  </si>
  <si>
    <t xml:space="preserve">Обеспечение мероприятий по строительству и реконструкции объектов теплоснабжения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</si>
  <si>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</si>
  <si>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</si>
  <si>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</si>
  <si>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</si>
  <si>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</si>
  <si>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</si>
  <si>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</si>
  <si>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</si>
  <si>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</si>
  <si>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</si>
  <si>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</si>
  <si>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</si>
  <si>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</si>
  <si>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</si>
  <si>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</si>
  <si>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</si>
  <si>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</si>
  <si>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</si>
  <si>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</si>
  <si>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</si>
  <si>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</si>
  <si>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</si>
  <si>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</si>
  <si>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</si>
  <si>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</si>
  <si>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</si>
  <si>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</si>
  <si>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</si>
  <si>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</si>
  <si>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</si>
  <si>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</si>
  <si>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</si>
  <si>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</si>
  <si>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Обеспечение мероприятий по защите от чрезвычайных ситуаций природного и техногенного характера</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</si>
  <si>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</si>
  <si>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</si>
  <si>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</si>
  <si>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</si>
  <si>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</si>
  <si>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</si>
  <si>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</si>
  <si>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</si>
  <si>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</si>
  <si>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</si>
  <si>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</si>
  <si>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</si>
  <si>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</si>
  <si>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</si>
  <si>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</si>
  <si>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</si>
  <si>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</si>
  <si>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</si>
  <si>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</si>
  <si>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</si>
  <si>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</si>
  <si>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</si>
  <si>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</si>
  <si>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</si>
  <si>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</si>
  <si>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</si>
  <si>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</si>
  <si>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</si>
  <si>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</si>
  <si>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</si>
  <si>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</si>
  <si>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</si>
  <si>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</si>
  <si>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</si>
  <si>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</si>
  <si>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</si>
  <si>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</si>
  <si>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</si>
  <si>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</si>
  <si>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</si>
  <si>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</si>
  <si>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</si>
  <si>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</si>
  <si>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</si>
  <si>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</si>
  <si>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</si>
  <si>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</si>
  <si>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</si>
  <si>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на 01.01.2019</t>
  </si>
  <si>
    <t>на 01.01.2020</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</si>
  <si>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</si>
  <si>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</si>
  <si>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</si>
  <si>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</si>
  <si>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</si>
  <si>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</si>
  <si>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</si>
  <si>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</si>
  <si>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</si>
  <si>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</si>
  <si>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</si>
  <si>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</si>
  <si>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</si>
  <si>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</si>
  <si>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</si>
  <si>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</si>
  <si>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</si>
  <si>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</si>
  <si>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</si>
  <si>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</si>
  <si>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</si>
  <si>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</si>
  <si>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</si>
  <si>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</si>
  <si>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</si>
  <si>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</si>
  <si>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</si>
  <si>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</si>
  <si>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</si>
  <si>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</si>
  <si>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</si>
  <si>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</si>
  <si>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</si>
  <si>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</si>
  <si>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</si>
  <si>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</si>
  <si>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</si>
  <si>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</si>
  <si>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</si>
  <si>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</si>
  <si>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</si>
  <si>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</si>
  <si>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</si>
  <si>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</si>
  <si>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</si>
  <si>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</si>
  <si>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</si>
  <si>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</si>
  <si>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</si>
  <si>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</si>
  <si>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</si>
  <si>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2 02 20051 05 0000 151 </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</si>
  <si>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</si>
  <si>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</si>
  <si>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</si>
  <si>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</si>
  <si>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</si>
  <si>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</si>
  <si>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</si>
  <si>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</si>
  <si>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</si>
  <si>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</si>
  <si>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</si>
  <si>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</si>
  <si>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</si>
  <si>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</si>
  <si>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</si>
  <si>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</si>
  <si>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</si>
  <si>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</si>
  <si>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</si>
  <si>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</si>
  <si>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</si>
  <si>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</si>
  <si>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</si>
  <si>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</si>
  <si>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</si>
  <si>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</si>
  <si>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</si>
  <si>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</si>
  <si>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2 02 45146 05 0000 151</t>
  </si>
  <si>
    <t xml:space="preserve">2 02 45147 05 0000 151 </t>
  </si>
  <si>
    <t>2 02 45148 05 0000 151</t>
  </si>
  <si>
    <t>2 02 45144 05 0000 151</t>
  </si>
  <si>
    <t>2 02 20077 05 0000 151</t>
  </si>
  <si>
    <t>2 02 20216 05 0000 151</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</si>
  <si>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</si>
  <si>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</si>
  <si>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</si>
  <si>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</si>
  <si>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</si>
  <si>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</si>
  <si>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</si>
  <si>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</si>
  <si>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</si>
  <si>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</si>
  <si>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</si>
  <si>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</si>
  <si>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</si>
  <si>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</si>
  <si>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</si>
  <si>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</si>
  <si>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</si>
  <si>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</si>
  <si>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</si>
  <si>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</si>
  <si>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</si>
  <si>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</si>
  <si>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</si>
  <si>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</si>
  <si>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</si>
  <si>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</si>
  <si>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</si>
  <si>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</si>
  <si>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</si>
  <si>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</si>
  <si>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Повышение уровня газификации жилищного фонда населенных пунктов, путем строительства  межпоселковых газопроводов и распределительных газовых сетей</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</si>
  <si>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</si>
  <si>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</si>
  <si>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</si>
  <si>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</si>
  <si>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</si>
  <si>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</si>
  <si>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</si>
  <si>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</si>
  <si>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</si>
  <si>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</si>
  <si>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</si>
  <si>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</si>
  <si>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</si>
  <si>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</si>
  <si>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</si>
  <si>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</si>
  <si>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</si>
  <si>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</si>
  <si>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</si>
  <si>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</si>
  <si>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</si>
  <si>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</si>
  <si>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</si>
  <si>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</si>
  <si>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</si>
  <si>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</si>
  <si>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</si>
  <si>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</si>
  <si>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</si>
  <si>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</si>
  <si>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</si>
  <si>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</si>
  <si>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</si>
  <si>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</si>
  <si>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</si>
  <si>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</si>
  <si>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</si>
  <si>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</si>
  <si>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</si>
  <si>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</si>
  <si>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</si>
  <si>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</si>
  <si>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</si>
  <si>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</si>
  <si>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</si>
  <si>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</si>
  <si>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</si>
  <si>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Распределение дотаций бюджетам поселений Тутаевского муниципального района  на 2018год</t>
  </si>
  <si>
    <t>от "____"______________ 2017 г. № ______</t>
  </si>
  <si>
    <t>от "____"______________ 2017 г.№ ______</t>
  </si>
  <si>
    <t>Распределение дотаций бюджетам поселений Тутаевского муниципального района на  плановый период 2019-2020 годов</t>
  </si>
  <si>
    <t>2020 год                                                                               Сумма, руб.</t>
  </si>
  <si>
    <t>Распределение субсидий бюджетам поселений Тутаевского муниципального района на 2018год</t>
  </si>
  <si>
    <t xml:space="preserve">1. Субсидия на </t>
  </si>
  <si>
    <t>Распределение субсидий бюджетам поселений Тутаевского муниципального района на плановый период 2019-2020 годов</t>
  </si>
  <si>
    <t>Распределение субвенций бюджетам поселений Тутаевского муниципального района на 2018 год</t>
  </si>
  <si>
    <t>Распределение субвенций бюджетам поселений Тутаевского муниципального района наплановый период 2019 -2020годов</t>
  </si>
  <si>
    <t>Распределение иных межбюджетных трансфертов бюджетам поселений Тутаевского муниципального района на 2018 год</t>
  </si>
  <si>
    <t>2 02 20041 05 0000 151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</si>
  <si>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</si>
  <si>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</si>
  <si>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2 02 25527 05 0000 151</t>
  </si>
  <si>
    <t>2 02 25555 05 0000 151</t>
  </si>
  <si>
    <t>2 18 25064 05 0000 151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</si>
  <si>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</si>
  <si>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</si>
  <si>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строительство, модернизацию, ремонт и содержание автомобильных дорог в поселениях (за исключением автомобильных дорог федерального значения)</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</si>
  <si>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</si>
  <si>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</si>
  <si>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</si>
  <si>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 xml:space="preserve">2 18 25085 05 0000 151 </t>
  </si>
  <si>
    <t>1 11 05013 05 0000 120</t>
  </si>
  <si>
    <t>1 14 06013 05 0000 430</t>
  </si>
  <si>
    <t>2 02 25519 05 0000 151</t>
  </si>
  <si>
    <t>Субсидия бюджетам муниципальных районов на поддержку отрасли культуры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</si>
  <si>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</si>
  <si>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</si>
  <si>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</si>
  <si>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</si>
  <si>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</si>
  <si>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</si>
  <si>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</si>
  <si>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Содержание и организация деятельности аварийно-спасательных служб</t>
  </si>
  <si>
    <t>Поддержки деятельности социально-ориентированных некоммерческих организаций</t>
  </si>
  <si>
    <t xml:space="preserve"> Прогнозируемые доходы бюджета Тутаевского муниципального района на 2018 год  в соответствии с классификацией доходов бюджетов Российской Федерации</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</si>
  <si>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2019-2020 годов</t>
  </si>
  <si>
    <t>Расходы бюджета Тутаевского муниципального района по разделам и подразделам классификации расходов бюджетов Российской Федерации на 2018 год</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</si>
  <si>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2019-2020 годов</t>
  </si>
  <si>
    <t>Источники внутреннего финансирования дефицита муниципального района на 2018 год</t>
  </si>
  <si>
    <t>Источники внутреннего финансирования дефицита  бюджета Тутаевского муниципального района на плановый период 2019-2020 годов</t>
  </si>
  <si>
    <t xml:space="preserve">Программа муниципальных внутренних заимствований Тутаевского муниципального района на 2018 год </t>
  </si>
  <si>
    <t>1. Муниципальные внутренние заимствования, осуществляемые Тутаевским муниципальным районом в 2018 году</t>
  </si>
  <si>
    <t>2. Предельные размеры на 2018 год</t>
  </si>
  <si>
    <t xml:space="preserve">на 2018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</si>
  <si>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2018-2020 годы не планируется.</t>
  </si>
  <si>
    <t>от "___"_____________ 2017 г.№______</t>
  </si>
  <si>
    <t>от "____"_____________ 2017 г.№______</t>
  </si>
  <si>
    <t>2020 Сумма, руб.</t>
  </si>
  <si>
    <t>от "_____"______________ 2017 г.№ ______</t>
  </si>
  <si>
    <t>от "____"____________ 2017 г. №_____</t>
  </si>
  <si>
    <t xml:space="preserve">муниципальных внутренних заимствований Тутаевского муниципального района на плановый период 2019-2020 годов </t>
  </si>
  <si>
    <t>1. Муниципальные внутренние заимствования, осуществляемые Тутаевским муниципальным районом на плановый период 2019-2020 годов</t>
  </si>
  <si>
    <t>2. Предельные размеры на 2019 -2020 годы</t>
  </si>
  <si>
    <t>на 01.01.2021</t>
  </si>
  <si>
    <t>на 2020 год</t>
  </si>
  <si>
    <t>на 01.01.2020 (пргноз)</t>
  </si>
  <si>
    <t>на 01.01.2021 (прогноз)</t>
  </si>
  <si>
    <t>от "____"___________ 2017 г.№ ______</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</si>
  <si>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2018 год и на плановый период 2019-2020 годов, %</t>
  </si>
  <si>
    <t>Ведомственная структура расходов бюджета Тутаевского муниципального района на 2018 год</t>
  </si>
  <si>
    <t>Ведомственная структура расходов бюджета Тутаевского муниципального района на плановый период 2019-2020 годов</t>
  </si>
  <si>
    <t>Распределение бюджетных ассигнований по программам и непрограммным расходам бюджета Тутаевского муниципального района на 2018 год</t>
  </si>
  <si>
    <t>Распределение бюджетных ассигнований по программам и непрограммным расходам бюджета Тутаевского муниципального района на плановый период 2019-2020 годов</t>
  </si>
  <si>
    <t>Расходы на природоохранные мероприятия</t>
  </si>
  <si>
    <t>Прочая закупка товаров, работ и услуг для обеспечения государственных (муниципальных) нужд</t>
  </si>
  <si>
    <t xml:space="preserve">Закупка товаров, работ и услуг для обеспечения государственных (муниципальных) нужд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</si>
  <si>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</si>
  <si>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Капитальные вложения в объекты государственной (муниципальной) собственности</t>
  </si>
  <si>
    <t>Обеспечение условий для исполнения функций финансового органа</t>
  </si>
  <si>
    <t>21.0.02</t>
  </si>
  <si>
    <t>Организационно-техническое обеспечение бюджетного процесса</t>
  </si>
  <si>
    <t>21.0.03</t>
  </si>
  <si>
    <t>Нормативно-методическое обеспечение бюджетного процесса</t>
  </si>
  <si>
    <t>22.0.00</t>
  </si>
  <si>
    <t>Муниципальная программа "Формирование  современной городской среды"  Тутаевского муниципального района</t>
  </si>
  <si>
    <t>Повышение уровня благоустройства дворовых территорий</t>
  </si>
  <si>
    <t>Повышение  уровня благоустройства  мест массового отдыха людей</t>
  </si>
  <si>
    <t>Повышение безопасности движения пешеходов и транспортных средств на придомовых территориях и проездах к дворовым территориям МКД</t>
  </si>
  <si>
    <t>23.0.00</t>
  </si>
  <si>
    <t>Муниципальная программа "Внедрение и развитие аппаратно-программного комплекса "Безопасный город"</t>
  </si>
  <si>
    <t>23.0.01</t>
  </si>
  <si>
    <t>Мероприятия по обеспечению безопасности жителей района</t>
  </si>
  <si>
    <t>Представительские расходы орагнов местного самоуправления</t>
  </si>
  <si>
    <t>Расходы на обеспечение безопасности жителей района</t>
  </si>
  <si>
    <t>Субвенция на освобождение от оплаты стоимости  проезда детей из многодетных семей</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</si>
  <si>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t>
  </si>
  <si>
    <t>084</t>
  </si>
  <si>
    <t>3036</t>
  </si>
  <si>
    <t>3037</t>
  </si>
  <si>
    <t xml:space="preserve">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</si>
  <si>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</si>
  <si>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930</t>
  </si>
  <si>
    <t>2021</t>
  </si>
  <si>
    <t>Субвенция на освобождение от оплаты стоимости  проезда на транспорте детей из многодетных семей</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</si>
  <si>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</si>
  <si>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R4620</t>
  </si>
  <si>
    <t xml:space="preserve">Обеспечение мероприятий по строительству,  реконструкции и ремонту  объектов водоснабжения и водоотведения </t>
  </si>
  <si>
    <t xml:space="preserve">Строительство и реконструкция  объектов  газификации </t>
  </si>
  <si>
    <t>Содержание и организация деятельности по благоустройству на территории поселения</t>
  </si>
  <si>
    <t>Обеспечение мероприятий в области благоустройства и озеленения</t>
  </si>
  <si>
    <t>Обеспечение мероприятий по строительству и реконструкции  памятников</t>
  </si>
  <si>
    <t>22.0.01</t>
  </si>
  <si>
    <t>22.0.02</t>
  </si>
  <si>
    <t>22.0.03</t>
  </si>
  <si>
    <t>Субвенция на компенсацию отдельным категориям граждан оплаты взноса на капитальный ремонт общего имущества в многоквартирном доме</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</si>
  <si>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</si>
  <si>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1. Субсидия на финансирование дорожного хозяйства</t>
  </si>
  <si>
    <t>2. Субсидия на реализацию мероприятий по обеспечению безопасности граждан на водных объектах</t>
  </si>
  <si>
    <t>Предоставление субсидий социально ориентированным некомерческим организациям на конкурсной основе</t>
  </si>
  <si>
    <t>S3140</t>
  </si>
  <si>
    <t>S5800</t>
  </si>
  <si>
    <t>Субсидия на реализацию мероприятий по информационному обеспечению муниципальных закупок</t>
  </si>
  <si>
    <t>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</si>
  <si>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Строительство и реконструкция спортивных сооружений и укрепление материальной базы</t>
  </si>
  <si>
    <t>Мероприятия  направленные на развитие агропромышленного комплекса</t>
  </si>
  <si>
    <t>Субсидия на возмещение части затрат сельхозтоваропроиизводителям на реализованное молоко</t>
  </si>
  <si>
    <t xml:space="preserve">Субсидия на возмещение части затрат сельхозтоваропроиизводителям на содержание маточного поголовья овец романовской породы </t>
  </si>
  <si>
    <t>Бесперебойное функционирование информационных систем</t>
  </si>
  <si>
    <t>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t>
  </si>
  <si>
    <t>03.1.04</t>
  </si>
  <si>
    <t>на 2019 год</t>
  </si>
  <si>
    <t>Субвенция на осуществление полномочий Российской Федерации по государственной регистрации актов гражданского состояния</t>
  </si>
  <si>
    <t>13310</t>
  </si>
  <si>
    <t>Гранты, в форме субсидий, на выплату  вознаграждения сельхозтоваропроизхводителям - победителям конкурса</t>
  </si>
  <si>
    <t>958 Департамент жилищно- коммунального хозяйства и транспорта Администрации Тутаевского муниципального района</t>
  </si>
  <si>
    <t>Субсидия на капитальный ремонт и ремонт дорожных объектов муниципальной собственности</t>
  </si>
  <si>
    <t>Межбюджетные трансферты на обеспечение мероприятий в области дорожного хозяйства по строительству, реконструкции и ремонту светофорных объектов</t>
  </si>
  <si>
    <t>2913</t>
  </si>
  <si>
    <t>Межбюджетные трансферты на обеспечение мероприятий по улучшение жилищных условий молодых семей, проживающих  на территории Ярославской области</t>
  </si>
  <si>
    <t>Межбюджетные трансферты на обеспечение мероприятий в области благоустройства и озеленения</t>
  </si>
  <si>
    <t>Межбюджетные трансферты на содержание и организацию деятельности по благоустройству на территории поселения</t>
  </si>
  <si>
    <t>Межбюджетные трансферты на обеспечение мероприятий по содержанию мест захоронения</t>
  </si>
  <si>
    <t>2949</t>
  </si>
  <si>
    <t>Межбюджетные трансферты на обеспечение мероприятий в области дорожного хозяйства по ремонту дворовых территорий</t>
  </si>
  <si>
    <t>2951</t>
  </si>
  <si>
    <t>Межбюджетные трансферты на оказание поддержки социально ориентированным некоммерческим организациям</t>
  </si>
  <si>
    <t>2952</t>
  </si>
  <si>
    <t>Межбюджетные трансферты на обеспечение мероприятий по организации населению услуг торговли</t>
  </si>
  <si>
    <t>2956</t>
  </si>
  <si>
    <t>Межбюджетные трансферты на содержание и организация деятельности аварийно-спасательных служб и (или) аварийно-спасательных формирований на территории поселения</t>
  </si>
  <si>
    <t>2960</t>
  </si>
  <si>
    <t>Межбюджетные трансферты на обеспечение мероприятий по  строительству канатной дороги через р.Волга</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</si>
  <si>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</si>
  <si>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</si>
  <si>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</si>
  <si>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формированию современной городской среды в области благоустройства</t>
  </si>
  <si>
    <t>2037</t>
  </si>
  <si>
    <t>Субсидия на повышение оплаты труда отдельных категорий работников муниципальных учреждений в сфере образования</t>
  </si>
  <si>
    <t>573</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</si>
  <si>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</si>
  <si>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2038</t>
  </si>
  <si>
    <t>Субсидия на повышение оплаты труда работников муниципальных учреждений в сфере культуры</t>
  </si>
  <si>
    <t>2921</t>
  </si>
  <si>
    <t>Межбюджетные трансферты на обеспечение культурно - досуговых мероприятий</t>
  </si>
  <si>
    <t>2947</t>
  </si>
  <si>
    <t>Межбюджетные трансферты на обеспечение мероприятий по строительству и реконструкции памятников</t>
  </si>
  <si>
    <t>2948</t>
  </si>
  <si>
    <t>Межбюджетные трансферты на обеспечение деятельности народных дружин</t>
  </si>
  <si>
    <t>2968</t>
  </si>
  <si>
    <t>Межбюджетные трансферты на обеспечение мероприятий по содержанию военно-мемориального комплекса пл.Юности</t>
  </si>
  <si>
    <t xml:space="preserve">Субсидия на реализацию мероприятий по строительству объектов газификации </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</si>
  <si>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</si>
  <si>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</si>
  <si>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</si>
  <si>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</si>
  <si>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</si>
  <si>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</si>
  <si>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</si>
  <si>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2961</t>
  </si>
  <si>
    <t>Межбюджетные трансферты на обеспечение мероприятий  по переработке и утилизации ливневых стоков</t>
  </si>
  <si>
    <t>Обеспечение мероприятий по организации населению услуг торговли</t>
  </si>
  <si>
    <t>L0206</t>
  </si>
  <si>
    <t xml:space="preserve">Обеспечение мероприятий по улучшению жилищных условий молодых семей, проживающих на территории ЯО </t>
  </si>
  <si>
    <t>S1236</t>
  </si>
  <si>
    <t>Субсидия на возмещение части затрат по вводу земель сельскохозяйственного назначения</t>
  </si>
  <si>
    <t>R0740</t>
  </si>
  <si>
    <t>R0750</t>
  </si>
  <si>
    <t>R0841</t>
  </si>
  <si>
    <t>R0860</t>
  </si>
  <si>
    <t>R3040</t>
  </si>
  <si>
    <t>R0890</t>
  </si>
  <si>
    <t>R5490</t>
  </si>
  <si>
    <t>R4450</t>
  </si>
  <si>
    <t>R4420</t>
  </si>
  <si>
    <t>Расходы на мероприятия по содержанию мунициальных мест захоронений</t>
  </si>
  <si>
    <t>L5556</t>
  </si>
  <si>
    <t>Обеспечение надежного теплоснабжения жилищного фонда городского поселения Тутаев</t>
  </si>
  <si>
    <t>Содержание и организация деятельности дорожного хозяйства</t>
  </si>
  <si>
    <t>Обеспечение мероприятий  в рамках реализации проекта «Сохранение и развитие малых исторических городов и поселений»</t>
  </si>
  <si>
    <t>Обеспечение мероприятий  в области сохранения и восстановления   исторического облика населенных пунктов поселений, объектов культурного наследия</t>
  </si>
  <si>
    <t>Обеспечение мероприятий по содержанию  военно-мемориального комплекса пл.Юности</t>
  </si>
  <si>
    <t>Обеспечение мероприятий  по разработке программы транспортной инфраструктуры</t>
  </si>
  <si>
    <t>Обеспечение мероприятий по обустройству мест массового отдыха в рамках реализации губернаторского проекта «Решаем вместе!»</t>
  </si>
  <si>
    <t>Обеспечение мероприятий по строительству канатной дороги через   р. Волга</t>
  </si>
  <si>
    <t>Обеспечение мероприятий по  формированию современной городской среды в области дорожного хозяйства</t>
  </si>
  <si>
    <t>Обеспечение мероприятий по актуализации схем водоснабжения и водоотведения</t>
  </si>
  <si>
    <t>Обеспечение мероприятий по оптимизации  теплоснабжения с переводом объектов на индивидуальное газовое отопление</t>
  </si>
  <si>
    <t>Обеспечение мероприятий  по переработке и утилизации ливневых стоков</t>
  </si>
  <si>
    <t>Обеспечение мероприятий по актуализации  границ  особо охраняемых объектов- памятников природы</t>
  </si>
  <si>
    <t>16.2.04</t>
  </si>
  <si>
    <t>Обеспечение мероприятий по обследованию жилых домов</t>
  </si>
  <si>
    <t>R5260</t>
  </si>
  <si>
    <t>S5260</t>
  </si>
  <si>
    <t>Субсидия на реализацию мероприятий по строительству объектов газификации</t>
  </si>
  <si>
    <t>Обеспечение софинансирования по строительству объектов газификации</t>
  </si>
  <si>
    <t>R0190</t>
  </si>
  <si>
    <t>R0200</t>
  </si>
  <si>
    <t>R1450</t>
  </si>
  <si>
    <t>19</t>
  </si>
  <si>
    <t>1003</t>
  </si>
  <si>
    <t>Дотация на реализацию мероприятий, предусмотренных нормативными правовыми актами органов государственной власти Ярославской области</t>
  </si>
  <si>
    <t>022</t>
  </si>
  <si>
    <t>15.0.04</t>
  </si>
  <si>
    <t>L5276</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</si>
  <si>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</si>
  <si>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R2446</t>
  </si>
  <si>
    <t>Мероприятия по финансированию дорожного хозяйства</t>
  </si>
  <si>
    <t>S2446</t>
  </si>
  <si>
    <t>R5626</t>
  </si>
  <si>
    <t>Субсидия на ремонт дорожных объектов муниципальной собственности</t>
  </si>
  <si>
    <t>R2440</t>
  </si>
  <si>
    <t>Субсидия на финансирование дорожного хозяйства за счет средств областного бюджета</t>
  </si>
  <si>
    <t>R5620</t>
  </si>
  <si>
    <t xml:space="preserve">3.Субсидия  на капитальный ремонт и ремонт дорожных объектов муниципальной собственности из бюджета  Ярославской области </t>
  </si>
  <si>
    <t>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t>
  </si>
  <si>
    <t xml:space="preserve">Профессиональное развитие  муниципальных служащих и повышение квалификации руководителей муниципальных учреждений </t>
  </si>
  <si>
    <t>Организация предоставления транспортных услуг по перевозке пассажиров речным транспортом</t>
  </si>
  <si>
    <t>Обеспечение мероприятий по разработке программ транспортной инфраструктуры сельских поселений</t>
  </si>
  <si>
    <t>R0510</t>
  </si>
  <si>
    <t>R0520</t>
  </si>
  <si>
    <t>R3110</t>
  </si>
  <si>
    <t>R0530</t>
  </si>
  <si>
    <t>R1000</t>
  </si>
  <si>
    <t>R1060</t>
  </si>
  <si>
    <t>R5160</t>
  </si>
  <si>
    <t>R1430</t>
  </si>
  <si>
    <t>R0550</t>
  </si>
  <si>
    <t>R4390</t>
  </si>
  <si>
    <t>R0460</t>
  </si>
  <si>
    <t>R0500</t>
  </si>
  <si>
    <t>R0430</t>
  </si>
  <si>
    <t>R0850</t>
  </si>
  <si>
    <t>R5480</t>
  </si>
  <si>
    <t>R0870</t>
  </si>
  <si>
    <t>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t>
  </si>
  <si>
    <t>R0650</t>
  </si>
  <si>
    <t xml:space="preserve">Иная дотация </t>
  </si>
  <si>
    <t>от "____"______________ 2018 г.№ ______</t>
  </si>
  <si>
    <t>R2550</t>
  </si>
  <si>
    <t>R2560</t>
  </si>
  <si>
    <t>R5556</t>
  </si>
  <si>
    <t xml:space="preserve">Субсидия на формирование современной городской среды </t>
  </si>
  <si>
    <t>4.Субсидия  на мероприятия по формированию современной городской среды</t>
  </si>
  <si>
    <t>Мероприятия по актуализации схем теплоснабжения</t>
  </si>
  <si>
    <t>S5626</t>
  </si>
  <si>
    <t>R5550</t>
  </si>
  <si>
    <t>2969</t>
  </si>
  <si>
    <t>Межбюджетные трансферты на содержание и организацию деятельности дорожного хозяйства</t>
  </si>
  <si>
    <t>49</t>
  </si>
  <si>
    <t>4006</t>
  </si>
  <si>
    <t>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</si>
  <si>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2950</t>
  </si>
  <si>
    <t>Межбюджетные трансферты на обеспечение мероприятий по строительству, реконструкции и ремонту общественных туалетов</t>
  </si>
  <si>
    <t>2905</t>
  </si>
  <si>
    <t>Межбюджетные трансферты на обеспечение мероприятий по строительству и реконструкции объектов теплоснабжения</t>
  </si>
  <si>
    <t>2953</t>
  </si>
  <si>
    <t>Межбюджетные трансферты на обеспечение мероприятий по актуализации схем теплоснабжения</t>
  </si>
  <si>
    <t>2962</t>
  </si>
  <si>
    <t>Межбюджетные трансферты на обеспечение мероприятий  по разработке программы транспортной инфраструктуры</t>
  </si>
  <si>
    <t>2963</t>
  </si>
  <si>
    <t>Межбюджетные трансферты на обеспечение мероприятий по актуализации схем водоснабжения и водоотведения</t>
  </si>
  <si>
    <t>2970</t>
  </si>
  <si>
    <t>Межбюджетные трансферты на обеспечение надежного теплоснабжения жилищного фонда городского поселения Тутаев</t>
  </si>
  <si>
    <t>Мероприятия по реконструкции и капитальному ремонту учреждения социальной защиты</t>
  </si>
  <si>
    <t>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</si>
  <si>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</si>
  <si>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 xml:space="preserve">на 01.01.2018 </t>
  </si>
  <si>
    <t>R5356</t>
  </si>
  <si>
    <t>Мероприятия по ремонту дворовых территорий в рамках инициативного бюджетирования</t>
  </si>
  <si>
    <t>S5356</t>
  </si>
  <si>
    <t>Обеспечение софинансирования по ремонту дворовых территорий в рамках инициативного бюджетирования</t>
  </si>
  <si>
    <t>Обеспечение мероприятий по разработке комплексных схем организации дорожного движения в рамках агломерации "Ярославская"</t>
  </si>
  <si>
    <t>Обеспечение мероприятий по разработке программы коммунальной инфраструктуры</t>
  </si>
  <si>
    <t>R2880</t>
  </si>
  <si>
    <t>Субсидия на реализацию мероприятий по возмещению части затрат организациям и индивидуальным предпринимателям,занимающимся доставкой товаров в отдаленные сельские населенные пункты за счет средств областного бюджета</t>
  </si>
  <si>
    <t>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</si>
  <si>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Обеспечение  мероприятий по формированию современной городской среды</t>
  </si>
  <si>
    <t>L5606</t>
  </si>
  <si>
    <t>Обеспечение  мероприятий по формированию современной городской среды в области благоустройства мест массового отдыха</t>
  </si>
  <si>
    <t>L4976</t>
  </si>
  <si>
    <t>Субсидии на мероприятия по господдержке молодых семей в приобретении (строительстве) жилья</t>
  </si>
  <si>
    <t>R1750</t>
  </si>
  <si>
    <t xml:space="preserve">Субсидия на реализацию мероприятий по созданию условий для развития инфраструктуры </t>
  </si>
  <si>
    <t xml:space="preserve">5. Субсидия на реализацию мероприятий по созданию условий для развития инфраструктуры </t>
  </si>
  <si>
    <t>6. 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</si>
  <si>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302</t>
  </si>
  <si>
    <t>2004</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</si>
  <si>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</si>
  <si>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2032</t>
  </si>
  <si>
    <t>Субсидия на реализацию мероприятий инициативного бюджетирования на территории Ярославской области (поддержка местных инициатив)</t>
  </si>
  <si>
    <t>2034</t>
  </si>
  <si>
    <t>Субсидия на реализацию муниципальных программ поддержки социально ориентированнх некоммереских организаций</t>
  </si>
  <si>
    <t>2035</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</si>
  <si>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</si>
  <si>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</si>
  <si>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2972</t>
  </si>
  <si>
    <t>Межбюджетные трансферты на обеспечение мероприятий по разработке схем организации дорожного движения в рамках агломерации "Ярославская"</t>
  </si>
  <si>
    <t>2973</t>
  </si>
  <si>
    <t>Межбюджетные трансферты на обеспечение мероприятий в области дорожного хозяйства по инициативному бюджетированию</t>
  </si>
  <si>
    <t>2974</t>
  </si>
  <si>
    <t>Межбюджетные трансферты на обеспечение мероприятий в области благоустройства по инициативному бюджетированию</t>
  </si>
  <si>
    <t>2006</t>
  </si>
  <si>
    <t>Субсидия на проведение капитального ремонта муниципальных учреждений культуры</t>
  </si>
  <si>
    <t>2040</t>
  </si>
  <si>
    <t>Субсидия на обеспечение трудоустройства несовершеннолетних граждан на временные рабочие места</t>
  </si>
  <si>
    <t>2944</t>
  </si>
  <si>
    <t>Межбюджетные трансферты на расходы на обеспечение мероприятий  по капитальному ремонту лифтов в МКД, в части жилых помещений находящихся в муниципальной собственности</t>
  </si>
  <si>
    <t>2971</t>
  </si>
  <si>
    <t>Межбюджетные трансферты на обеспечение мероприятий по разработке программы коммунальной инфраструктуры</t>
  </si>
  <si>
    <t>R3140</t>
  </si>
  <si>
    <t>Поддержка деятельности социально-ориентированным некоммерческим организациям на конкурсной основе</t>
  </si>
  <si>
    <t>R5800</t>
  </si>
  <si>
    <t>Расходы на реализацию мероприятий по информационному обеспечению муниципальных закупок</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</si>
  <si>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</si>
  <si>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2020</t>
  </si>
  <si>
    <t>R5350</t>
  </si>
  <si>
    <t>Расходы на реализацию мероприятий инициативного бюджетирования на территории Ярославской области</t>
  </si>
  <si>
    <t>R1690</t>
  </si>
  <si>
    <t xml:space="preserve">7. Субсидия на реализацию мероприятий инициативного бюджетирования на территории Ярославской области  </t>
  </si>
  <si>
    <t>Расходы на обеспечение трудоустройства несовершеннолетних граждан на временные рабочие места</t>
  </si>
  <si>
    <t>Субсидия  на создание условий для развития  инфраструктуры досуга и отдыха</t>
  </si>
  <si>
    <t>Субсидия на мероприятия по строительству межпоселеченских газопроводов</t>
  </si>
  <si>
    <t>Субсидия на формирование современной городской среды  (кредиторская задолженность)</t>
  </si>
  <si>
    <t>Субсидия на капитальный ремонт и ремонт дорожных объектов мунициальной собственности  из бюджета ЯО</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</si>
  <si>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</si>
  <si>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Обеспечение мероприятий в сфере ипотечного жилищного кредитования за счет средств поселений</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</si>
  <si>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</si>
  <si>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Мероприятия по благоустройству и ремонту дворовых территории в рамках софинансирования инициативного бюджетирования</t>
  </si>
  <si>
    <t>Расходы на комплексное развитие транспортной инфраструктуры городской агломерации "Ярославская"</t>
  </si>
  <si>
    <t>Субсидия на комплексное развитие транспортной инфраструктуры городской агломерации "Ярославская" за счет средств областного бюджета</t>
  </si>
  <si>
    <t>Мероприятия по благоустройству и ремонту дворовых  территории в рамках софинансирования инициативного бюджетирования</t>
  </si>
  <si>
    <t>Обеспечение доп.финансирования мероприятий  по формированию современной городской среды</t>
  </si>
  <si>
    <t>Обеспечение мероприятий по  формированию современной  городской среды в области обустройства мест массового отдыха</t>
  </si>
  <si>
    <t>Обеспечение мероприятий по благоустргойству территории , предкусмотренных по НПА ЯО</t>
  </si>
  <si>
    <t>Бюджетные инвестиции на строительство межпоселенческих газопроводов</t>
  </si>
  <si>
    <t>Содержание и ремонт бесхозяйных стационарных объектов и сетей</t>
  </si>
  <si>
    <t xml:space="preserve"> редакция 7</t>
  </si>
  <si>
    <t xml:space="preserve">                                                                               Сумма, руб.</t>
  </si>
  <si>
    <t xml:space="preserve">                                                                        Сумма, руб.</t>
  </si>
  <si>
    <t>2. Межбюджетные трансферты нареализацию мероприятий по поощрению достижений наилучших значений показателей по отдельным направлениям развития муниципальных образований Ярославской области</t>
  </si>
  <si>
    <t>городское поселение Тутаев</t>
  </si>
  <si>
    <t>8. Субсидия на комплексное развитие транспортной инфраструктуры городской агломерации "Ярославская"</t>
  </si>
  <si>
    <t xml:space="preserve">9.Субсидия  на реализацию государственной поддержки граждан, проживающих на территории Ярославской области, в сфере ипотечного жилищного кредитования </t>
  </si>
  <si>
    <t>25</t>
  </si>
  <si>
    <t>552</t>
  </si>
  <si>
    <t>Субсидии бюджетам муниципальных районов на реализацию мероприятий приоритетного проекта "Безопасные и качественные дороги"</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</si>
  <si>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</si>
  <si>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</si>
  <si>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2010</t>
  </si>
  <si>
    <t>Субсидия на реализацию мероприятий по патриотическому воспитанию граждан</t>
  </si>
  <si>
    <t>Расходы на реализацию меропритий по строительству (реконструкции) учреждений социального обслуживания населения</t>
  </si>
  <si>
    <t>R0970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</si>
  <si>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</si>
  <si>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Приложение 5</t>
  </si>
  <si>
    <t>от "____"______________ 2018 г. № ______</t>
  </si>
  <si>
    <t>ДЕФИЦИТ</t>
  </si>
  <si>
    <t>Обеспечение мероприятий по осуществлению межсезонных пассажирских  перевозок на автомобильном  транспорте</t>
  </si>
  <si>
    <t>2. Дотация на реализацию мероприятий, предусмотренных нормативными правовыми актами органов государственной власти Ярославской области</t>
  </si>
  <si>
    <t>2955</t>
  </si>
  <si>
    <t>Межбюджетные трансферты на обеспечение  других обязательств в рамках передаваемых полномочий по содержанию казны  поселения</t>
  </si>
  <si>
    <t>519</t>
  </si>
  <si>
    <t>Обеспечение софинансирования мероприятий по  по разработке комплексных схем организации дорожного движения в рамках агломерации "Ярославская"</t>
  </si>
  <si>
    <t>Распределение иных межбюджетных трансфертов бюджетам поселений Тутаевского муниципального района на 2019 год</t>
  </si>
  <si>
    <t>1. Межбюджетные трансферты на организацию  в границах поселения дорожной деятельности в части содержания автомобильных дорог местного значения</t>
  </si>
  <si>
    <t>Обеспечение других обязательств в рамках передаваемых полномочий по содержанию имущества казны городского поселения Тутаев</t>
  </si>
  <si>
    <t>L5190</t>
  </si>
  <si>
    <t>Расходы на поддержку отрасли культуры</t>
  </si>
  <si>
    <t xml:space="preserve">                                                                     Сумма, руб.</t>
  </si>
  <si>
    <t>2975</t>
  </si>
  <si>
    <t>Межбюджетные трансферты на дополнительное пенсионное обеспечение муниципальных служащих городского поселения Тутаев</t>
  </si>
  <si>
    <t xml:space="preserve">Мероприятия по содержанию территории города  из средств гранта района </t>
  </si>
  <si>
    <t>R5190</t>
  </si>
  <si>
    <t>Распределение субсидий бюджетам поселений Тутаевского муниципального района на 2018 год</t>
  </si>
  <si>
    <t>6. Субсидия на обеспечение мероприятий по переселению граждан из аврийного жилищного фонда на приобретение жилых помещений, площадь которых больше площади занимаемых помещений</t>
  </si>
  <si>
    <t>от 20.12.2018г.№ 41-г</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</si>
</sst>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quot;р.&quot;_-;\-* #,##0.00&quot;р.&quot;_-;_-* &quot;-&quot;??&quot;р.&quot;_-;_-@_-"/>
    <numFmt numFmtId="43" formatCode="_-* #,##0.00_р_._-;\-* #,##0.00_р_._-;_-* &quot;-&quot;??_р_._-;_-@_-"/>
    <numFmt numFmtId="164" formatCode="0000"/>
    <numFmt numFmtId="165" formatCode="0.0%"/>
    <numFmt numFmtId="166" formatCode="000"/>
    <numFmt numFmtId="167" formatCode=";;"/>
    <numFmt numFmtId="168" formatCode="#,##0_р_."/>
    <numFmt numFmtId="169" formatCode="0000000"/>
    <numFmt numFmtId="170" formatCode="_-* #,##0_р_._-;\-* #,##0_р_._-;_-* &quot;-&quot;??_р_._-;_-@_-"/>
  </numFmts>
  <fonts count="63" x14ac:knownFonts="1">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sz val="10"/>
      <color rgb="FFFF0000"/>
      <name val="Arial Cyr"/>
    </font>
    <font>
      <sz val="10"/>
      <name val="Times New Roman"/>
      <family val="1"/>
      <charset val="204"/>
    </font>
    <font>
      <sz val="12"/>
      <name val="Arial Cyr"/>
    </font>
    <font>
      <sz val="12"/>
      <color theme="1"/>
      <name val="Times New Roman Cyr"/>
      <charset val="204"/>
    </font>
    <font>
      <b/>
      <sz val="10"/>
      <color theme="1"/>
      <name val="Arial Cyr"/>
      <charset val="204"/>
    </font>
    <font>
      <sz val="10"/>
      <name val="Arial Cyr"/>
    </font>
    <font>
      <b/>
      <sz val="10"/>
      <name val="Times New Roman"/>
      <family val="1"/>
      <charset val="204"/>
    </font>
    <font>
      <sz val="10"/>
      <color indexed="72"/>
      <name val="Times New Roman"/>
      <family val="1"/>
      <charset val="204"/>
    </font>
    <font>
      <b/>
      <sz val="10"/>
      <color indexed="72"/>
      <name val="Times New Roman"/>
      <family val="1"/>
      <charset val="204"/>
    </font>
  </fonts>
  <fills count="38">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14999847407452621"/>
        <bgColor theme="0" tint="-0.14996795556505021"/>
      </patternFill>
    </fill>
    <fill>
      <patternFill patternType="solid">
        <fgColor theme="3" tint="0.59999389629810485"/>
        <bgColor indexed="64"/>
      </patternFill>
    </fill>
    <fill>
      <patternFill patternType="solid">
        <fgColor theme="0" tint="-0.14999847407452621"/>
        <bgColor theme="0" tint="-0.34998626667073579"/>
      </patternFill>
    </fill>
    <fill>
      <patternFill patternType="solid">
        <fgColor theme="3" tint="0.79998168889431442"/>
        <bgColor theme="3" tint="0.59999389629810485"/>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theme="1"/>
      </left>
      <right style="thin">
        <color theme="1"/>
      </right>
      <top/>
      <bottom/>
      <diagonal/>
    </border>
    <border>
      <left style="thin">
        <color indexed="64"/>
      </left>
      <right/>
      <top style="thin">
        <color indexed="64"/>
      </top>
      <bottom style="medium">
        <color indexed="64"/>
      </bottom>
      <diagonal/>
    </border>
    <border>
      <left/>
      <right style="thin">
        <color indexed="64"/>
      </right>
      <top/>
      <bottom/>
      <diagonal/>
    </border>
  </borders>
  <cellStyleXfs count="21">
    <xf numFmtId="0" fontId="0" fillId="0" borderId="0"/>
    <xf numFmtId="44" fontId="37" fillId="0" borderId="0"/>
    <xf numFmtId="0" fontId="1" fillId="0" borderId="0"/>
    <xf numFmtId="0" fontId="2" fillId="0" borderId="0"/>
    <xf numFmtId="0" fontId="3" fillId="0" borderId="0"/>
    <xf numFmtId="43" fontId="3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cellStyleXfs>
  <cellXfs count="109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0" fontId="3" fillId="2" borderId="1" xfId="0" applyFont="1" applyFill="1" applyBorder="1" applyAlignment="1">
      <alignment horizontal="left" vertical="top" wrapText="1"/>
    </xf>
    <xf numFmtId="0" fontId="3" fillId="0" borderId="1" xfId="4" applyFont="1" applyBorder="1" applyAlignment="1">
      <alignment horizontal="left" vertical="top" wrapText="1"/>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4"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4"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top" wrapText="1"/>
    </xf>
    <xf numFmtId="0" fontId="5"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0" fontId="14" fillId="0" borderId="3" xfId="0" applyFont="1" applyBorder="1" applyAlignment="1">
      <alignment vertical="top" wrapText="1"/>
    </xf>
    <xf numFmtId="0" fontId="3" fillId="0" borderId="3" xfId="0" applyFont="1" applyBorder="1" applyAlignment="1">
      <alignment horizontal="justify" vertical="top" wrapText="1"/>
    </xf>
    <xf numFmtId="3" fontId="19"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2" fillId="0" borderId="9" xfId="0" applyFont="1" applyBorder="1" applyAlignment="1">
      <alignment wrapText="1"/>
    </xf>
    <xf numFmtId="0" fontId="3" fillId="0" borderId="9" xfId="0" applyFont="1" applyBorder="1" applyAlignment="1">
      <alignment horizontal="left" vertical="top" wrapText="1" indent="3"/>
    </xf>
    <xf numFmtId="0" fontId="3" fillId="0" borderId="9" xfId="0" applyFont="1" applyBorder="1" applyAlignment="1">
      <alignment horizontal="right" vertical="center" wrapText="1"/>
    </xf>
    <xf numFmtId="0" fontId="12" fillId="0" borderId="9" xfId="0" applyFont="1" applyBorder="1" applyAlignment="1">
      <alignment vertical="top" wrapText="1"/>
    </xf>
    <xf numFmtId="0" fontId="14" fillId="0" borderId="9" xfId="0" applyFont="1" applyBorder="1" applyAlignment="1">
      <alignment horizontal="left" vertical="top" wrapText="1" indent="1"/>
    </xf>
    <xf numFmtId="0" fontId="12"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14" fillId="0" borderId="20" xfId="0" applyFont="1" applyBorder="1" applyAlignment="1">
      <alignment horizontal="center" wrapText="1"/>
    </xf>
    <xf numFmtId="0" fontId="14" fillId="0" borderId="9" xfId="0" applyFont="1" applyBorder="1" applyAlignment="1">
      <alignment wrapText="1"/>
    </xf>
    <xf numFmtId="3" fontId="14" fillId="0" borderId="20" xfId="0" applyNumberFormat="1" applyFont="1" applyBorder="1" applyAlignment="1">
      <alignment horizontal="right" wrapText="1"/>
    </xf>
    <xf numFmtId="165" fontId="14"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6"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6"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6"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6" fontId="23" fillId="0" borderId="0" xfId="0" applyNumberFormat="1" applyFont="1" applyAlignment="1">
      <alignment horizontal="center"/>
    </xf>
    <xf numFmtId="164"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6" fontId="23" fillId="0" borderId="0" xfId="0" applyNumberFormat="1" applyFont="1" applyAlignment="1">
      <alignment horizontal="right"/>
    </xf>
    <xf numFmtId="164"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6"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23" fillId="9"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3" fillId="6" borderId="1" xfId="0" applyNumberFormat="1" applyFont="1" applyFill="1" applyBorder="1" applyAlignment="1">
      <alignment horizontal="right" vertical="center"/>
    </xf>
    <xf numFmtId="3" fontId="23" fillId="10"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3" fontId="26" fillId="6"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6" fillId="8" borderId="1" xfId="0" applyNumberFormat="1" applyFont="1" applyFill="1" applyBorder="1" applyAlignment="1">
      <alignment horizontal="right" vertical="center"/>
    </xf>
    <xf numFmtId="49" fontId="29"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6" fontId="29"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19" fillId="0" borderId="0" xfId="0" applyFont="1"/>
    <xf numFmtId="164"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3" fontId="23" fillId="11" borderId="1" xfId="0" applyNumberFormat="1" applyFont="1" applyFill="1" applyBorder="1" applyAlignment="1">
      <alignment horizontal="right" vertical="center"/>
    </xf>
    <xf numFmtId="0" fontId="26" fillId="0" borderId="1" xfId="0" applyFont="1" applyBorder="1" applyAlignment="1">
      <alignment horizontal="left" wrapText="1" indent="2"/>
    </xf>
    <xf numFmtId="164"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6"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6" fontId="0" fillId="3" borderId="0" xfId="0" applyNumberFormat="1" applyFill="1"/>
    <xf numFmtId="164" fontId="0" fillId="3" borderId="0" xfId="0" applyNumberFormat="1" applyFill="1"/>
    <xf numFmtId="3" fontId="26" fillId="12" borderId="1" xfId="0" applyNumberFormat="1" applyFont="1" applyFill="1" applyBorder="1" applyAlignment="1">
      <alignment horizontal="right" vertical="center"/>
    </xf>
    <xf numFmtId="3" fontId="26" fillId="13" borderId="1" xfId="0" applyNumberFormat="1" applyFont="1" applyFill="1" applyBorder="1" applyAlignment="1">
      <alignment horizontal="right" vertical="center"/>
    </xf>
    <xf numFmtId="0" fontId="22" fillId="3" borderId="0" xfId="0" applyFont="1" applyFill="1"/>
    <xf numFmtId="3" fontId="26" fillId="14" borderId="1" xfId="0" applyNumberFormat="1" applyFont="1" applyFill="1" applyBorder="1" applyAlignment="1">
      <alignment horizontal="right" vertical="center"/>
    </xf>
    <xf numFmtId="49" fontId="23" fillId="0" borderId="1" xfId="0" applyNumberFormat="1" applyFont="1" applyBorder="1"/>
    <xf numFmtId="164"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4" fontId="5" fillId="0" borderId="1" xfId="0" applyNumberFormat="1" applyFont="1" applyBorder="1"/>
    <xf numFmtId="166" fontId="0" fillId="0" borderId="0" xfId="0" applyNumberFormat="1"/>
    <xf numFmtId="164"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2" fillId="6" borderId="0" xfId="0" applyFont="1" applyFill="1"/>
    <xf numFmtId="49" fontId="5" fillId="0" borderId="3" xfId="0" applyNumberFormat="1" applyFont="1" applyBorder="1" applyAlignment="1">
      <alignment horizontal="left" vertical="top" wrapText="1"/>
    </xf>
    <xf numFmtId="3" fontId="5" fillId="0" borderId="3" xfId="0" applyNumberFormat="1" applyFont="1" applyBorder="1" applyAlignment="1">
      <alignment horizontal="right" vertical="top" wrapText="1"/>
    </xf>
    <xf numFmtId="0" fontId="31" fillId="6" borderId="0" xfId="0" applyFont="1" applyFill="1"/>
    <xf numFmtId="49" fontId="18" fillId="0" borderId="3" xfId="0" applyNumberFormat="1" applyFont="1" applyBorder="1" applyAlignment="1">
      <alignment horizontal="right" vertical="top" wrapText="1"/>
    </xf>
    <xf numFmtId="0" fontId="32" fillId="0" borderId="3" xfId="0" applyFont="1" applyBorder="1" applyAlignment="1">
      <alignment horizontal="left" vertical="top" wrapText="1"/>
    </xf>
    <xf numFmtId="49" fontId="3" fillId="0" borderId="3"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49" fontId="18" fillId="4" borderId="3" xfId="0" applyNumberFormat="1" applyFont="1" applyFill="1" applyBorder="1" applyAlignment="1">
      <alignment horizontal="right" vertical="top" wrapText="1"/>
    </xf>
    <xf numFmtId="49" fontId="3" fillId="4" borderId="3" xfId="0" applyNumberFormat="1" applyFont="1" applyFill="1" applyBorder="1" applyAlignment="1">
      <alignment horizontal="right" vertical="top" wrapText="1"/>
    </xf>
    <xf numFmtId="49" fontId="18"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3" fillId="2" borderId="14" xfId="0" applyNumberFormat="1" applyFont="1" applyFill="1" applyBorder="1" applyAlignment="1">
      <alignment horizontal="center" vertical="top" wrapText="1"/>
    </xf>
    <xf numFmtId="166" fontId="5" fillId="0" borderId="3" xfId="0" applyNumberFormat="1" applyFont="1" applyBorder="1" applyAlignment="1">
      <alignment horizontal="right" vertical="top" wrapText="1"/>
    </xf>
    <xf numFmtId="166"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6" fontId="3" fillId="0" borderId="3" xfId="0" applyNumberFormat="1" applyFont="1" applyBorder="1" applyAlignment="1">
      <alignment horizontal="center" vertical="top" wrapText="1"/>
    </xf>
    <xf numFmtId="166" fontId="23"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7"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7" fontId="5" fillId="0" borderId="1" xfId="0" applyNumberFormat="1" applyFont="1" applyBorder="1" applyAlignment="1">
      <alignment wrapText="1"/>
    </xf>
    <xf numFmtId="168" fontId="5" fillId="0" borderId="1" xfId="0" applyNumberFormat="1" applyFont="1" applyBorder="1" applyAlignment="1">
      <alignment vertical="center"/>
    </xf>
    <xf numFmtId="168" fontId="5" fillId="0" borderId="0" xfId="0" applyNumberFormat="1" applyFont="1" applyAlignment="1">
      <alignment vertical="center"/>
    </xf>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3" fillId="0" borderId="2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49" fontId="5" fillId="0" borderId="6" xfId="0" applyNumberFormat="1" applyFont="1" applyBorder="1" applyAlignment="1">
      <alignment horizontal="right" vertical="top" wrapText="1"/>
    </xf>
    <xf numFmtId="0" fontId="12" fillId="0" borderId="28" xfId="0" applyFont="1" applyBorder="1" applyAlignment="1">
      <alignment horizontal="left" vertical="top" wrapText="1"/>
    </xf>
    <xf numFmtId="49" fontId="5" fillId="0" borderId="36" xfId="0" applyNumberFormat="1" applyFont="1" applyBorder="1" applyAlignment="1">
      <alignment horizontal="center" vertical="center" wrapText="1"/>
    </xf>
    <xf numFmtId="3" fontId="5" fillId="0" borderId="36"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49" fontId="3" fillId="4" borderId="6" xfId="0" applyNumberFormat="1" applyFont="1" applyFill="1" applyBorder="1" applyAlignment="1">
      <alignment horizontal="right" vertical="top" wrapText="1"/>
    </xf>
    <xf numFmtId="0" fontId="32" fillId="0" borderId="26" xfId="0" applyFont="1" applyBorder="1" applyAlignment="1">
      <alignment horizontal="left" vertical="top" wrapText="1"/>
    </xf>
    <xf numFmtId="49" fontId="28" fillId="0" borderId="32" xfId="0" applyNumberFormat="1" applyFont="1" applyBorder="1" applyAlignment="1">
      <alignment horizontal="center" vertical="center"/>
    </xf>
    <xf numFmtId="3" fontId="18" fillId="0" borderId="32"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0" fontId="14" fillId="0" borderId="5"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32" fillId="0" borderId="5" xfId="0" applyFont="1" applyBorder="1" applyAlignment="1">
      <alignment horizontal="left" vertical="top" wrapText="1"/>
    </xf>
    <xf numFmtId="49" fontId="18" fillId="0" borderId="1" xfId="0" applyNumberFormat="1" applyFont="1" applyBorder="1" applyAlignment="1">
      <alignment horizontal="center" vertical="center" wrapText="1"/>
    </xf>
    <xf numFmtId="3" fontId="18" fillId="0" borderId="1" xfId="0" applyNumberFormat="1" applyFont="1" applyBorder="1" applyAlignment="1">
      <alignment horizontal="right" vertical="center" wrapText="1"/>
    </xf>
    <xf numFmtId="3" fontId="18" fillId="0" borderId="39" xfId="0" applyNumberFormat="1" applyFont="1" applyBorder="1" applyAlignment="1">
      <alignment horizontal="right" vertical="center" wrapText="1"/>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49" fontId="18" fillId="0" borderId="6" xfId="0" applyNumberFormat="1" applyFont="1" applyBorder="1" applyAlignment="1">
      <alignment horizontal="right" vertical="top" wrapText="1"/>
    </xf>
    <xf numFmtId="0" fontId="14" fillId="0" borderId="27" xfId="0" applyFont="1" applyBorder="1" applyAlignment="1">
      <alignment horizontal="left" vertical="top" wrapText="1"/>
    </xf>
    <xf numFmtId="49" fontId="3" fillId="0" borderId="14" xfId="0" applyNumberFormat="1"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49" fontId="18" fillId="0" borderId="32" xfId="0" applyNumberFormat="1" applyFont="1" applyBorder="1" applyAlignment="1">
      <alignment horizontal="center" vertical="center" wrapText="1"/>
    </xf>
    <xf numFmtId="0" fontId="14" fillId="0" borderId="29" xfId="0" applyFont="1" applyBorder="1" applyAlignment="1">
      <alignment horizontal="left" vertical="top" wrapText="1"/>
    </xf>
    <xf numFmtId="49" fontId="3" fillId="0" borderId="40"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0" fontId="14" fillId="0" borderId="26" xfId="0" applyFont="1" applyBorder="1" applyAlignment="1">
      <alignment horizontal="left" vertical="top" wrapText="1"/>
    </xf>
    <xf numFmtId="49" fontId="3" fillId="0" borderId="32" xfId="0" applyNumberFormat="1" applyFont="1" applyBorder="1" applyAlignment="1">
      <alignment horizontal="center" vertical="center" wrapText="1"/>
    </xf>
    <xf numFmtId="3" fontId="3" fillId="0" borderId="3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49" fontId="3" fillId="0" borderId="14" xfId="0" applyNumberFormat="1" applyFont="1" applyBorder="1" applyAlignment="1">
      <alignment horizontal="center" wrapText="1"/>
    </xf>
    <xf numFmtId="3" fontId="3" fillId="0" borderId="14" xfId="0" applyNumberFormat="1" applyFont="1" applyBorder="1" applyAlignment="1">
      <alignment horizontal="right" vertical="top" wrapText="1"/>
    </xf>
    <xf numFmtId="3" fontId="3" fillId="0" borderId="35" xfId="0" applyNumberFormat="1" applyFont="1" applyBorder="1" applyAlignment="1">
      <alignment horizontal="right" vertical="top" wrapText="1"/>
    </xf>
    <xf numFmtId="49" fontId="5" fillId="2" borderId="36" xfId="0" applyNumberFormat="1" applyFont="1" applyFill="1" applyBorder="1" applyAlignment="1">
      <alignment horizontal="center" wrapText="1"/>
    </xf>
    <xf numFmtId="3" fontId="5" fillId="0" borderId="36"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49" fontId="18" fillId="2" borderId="32" xfId="0" applyNumberFormat="1" applyFont="1" applyFill="1" applyBorder="1" applyAlignment="1">
      <alignment horizontal="center" wrapText="1"/>
    </xf>
    <xf numFmtId="3" fontId="18" fillId="0" borderId="32" xfId="0" applyNumberFormat="1" applyFont="1" applyBorder="1" applyAlignment="1">
      <alignment horizontal="right" vertical="top" wrapText="1"/>
    </xf>
    <xf numFmtId="3" fontId="18" fillId="0" borderId="38"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39" xfId="0" applyNumberFormat="1" applyFont="1" applyBorder="1" applyAlignment="1">
      <alignment horizontal="right" vertical="top" wrapText="1"/>
    </xf>
    <xf numFmtId="49" fontId="18" fillId="2" borderId="1" xfId="0" applyNumberFormat="1" applyFont="1" applyFill="1" applyBorder="1" applyAlignment="1">
      <alignment horizontal="center" wrapText="1"/>
    </xf>
    <xf numFmtId="3" fontId="18" fillId="0" borderId="1" xfId="0" applyNumberFormat="1" applyFont="1" applyBorder="1" applyAlignment="1">
      <alignment horizontal="right" vertical="top" wrapText="1"/>
    </xf>
    <xf numFmtId="3" fontId="18" fillId="0" borderId="39" xfId="0" applyNumberFormat="1" applyFont="1" applyBorder="1" applyAlignment="1">
      <alignment horizontal="right" vertical="top" wrapText="1"/>
    </xf>
    <xf numFmtId="49" fontId="3" fillId="2" borderId="14" xfId="0" applyNumberFormat="1" applyFont="1" applyFill="1" applyBorder="1" applyAlignment="1">
      <alignment horizontal="center" wrapText="1"/>
    </xf>
    <xf numFmtId="49" fontId="5" fillId="0" borderId="36" xfId="0" applyNumberFormat="1" applyFont="1" applyBorder="1" applyAlignment="1">
      <alignment horizontal="center" wrapText="1"/>
    </xf>
    <xf numFmtId="49" fontId="3" fillId="2" borderId="40" xfId="0" applyNumberFormat="1" applyFont="1" applyFill="1" applyBorder="1" applyAlignment="1">
      <alignment horizontal="center" wrapText="1"/>
    </xf>
    <xf numFmtId="3" fontId="3" fillId="0" borderId="40" xfId="0" applyNumberFormat="1" applyFont="1" applyBorder="1" applyAlignment="1">
      <alignment horizontal="right" vertical="top" wrapText="1"/>
    </xf>
    <xf numFmtId="3" fontId="3" fillId="0" borderId="41" xfId="0" applyNumberFormat="1" applyFont="1" applyBorder="1" applyAlignment="1">
      <alignment horizontal="right" vertical="top" wrapText="1"/>
    </xf>
    <xf numFmtId="49" fontId="5" fillId="0" borderId="36" xfId="0" applyNumberFormat="1" applyFont="1" applyBorder="1" applyAlignment="1">
      <alignment horizontal="center" vertical="top" wrapText="1"/>
    </xf>
    <xf numFmtId="0" fontId="12" fillId="0" borderId="31" xfId="0" applyFont="1" applyBorder="1" applyAlignment="1">
      <alignment horizontal="left" vertical="top" wrapText="1"/>
    </xf>
    <xf numFmtId="166" fontId="5" fillId="0" borderId="44" xfId="0" applyNumberFormat="1" applyFont="1" applyBorder="1" applyAlignment="1">
      <alignment horizontal="right" vertical="top" wrapText="1"/>
    </xf>
    <xf numFmtId="3" fontId="5" fillId="2" borderId="44" xfId="0" applyNumberFormat="1" applyFont="1" applyFill="1" applyBorder="1"/>
    <xf numFmtId="167"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7" fontId="5" fillId="0" borderId="46" xfId="0" applyNumberFormat="1" applyFont="1" applyBorder="1" applyAlignment="1">
      <alignment wrapText="1"/>
    </xf>
    <xf numFmtId="3" fontId="34" fillId="0" borderId="47" xfId="0" applyNumberFormat="1" applyFont="1" applyBorder="1" applyAlignment="1">
      <alignment horizontal="right" vertical="center"/>
    </xf>
    <xf numFmtId="3" fontId="34"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68"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2" xfId="0" applyFont="1" applyBorder="1" applyAlignment="1">
      <alignment horizontal="center" wrapText="1"/>
    </xf>
    <xf numFmtId="0" fontId="3" fillId="0" borderId="32" xfId="0" applyFont="1" applyBorder="1" applyAlignment="1">
      <alignment horizontal="left" wrapText="1"/>
    </xf>
    <xf numFmtId="3" fontId="21" fillId="0" borderId="32" xfId="0" applyNumberFormat="1" applyFont="1" applyBorder="1" applyAlignment="1">
      <alignment horizontal="right" wrapText="1"/>
    </xf>
    <xf numFmtId="3" fontId="21" fillId="15" borderId="32"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5"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4" xfId="0" applyFont="1" applyBorder="1" applyAlignment="1">
      <alignment horizontal="center" wrapText="1"/>
    </xf>
    <xf numFmtId="0" fontId="36" fillId="0" borderId="14" xfId="0" applyFont="1" applyBorder="1" applyAlignment="1">
      <alignment wrapText="1"/>
    </xf>
    <xf numFmtId="4" fontId="21" fillId="0" borderId="14" xfId="0" applyNumberFormat="1" applyFont="1" applyBorder="1" applyAlignment="1">
      <alignment horizontal="right" wrapText="1"/>
    </xf>
    <xf numFmtId="4" fontId="21" fillId="15" borderId="14" xfId="0" applyNumberFormat="1" applyFont="1" applyFill="1" applyBorder="1" applyAlignment="1">
      <alignment horizontal="right" wrapText="1"/>
    </xf>
    <xf numFmtId="0" fontId="3" fillId="0" borderId="28" xfId="0" applyFont="1" applyBorder="1" applyAlignment="1">
      <alignment horizontal="center" wrapText="1"/>
    </xf>
    <xf numFmtId="0" fontId="12"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2"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2"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7"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8" fontId="22" fillId="0" borderId="0" xfId="0" applyNumberFormat="1" applyFont="1" applyAlignment="1">
      <alignment horizontal="center" vertical="center"/>
    </xf>
    <xf numFmtId="166" fontId="0" fillId="0" borderId="0" xfId="0" applyNumberFormat="1" applyAlignment="1">
      <alignment horizontal="center"/>
    </xf>
    <xf numFmtId="166" fontId="34" fillId="0" borderId="0" xfId="0" applyNumberFormat="1" applyFont="1" applyAlignment="1">
      <alignment horizontal="center"/>
    </xf>
    <xf numFmtId="167" fontId="34" fillId="0" borderId="0" xfId="0" applyNumberFormat="1" applyFont="1" applyAlignment="1">
      <alignment wrapText="1"/>
    </xf>
    <xf numFmtId="166" fontId="2" fillId="0" borderId="0" xfId="0" applyNumberFormat="1" applyFont="1" applyAlignment="1">
      <alignment horizontal="center"/>
    </xf>
    <xf numFmtId="167" fontId="2" fillId="0" borderId="0" xfId="0" applyNumberFormat="1" applyFont="1" applyAlignment="1">
      <alignment wrapText="1"/>
    </xf>
    <xf numFmtId="169" fontId="9" fillId="0" borderId="0" xfId="0" applyNumberFormat="1" applyFont="1" applyAlignment="1">
      <alignment horizontal="center"/>
    </xf>
    <xf numFmtId="0" fontId="9" fillId="0" borderId="0" xfId="0" applyFont="1" applyAlignment="1">
      <alignment horizontal="left" wrapText="1"/>
    </xf>
    <xf numFmtId="169"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6"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4"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0"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7" xfId="0" applyNumberFormat="1" applyFont="1" applyBorder="1" applyAlignment="1">
      <alignment horizontal="right"/>
    </xf>
    <xf numFmtId="164"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4" fontId="8" fillId="0" borderId="1" xfId="0" applyNumberFormat="1" applyFont="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4"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8" fillId="6" borderId="0" xfId="0" applyFont="1" applyFill="1" applyAlignment="1">
      <alignment horizontal="center"/>
    </xf>
    <xf numFmtId="49" fontId="18" fillId="0" borderId="26" xfId="0" applyNumberFormat="1" applyFont="1" applyBorder="1" applyAlignment="1">
      <alignment horizontal="center" wrapText="1"/>
    </xf>
    <xf numFmtId="0" fontId="32" fillId="0" borderId="38" xfId="0" applyFont="1" applyBorder="1" applyAlignment="1">
      <alignment horizontal="center" wrapText="1"/>
    </xf>
    <xf numFmtId="49" fontId="3" fillId="0" borderId="5" xfId="0" applyNumberFormat="1" applyFont="1" applyBorder="1" applyAlignment="1">
      <alignment horizontal="center" wrapText="1"/>
    </xf>
    <xf numFmtId="0" fontId="14" fillId="0" borderId="39" xfId="0" applyFont="1" applyBorder="1" applyAlignment="1">
      <alignment horizontal="left" wrapText="1"/>
    </xf>
    <xf numFmtId="49" fontId="18" fillId="0" borderId="5" xfId="0" applyNumberFormat="1" applyFont="1" applyBorder="1" applyAlignment="1">
      <alignment horizontal="center" wrapText="1"/>
    </xf>
    <xf numFmtId="0" fontId="32" fillId="0" borderId="39" xfId="0" applyFont="1" applyBorder="1" applyAlignment="1">
      <alignment horizontal="center" wrapText="1"/>
    </xf>
    <xf numFmtId="49" fontId="3" fillId="0" borderId="27" xfId="0" applyNumberFormat="1" applyFont="1" applyBorder="1" applyAlignment="1">
      <alignment horizontal="center" wrapText="1"/>
    </xf>
    <xf numFmtId="0" fontId="14" fillId="0" borderId="35" xfId="0" applyFont="1" applyBorder="1" applyAlignment="1">
      <alignment horizontal="center" wrapText="1"/>
    </xf>
    <xf numFmtId="0" fontId="12" fillId="0" borderId="37" xfId="0" applyFont="1" applyBorder="1" applyAlignment="1">
      <alignment horizontal="center" wrapText="1"/>
    </xf>
    <xf numFmtId="0" fontId="14" fillId="0" borderId="35" xfId="0" applyFont="1" applyBorder="1" applyAlignment="1">
      <alignment horizontal="left" wrapText="1"/>
    </xf>
    <xf numFmtId="0" fontId="32" fillId="0" borderId="35" xfId="0" applyFont="1" applyBorder="1" applyAlignment="1">
      <alignment horizontal="center" wrapText="1"/>
    </xf>
    <xf numFmtId="49" fontId="3" fillId="0" borderId="46" xfId="0" applyNumberFormat="1" applyFont="1" applyBorder="1" applyAlignment="1">
      <alignment horizontal="center" wrapText="1"/>
    </xf>
    <xf numFmtId="0" fontId="14" fillId="0" borderId="48"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4"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2" fillId="2" borderId="37" xfId="0" applyFont="1" applyFill="1" applyBorder="1" applyAlignment="1">
      <alignment horizontal="center" wrapText="1"/>
    </xf>
    <xf numFmtId="49" fontId="18" fillId="2" borderId="26" xfId="0" applyNumberFormat="1" applyFont="1" applyFill="1" applyBorder="1" applyAlignment="1">
      <alignment horizontal="center" wrapText="1"/>
    </xf>
    <xf numFmtId="0" fontId="32"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4" fillId="2" borderId="39" xfId="0" applyFont="1" applyFill="1" applyBorder="1" applyAlignment="1">
      <alignment horizontal="left" wrapText="1"/>
    </xf>
    <xf numFmtId="49" fontId="18" fillId="2" borderId="5" xfId="0" applyNumberFormat="1" applyFont="1" applyFill="1" applyBorder="1" applyAlignment="1">
      <alignment horizontal="center" wrapText="1"/>
    </xf>
    <xf numFmtId="0" fontId="32"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4" fillId="2" borderId="35" xfId="0" applyFont="1" applyFill="1" applyBorder="1" applyAlignment="1">
      <alignment horizontal="left" wrapText="1"/>
    </xf>
    <xf numFmtId="0" fontId="14" fillId="0" borderId="41" xfId="0" applyFont="1" applyBorder="1" applyAlignment="1">
      <alignment horizontal="center" wrapText="1"/>
    </xf>
    <xf numFmtId="0" fontId="14" fillId="0" borderId="39" xfId="0" applyFont="1" applyBorder="1" applyAlignment="1">
      <alignment horizontal="center" wrapText="1"/>
    </xf>
    <xf numFmtId="166"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8" fillId="2" borderId="38" xfId="0" applyFont="1" applyFill="1" applyBorder="1" applyAlignment="1">
      <alignment horizontal="center" wrapText="1"/>
    </xf>
    <xf numFmtId="0" fontId="3" fillId="2" borderId="39" xfId="0" applyFont="1" applyFill="1" applyBorder="1" applyAlignment="1">
      <alignment horizontal="left" wrapText="1"/>
    </xf>
    <xf numFmtId="0" fontId="18" fillId="2" borderId="39" xfId="0" applyFont="1" applyFill="1" applyBorder="1" applyAlignment="1">
      <alignment horizontal="center" wrapText="1"/>
    </xf>
    <xf numFmtId="49" fontId="18"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2" fillId="0" borderId="45" xfId="0" applyFont="1" applyBorder="1" applyAlignment="1">
      <alignment horizontal="center" vertical="top" wrapText="1"/>
    </xf>
    <xf numFmtId="0" fontId="32" fillId="0" borderId="38" xfId="0" applyFont="1" applyBorder="1" applyAlignment="1">
      <alignment horizontal="center" vertical="top" wrapText="1"/>
    </xf>
    <xf numFmtId="0" fontId="32"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3" fillId="2" borderId="14" xfId="0" applyFont="1" applyFill="1" applyBorder="1" applyAlignment="1">
      <alignment horizontal="left"/>
    </xf>
    <xf numFmtId="0" fontId="12" fillId="0" borderId="37" xfId="0" applyFont="1" applyBorder="1" applyAlignment="1">
      <alignment horizontal="center" vertical="top" wrapText="1"/>
    </xf>
    <xf numFmtId="49" fontId="5" fillId="0" borderId="1" xfId="0" applyNumberFormat="1" applyFont="1" applyBorder="1" applyAlignment="1">
      <alignment horizontal="center" wrapText="1"/>
    </xf>
    <xf numFmtId="166" fontId="5" fillId="0" borderId="31" xfId="0" applyNumberFormat="1" applyFont="1" applyBorder="1" applyAlignment="1">
      <alignment horizontal="center" wrapText="1"/>
    </xf>
    <xf numFmtId="0" fontId="5" fillId="0" borderId="45" xfId="0" applyFont="1" applyBorder="1" applyAlignment="1">
      <alignment horizontal="center" wrapText="1"/>
    </xf>
    <xf numFmtId="166"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6" fillId="16"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9" fillId="0" borderId="1" xfId="0" applyFont="1" applyBorder="1" applyAlignment="1">
      <alignment wrapText="1"/>
    </xf>
    <xf numFmtId="0" fontId="5" fillId="0" borderId="0" xfId="0" applyFont="1" applyAlignment="1">
      <alignment horizontal="center" vertical="center" wrapText="1"/>
    </xf>
    <xf numFmtId="0" fontId="3" fillId="0" borderId="0" xfId="0" applyFont="1"/>
    <xf numFmtId="3" fontId="26" fillId="17" borderId="1" xfId="0" applyNumberFormat="1" applyFont="1" applyFill="1" applyBorder="1" applyAlignment="1">
      <alignment horizontal="right" vertical="center"/>
    </xf>
    <xf numFmtId="0" fontId="0" fillId="18" borderId="0" xfId="0" applyFill="1"/>
    <xf numFmtId="0" fontId="3" fillId="0" borderId="3" xfId="0" applyFont="1" applyBorder="1" applyAlignment="1">
      <alignment horizontal="left" vertical="top" wrapText="1"/>
    </xf>
    <xf numFmtId="49" fontId="38"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3" fontId="26" fillId="21"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6"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0" xfId="0" applyFont="1" applyFill="1" applyBorder="1" applyAlignment="1">
      <alignment horizontal="center" vertical="center" wrapText="1"/>
    </xf>
    <xf numFmtId="0" fontId="3" fillId="22" borderId="33" xfId="0" applyFont="1" applyFill="1" applyBorder="1" applyAlignment="1">
      <alignment horizontal="center" vertical="center" wrapText="1"/>
    </xf>
    <xf numFmtId="167" fontId="3" fillId="22" borderId="5"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3" fontId="2" fillId="22" borderId="39" xfId="0" applyNumberFormat="1" applyFont="1" applyFill="1" applyBorder="1" applyAlignment="1">
      <alignment horizontal="right" vertical="center"/>
    </xf>
    <xf numFmtId="167" fontId="5" fillId="22" borderId="46" xfId="0" applyNumberFormat="1" applyFont="1" applyFill="1" applyBorder="1" applyAlignment="1">
      <alignment wrapText="1"/>
    </xf>
    <xf numFmtId="3" fontId="34" fillId="22" borderId="47" xfId="0" applyNumberFormat="1" applyFont="1" applyFill="1" applyBorder="1" applyAlignment="1">
      <alignment horizontal="right" vertical="center"/>
    </xf>
    <xf numFmtId="3" fontId="34" fillId="22" borderId="48"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167" fontId="44" fillId="0" borderId="5" xfId="0" applyNumberFormat="1" applyFont="1" applyBorder="1" applyAlignment="1">
      <alignment wrapText="1"/>
    </xf>
    <xf numFmtId="167" fontId="44" fillId="0" borderId="27" xfId="0" applyNumberFormat="1" applyFont="1" applyBorder="1" applyAlignment="1">
      <alignment wrapText="1"/>
    </xf>
    <xf numFmtId="3" fontId="23" fillId="21" borderId="1" xfId="0" applyNumberFormat="1" applyFont="1" applyFill="1" applyBorder="1" applyAlignment="1">
      <alignment horizontal="right" vertical="center"/>
    </xf>
    <xf numFmtId="3" fontId="23" fillId="23" borderId="1" xfId="0" applyNumberFormat="1" applyFont="1" applyFill="1" applyBorder="1" applyAlignment="1">
      <alignment horizontal="right" vertical="center"/>
    </xf>
    <xf numFmtId="49" fontId="48" fillId="2" borderId="28" xfId="0" applyNumberFormat="1" applyFont="1" applyFill="1" applyBorder="1" applyAlignment="1">
      <alignment horizontal="center" wrapText="1"/>
    </xf>
    <xf numFmtId="0" fontId="3" fillId="2" borderId="40" xfId="0" applyFont="1" applyFill="1" applyBorder="1" applyAlignment="1">
      <alignment horizontal="left" wrapText="1"/>
    </xf>
    <xf numFmtId="0" fontId="38" fillId="2" borderId="1" xfId="0" applyFont="1" applyFill="1" applyBorder="1" applyAlignment="1">
      <alignment horizontal="left" wrapText="1"/>
    </xf>
    <xf numFmtId="0" fontId="3" fillId="2" borderId="14" xfId="0" applyFont="1" applyFill="1" applyBorder="1" applyAlignment="1">
      <alignment horizontal="left" wrapText="1"/>
    </xf>
    <xf numFmtId="0" fontId="48" fillId="2" borderId="37" xfId="0" applyFont="1" applyFill="1" applyBorder="1" applyAlignment="1">
      <alignment horizontal="center" wrapText="1"/>
    </xf>
    <xf numFmtId="49" fontId="3" fillId="2" borderId="32" xfId="0" applyNumberFormat="1" applyFont="1" applyFill="1" applyBorder="1" applyAlignment="1">
      <alignment horizontal="center" wrapText="1"/>
    </xf>
    <xf numFmtId="0" fontId="14" fillId="0" borderId="14" xfId="0" applyFont="1" applyBorder="1" applyAlignment="1">
      <alignment horizontal="left" vertical="top" wrapText="1"/>
    </xf>
    <xf numFmtId="0" fontId="14" fillId="0" borderId="32" xfId="0" applyFont="1" applyBorder="1" applyAlignment="1">
      <alignment horizontal="left" vertical="top" wrapText="1"/>
    </xf>
    <xf numFmtId="3" fontId="5" fillId="0" borderId="36" xfId="0" applyNumberFormat="1" applyFont="1" applyBorder="1" applyAlignment="1">
      <alignment horizontal="center" vertical="top" wrapText="1"/>
    </xf>
    <xf numFmtId="49" fontId="3" fillId="2" borderId="32" xfId="0" applyNumberFormat="1" applyFont="1" applyFill="1" applyBorder="1" applyAlignment="1">
      <alignment horizontal="center" vertical="top" wrapText="1"/>
    </xf>
    <xf numFmtId="49" fontId="5" fillId="2" borderId="36" xfId="0" applyNumberFormat="1" applyFont="1" applyFill="1" applyBorder="1" applyAlignment="1">
      <alignment horizontal="center" vertical="top" wrapText="1"/>
    </xf>
    <xf numFmtId="0" fontId="14" fillId="0" borderId="40" xfId="0" applyFont="1" applyBorder="1" applyAlignment="1">
      <alignment horizontal="left" vertical="top" wrapText="1"/>
    </xf>
    <xf numFmtId="49" fontId="3" fillId="2" borderId="40" xfId="0" applyNumberFormat="1" applyFont="1" applyFill="1" applyBorder="1" applyAlignment="1">
      <alignment horizontal="center" vertical="top" wrapText="1"/>
    </xf>
    <xf numFmtId="3" fontId="3" fillId="0" borderId="40" xfId="0" applyNumberFormat="1" applyFont="1" applyBorder="1" applyAlignment="1">
      <alignment horizontal="center" vertical="top" wrapText="1"/>
    </xf>
    <xf numFmtId="3" fontId="3" fillId="0" borderId="47" xfId="0" applyNumberFormat="1" applyFont="1" applyBorder="1" applyAlignment="1">
      <alignment horizontal="right" vertical="top" wrapText="1"/>
    </xf>
    <xf numFmtId="3" fontId="26"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39" fillId="0" borderId="5" xfId="0" applyNumberFormat="1" applyFont="1" applyBorder="1" applyAlignment="1">
      <alignment horizontal="center" wrapText="1"/>
    </xf>
    <xf numFmtId="0" fontId="39" fillId="0" borderId="39" xfId="0" applyFont="1" applyBorder="1" applyAlignment="1">
      <alignment horizontal="left" wrapText="1"/>
    </xf>
    <xf numFmtId="0" fontId="49" fillId="0" borderId="39" xfId="0" applyFont="1" applyBorder="1" applyAlignment="1">
      <alignment horizontal="center" wrapText="1"/>
    </xf>
    <xf numFmtId="49" fontId="5" fillId="0" borderId="44" xfId="0" applyNumberFormat="1" applyFont="1" applyBorder="1" applyAlignment="1">
      <alignment horizontal="center" vertical="center" wrapText="1"/>
    </xf>
    <xf numFmtId="3" fontId="5" fillId="0" borderId="44"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49" fontId="18" fillId="0" borderId="6" xfId="0" applyNumberFormat="1" applyFont="1" applyBorder="1" applyAlignment="1">
      <alignment horizontal="left" vertical="top" wrapText="1"/>
    </xf>
    <xf numFmtId="3" fontId="26"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3" fillId="0" borderId="0" xfId="0" applyFont="1" applyFill="1"/>
    <xf numFmtId="3" fontId="23" fillId="16" borderId="1" xfId="0" applyNumberFormat="1" applyFont="1" applyFill="1" applyBorder="1" applyAlignment="1">
      <alignment horizontal="right" vertical="center"/>
    </xf>
    <xf numFmtId="49" fontId="48" fillId="2" borderId="42" xfId="0" applyNumberFormat="1" applyFont="1" applyFill="1" applyBorder="1" applyAlignment="1">
      <alignment horizontal="center" wrapText="1"/>
    </xf>
    <xf numFmtId="0" fontId="12" fillId="0" borderId="43" xfId="0" applyFont="1" applyBorder="1" applyAlignment="1">
      <alignment horizontal="center" vertical="top" wrapText="1"/>
    </xf>
    <xf numFmtId="0" fontId="5" fillId="2" borderId="45" xfId="0" applyFont="1" applyFill="1" applyBorder="1" applyAlignment="1">
      <alignment horizontal="center" wrapText="1"/>
    </xf>
    <xf numFmtId="0" fontId="3" fillId="2" borderId="1" xfId="0" applyFont="1" applyFill="1" applyBorder="1" applyAlignment="1">
      <alignment horizontal="left"/>
    </xf>
    <xf numFmtId="0" fontId="12" fillId="0" borderId="18" xfId="0" applyFont="1" applyBorder="1" applyAlignment="1">
      <alignment horizontal="left" vertical="top" wrapText="1"/>
    </xf>
    <xf numFmtId="0" fontId="12" fillId="0" borderId="9" xfId="0" applyFont="1" applyBorder="1" applyAlignment="1">
      <alignment horizontal="left" vertical="top" wrapText="1"/>
    </xf>
    <xf numFmtId="49" fontId="3" fillId="0" borderId="17" xfId="0" applyNumberFormat="1" applyFont="1" applyBorder="1" applyAlignment="1">
      <alignment horizontal="center" wrapText="1"/>
    </xf>
    <xf numFmtId="0" fontId="14" fillId="0" borderId="15" xfId="0" applyFont="1" applyBorder="1" applyAlignment="1">
      <alignment horizontal="left" wrapText="1"/>
    </xf>
    <xf numFmtId="3" fontId="3" fillId="0" borderId="14" xfId="0" applyNumberFormat="1" applyFont="1" applyBorder="1" applyAlignment="1">
      <alignment horizontal="right" wrapText="1"/>
    </xf>
    <xf numFmtId="3" fontId="3" fillId="0" borderId="35" xfId="0" applyNumberFormat="1" applyFont="1" applyBorder="1" applyAlignment="1">
      <alignment horizontal="righ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0" fontId="33" fillId="0" borderId="30" xfId="0" applyFont="1" applyBorder="1" applyAlignment="1">
      <alignment horizontal="center" vertical="center" wrapText="1"/>
    </xf>
    <xf numFmtId="0" fontId="33" fillId="0" borderId="33" xfId="0" applyFont="1" applyBorder="1" applyAlignment="1">
      <alignment horizontal="center" vertical="center" wrapText="1"/>
    </xf>
    <xf numFmtId="167" fontId="33" fillId="0" borderId="5"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39" xfId="0" applyNumberFormat="1" applyFont="1" applyBorder="1" applyAlignment="1">
      <alignment horizontal="right" vertical="center"/>
    </xf>
    <xf numFmtId="167"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3" fontId="3" fillId="0" borderId="1" xfId="1" applyNumberFormat="1" applyFont="1" applyBorder="1" applyAlignment="1">
      <alignment horizontal="right" vertical="center"/>
    </xf>
    <xf numFmtId="0" fontId="0" fillId="25" borderId="0" xfId="0" applyFill="1"/>
    <xf numFmtId="0" fontId="4" fillId="22" borderId="0" xfId="0" applyFont="1" applyFill="1" applyAlignment="1">
      <alignment horizontal="center"/>
    </xf>
    <xf numFmtId="0" fontId="3" fillId="22" borderId="0" xfId="0" applyFont="1" applyFill="1" applyAlignment="1">
      <alignment horizontal="left"/>
    </xf>
    <xf numFmtId="0" fontId="3" fillId="22" borderId="0" xfId="0" applyFont="1" applyFill="1" applyAlignment="1">
      <alignment horizontal="center"/>
    </xf>
    <xf numFmtId="49" fontId="16" fillId="22" borderId="1" xfId="0" applyNumberFormat="1" applyFont="1" applyFill="1" applyBorder="1" applyAlignment="1">
      <alignment horizontal="center" vertical="center" textRotation="90"/>
    </xf>
    <xf numFmtId="49" fontId="16" fillId="22" borderId="1" xfId="0" applyNumberFormat="1" applyFont="1" applyFill="1" applyBorder="1" applyAlignment="1">
      <alignment horizontal="center" vertical="center" textRotation="90" wrapText="1"/>
    </xf>
    <xf numFmtId="49" fontId="16" fillId="22" borderId="1" xfId="0" applyNumberFormat="1" applyFont="1" applyFill="1" applyBorder="1" applyAlignment="1">
      <alignment horizontal="left" vertical="center" textRotation="90"/>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9" fillId="22" borderId="1" xfId="0" applyNumberFormat="1" applyFont="1" applyFill="1" applyBorder="1" applyAlignment="1">
      <alignment horizontal="center" vertical="justify"/>
    </xf>
    <xf numFmtId="49" fontId="9"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7" fillId="22" borderId="1" xfId="0" applyNumberFormat="1" applyFont="1" applyFill="1" applyBorder="1" applyAlignment="1">
      <alignment horizontal="center" vertical="justify"/>
    </xf>
    <xf numFmtId="49" fontId="17" fillId="22" borderId="1" xfId="0" applyNumberFormat="1" applyFont="1" applyFill="1" applyBorder="1" applyAlignment="1">
      <alignment horizontal="center" vertical="justify" wrapText="1"/>
    </xf>
    <xf numFmtId="0" fontId="18" fillId="22" borderId="1" xfId="0" applyFont="1" applyFill="1" applyBorder="1" applyAlignment="1">
      <alignment horizontal="left" vertical="top" wrapText="1"/>
    </xf>
    <xf numFmtId="3" fontId="18" fillId="22" borderId="1" xfId="0" applyNumberFormat="1" applyFont="1" applyFill="1" applyBorder="1" applyAlignment="1">
      <alignment horizontal="right" vertical="center"/>
    </xf>
    <xf numFmtId="3" fontId="18"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1" fillId="22" borderId="1" xfId="0" applyNumberFormat="1" applyFont="1" applyFill="1" applyBorder="1" applyAlignment="1">
      <alignment horizontal="center" vertical="justify" wrapText="1"/>
    </xf>
    <xf numFmtId="0" fontId="12" fillId="22" borderId="1" xfId="0" applyFont="1" applyFill="1" applyBorder="1" applyAlignment="1">
      <alignment horizontal="left" vertical="top" wrapText="1"/>
    </xf>
    <xf numFmtId="49" fontId="13" fillId="22" borderId="1" xfId="0" applyNumberFormat="1" applyFont="1" applyFill="1" applyBorder="1" applyAlignment="1">
      <alignment horizontal="center" vertical="justify" wrapText="1"/>
    </xf>
    <xf numFmtId="0" fontId="14"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9" fillId="22" borderId="1" xfId="0" applyFont="1" applyFill="1" applyBorder="1" applyAlignment="1">
      <alignment horizontal="center" vertical="top"/>
    </xf>
    <xf numFmtId="49" fontId="9" fillId="22" borderId="1" xfId="0" applyNumberFormat="1" applyFont="1" applyFill="1" applyBorder="1" applyAlignment="1">
      <alignment horizontal="center" vertical="top"/>
    </xf>
    <xf numFmtId="3" fontId="19" fillId="22" borderId="1" xfId="0" applyNumberFormat="1" applyFont="1" applyFill="1" applyBorder="1" applyAlignment="1">
      <alignment horizontal="right" vertical="center"/>
    </xf>
    <xf numFmtId="3" fontId="23" fillId="22" borderId="1" xfId="0" applyNumberFormat="1" applyFont="1" applyFill="1" applyBorder="1" applyAlignment="1">
      <alignment horizontal="right" vertical="center"/>
    </xf>
    <xf numFmtId="3" fontId="23" fillId="26" borderId="1" xfId="0" applyNumberFormat="1" applyFont="1" applyFill="1" applyBorder="1" applyAlignment="1">
      <alignment horizontal="right" vertical="center"/>
    </xf>
    <xf numFmtId="3" fontId="23" fillId="27" borderId="1" xfId="0" applyNumberFormat="1" applyFont="1" applyFill="1" applyBorder="1" applyAlignment="1">
      <alignment horizontal="right" vertical="center"/>
    </xf>
    <xf numFmtId="3" fontId="23" fillId="28" borderId="1" xfId="0" applyNumberFormat="1" applyFont="1" applyFill="1" applyBorder="1" applyAlignment="1">
      <alignment horizontal="right" vertical="center"/>
    </xf>
    <xf numFmtId="3" fontId="23" fillId="29" borderId="1" xfId="0" applyNumberFormat="1" applyFont="1" applyFill="1" applyBorder="1" applyAlignment="1">
      <alignment horizontal="right" vertical="center"/>
    </xf>
    <xf numFmtId="3" fontId="26" fillId="28" borderId="1" xfId="0" applyNumberFormat="1" applyFont="1" applyFill="1" applyBorder="1" applyAlignment="1">
      <alignment horizontal="right" vertical="center"/>
    </xf>
    <xf numFmtId="3" fontId="26" fillId="26" borderId="1" xfId="0" applyNumberFormat="1" applyFont="1" applyFill="1" applyBorder="1" applyAlignment="1">
      <alignment horizontal="right" vertical="center"/>
    </xf>
    <xf numFmtId="3" fontId="23"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6" fillId="31" borderId="1" xfId="0" applyNumberFormat="1" applyFont="1" applyFill="1" applyBorder="1" applyAlignment="1">
      <alignment horizontal="right" vertical="center"/>
    </xf>
    <xf numFmtId="0" fontId="0" fillId="33" borderId="0" xfId="0" applyFill="1"/>
    <xf numFmtId="0" fontId="3" fillId="32" borderId="0" xfId="0" applyFont="1" applyFill="1" applyAlignment="1" applyProtection="1">
      <alignment wrapText="1"/>
      <protection locked="0"/>
    </xf>
    <xf numFmtId="0" fontId="3" fillId="32" borderId="0" xfId="0" applyFont="1" applyFill="1" applyAlignment="1" applyProtection="1">
      <alignment horizontal="center" wrapText="1"/>
      <protection locked="0"/>
    </xf>
    <xf numFmtId="0" fontId="50" fillId="0" borderId="1" xfId="0" applyFont="1" applyBorder="1" applyAlignment="1">
      <alignment wrapText="1"/>
    </xf>
    <xf numFmtId="3" fontId="52" fillId="0" borderId="1" xfId="0" applyNumberFormat="1" applyFont="1" applyBorder="1" applyAlignment="1">
      <alignment horizontal="right" vertical="center"/>
    </xf>
    <xf numFmtId="3" fontId="52" fillId="22" borderId="1" xfId="0" applyNumberFormat="1" applyFont="1" applyFill="1" applyBorder="1" applyAlignment="1">
      <alignment horizontal="right" vertical="center"/>
    </xf>
    <xf numFmtId="3" fontId="3" fillId="0" borderId="37" xfId="0" applyNumberFormat="1" applyFont="1" applyBorder="1" applyAlignment="1">
      <alignment horizontal="right" vertical="center" wrapText="1"/>
    </xf>
    <xf numFmtId="3" fontId="53" fillId="21" borderId="1" xfId="0" applyNumberFormat="1" applyFont="1" applyFill="1" applyBorder="1" applyAlignment="1">
      <alignment horizontal="right" vertical="center"/>
    </xf>
    <xf numFmtId="0" fontId="3" fillId="22" borderId="1" xfId="0" applyFont="1" applyFill="1" applyBorder="1" applyAlignment="1">
      <alignment horizontal="center" vertical="center" wrapText="1"/>
    </xf>
    <xf numFmtId="166" fontId="3" fillId="22" borderId="1" xfId="0" applyNumberFormat="1" applyFont="1" applyFill="1" applyBorder="1" applyAlignment="1">
      <alignment horizontal="left" vertical="top" wrapText="1"/>
    </xf>
    <xf numFmtId="49" fontId="17" fillId="0" borderId="1" xfId="0" applyNumberFormat="1" applyFont="1" applyBorder="1" applyAlignment="1">
      <alignment horizontal="center" vertical="justify"/>
    </xf>
    <xf numFmtId="49" fontId="17" fillId="0" borderId="1" xfId="0" applyNumberFormat="1" applyFont="1" applyBorder="1" applyAlignment="1">
      <alignment horizontal="center" vertical="justify" wrapText="1"/>
    </xf>
    <xf numFmtId="0" fontId="18" fillId="0" borderId="1" xfId="0" applyFont="1" applyBorder="1" applyAlignment="1">
      <alignment horizontal="left" vertical="top" wrapText="1"/>
    </xf>
    <xf numFmtId="3" fontId="18" fillId="0" borderId="1" xfId="0" applyNumberFormat="1" applyFont="1" applyBorder="1" applyAlignment="1">
      <alignment horizontal="right" vertical="center"/>
    </xf>
    <xf numFmtId="3" fontId="18" fillId="0" borderId="1" xfId="1" applyNumberFormat="1" applyFont="1" applyBorder="1" applyAlignment="1">
      <alignment horizontal="right" vertical="center"/>
    </xf>
    <xf numFmtId="3" fontId="18" fillId="0" borderId="1" xfId="1" applyNumberFormat="1" applyFont="1" applyBorder="1" applyAlignment="1">
      <alignment horizontal="right" vertical="center" wrapText="1"/>
    </xf>
    <xf numFmtId="0" fontId="3" fillId="0" borderId="0" xfId="0" applyFont="1"/>
    <xf numFmtId="0" fontId="3" fillId="0" borderId="32" xfId="0" applyFont="1" applyBorder="1" applyAlignment="1">
      <alignment horizontal="left" vertical="top" wrapText="1"/>
    </xf>
    <xf numFmtId="0" fontId="3" fillId="0" borderId="14" xfId="0" applyFont="1" applyBorder="1" applyAlignment="1">
      <alignment horizontal="left" vertical="top" wrapText="1"/>
    </xf>
    <xf numFmtId="0" fontId="5" fillId="0" borderId="37" xfId="0" applyFont="1" applyBorder="1" applyAlignment="1">
      <alignment horizontal="center" vertical="top" wrapText="1"/>
    </xf>
    <xf numFmtId="0" fontId="5" fillId="2" borderId="37" xfId="0" applyFont="1" applyFill="1" applyBorder="1" applyAlignment="1">
      <alignment horizontal="left" wrapText="1"/>
    </xf>
    <xf numFmtId="0" fontId="3" fillId="2" borderId="32" xfId="0" applyFont="1" applyFill="1" applyBorder="1" applyAlignment="1">
      <alignment horizontal="left" wrapText="1"/>
    </xf>
    <xf numFmtId="49" fontId="5" fillId="2" borderId="1" xfId="0" applyNumberFormat="1" applyFont="1" applyFill="1" applyBorder="1" applyAlignment="1">
      <alignment horizontal="center" wrapText="1"/>
    </xf>
    <xf numFmtId="3" fontId="23" fillId="34" borderId="1" xfId="0" applyNumberFormat="1" applyFont="1" applyFill="1" applyBorder="1" applyAlignment="1">
      <alignment horizontal="right" vertical="center"/>
    </xf>
    <xf numFmtId="3" fontId="26" fillId="35" borderId="1" xfId="0" applyNumberFormat="1" applyFont="1" applyFill="1" applyBorder="1" applyAlignment="1">
      <alignment horizontal="right" vertical="center"/>
    </xf>
    <xf numFmtId="0" fontId="14" fillId="0" borderId="9" xfId="0" applyFont="1" applyBorder="1" applyAlignment="1">
      <alignment horizontal="left" vertical="top" wrapText="1"/>
    </xf>
    <xf numFmtId="3" fontId="50" fillId="22" borderId="1" xfId="1" applyNumberFormat="1" applyFont="1" applyFill="1" applyBorder="1" applyAlignment="1">
      <alignment horizontal="right" vertical="center" wrapText="1"/>
    </xf>
    <xf numFmtId="3" fontId="39" fillId="22" borderId="1" xfId="1" applyNumberFormat="1" applyFont="1" applyFill="1" applyBorder="1" applyAlignment="1">
      <alignment horizontal="right" vertical="center" wrapText="1"/>
    </xf>
    <xf numFmtId="3" fontId="39" fillId="22" borderId="1" xfId="0" applyNumberFormat="1" applyFont="1" applyFill="1" applyBorder="1" applyAlignment="1">
      <alignment horizontal="right" vertical="center"/>
    </xf>
    <xf numFmtId="3" fontId="48" fillId="22" borderId="1" xfId="0" applyNumberFormat="1" applyFont="1" applyFill="1" applyBorder="1" applyAlignment="1">
      <alignment horizontal="right" vertical="center"/>
    </xf>
    <xf numFmtId="3" fontId="48" fillId="22" borderId="1" xfId="1" applyNumberFormat="1" applyFont="1" applyFill="1" applyBorder="1" applyAlignment="1">
      <alignment horizontal="right" vertical="center" wrapText="1"/>
    </xf>
    <xf numFmtId="3" fontId="39" fillId="22" borderId="1" xfId="0" applyNumberFormat="1" applyFont="1" applyFill="1" applyBorder="1" applyAlignment="1">
      <alignment vertical="center"/>
    </xf>
    <xf numFmtId="0" fontId="54" fillId="3" borderId="0" xfId="0" applyFont="1" applyFill="1"/>
    <xf numFmtId="49" fontId="55" fillId="2" borderId="1" xfId="0" applyNumberFormat="1" applyFont="1" applyFill="1" applyBorder="1" applyAlignment="1">
      <alignment horizontal="center" vertical="justify"/>
    </xf>
    <xf numFmtId="49" fontId="55" fillId="2" borderId="1" xfId="0" applyNumberFormat="1" applyFont="1" applyFill="1" applyBorder="1" applyAlignment="1">
      <alignment horizontal="center" vertical="justify" wrapText="1"/>
    </xf>
    <xf numFmtId="0" fontId="39" fillId="2" borderId="1" xfId="0" applyFont="1" applyFill="1" applyBorder="1" applyAlignment="1">
      <alignment horizontal="left" vertical="top" wrapText="1"/>
    </xf>
    <xf numFmtId="3" fontId="39" fillId="0" borderId="3" xfId="0" applyNumberFormat="1" applyFont="1" applyBorder="1"/>
    <xf numFmtId="164" fontId="53" fillId="22" borderId="1" xfId="0" applyNumberFormat="1" applyFont="1" applyFill="1" applyBorder="1" applyAlignment="1">
      <alignment horizontal="center" vertical="center"/>
    </xf>
    <xf numFmtId="166" fontId="53" fillId="22" borderId="1" xfId="0" applyNumberFormat="1" applyFont="1" applyFill="1" applyBorder="1" applyAlignment="1">
      <alignment horizontal="center" vertical="center"/>
    </xf>
    <xf numFmtId="0" fontId="3" fillId="0" borderId="0" xfId="0" applyFont="1"/>
    <xf numFmtId="164" fontId="53" fillId="0" borderId="1" xfId="0" applyNumberFormat="1" applyFont="1" applyBorder="1" applyAlignment="1">
      <alignment horizontal="center" vertical="center"/>
    </xf>
    <xf numFmtId="0" fontId="3" fillId="0" borderId="1" xfId="0" applyFont="1" applyFill="1" applyBorder="1" applyAlignment="1">
      <alignment wrapText="1"/>
    </xf>
    <xf numFmtId="0" fontId="12" fillId="2" borderId="1" xfId="0" applyFont="1" applyFill="1" applyBorder="1" applyAlignment="1">
      <alignment horizontal="center" wrapText="1"/>
    </xf>
    <xf numFmtId="0" fontId="0" fillId="22" borderId="0" xfId="0" applyFill="1"/>
    <xf numFmtId="3" fontId="45" fillId="0" borderId="1" xfId="0" applyNumberFormat="1" applyFont="1" applyBorder="1" applyAlignment="1">
      <alignment horizontal="right" vertical="center"/>
    </xf>
    <xf numFmtId="3" fontId="0" fillId="22" borderId="39" xfId="0" applyNumberFormat="1" applyFill="1" applyBorder="1"/>
    <xf numFmtId="3" fontId="45" fillId="0" borderId="14" xfId="0" applyNumberFormat="1" applyFont="1" applyBorder="1" applyAlignment="1">
      <alignment horizontal="right" vertical="center"/>
    </xf>
    <xf numFmtId="3" fontId="0" fillId="22" borderId="35" xfId="0" applyNumberFormat="1" applyFill="1" applyBorder="1"/>
    <xf numFmtId="167" fontId="46" fillId="0" borderId="28" xfId="0" applyNumberFormat="1" applyFont="1" applyFill="1" applyBorder="1" applyAlignment="1">
      <alignment wrapText="1"/>
    </xf>
    <xf numFmtId="3" fontId="47" fillId="0" borderId="36" xfId="0" applyNumberFormat="1" applyFont="1" applyBorder="1" applyAlignment="1">
      <alignment horizontal="right" vertical="center"/>
    </xf>
    <xf numFmtId="3" fontId="47" fillId="0" borderId="37" xfId="0" applyNumberFormat="1" applyFont="1" applyBorder="1" applyAlignment="1">
      <alignment horizontal="right" vertical="center"/>
    </xf>
    <xf numFmtId="167" fontId="44" fillId="0" borderId="26" xfId="0" applyNumberFormat="1" applyFont="1" applyBorder="1" applyAlignment="1">
      <alignment wrapText="1"/>
    </xf>
    <xf numFmtId="3" fontId="45" fillId="0" borderId="32" xfId="0" applyNumberFormat="1" applyFont="1" applyBorder="1" applyAlignment="1">
      <alignment horizontal="right" vertical="center"/>
    </xf>
    <xf numFmtId="0" fontId="0" fillId="22" borderId="32" xfId="0" applyFill="1" applyBorder="1"/>
    <xf numFmtId="0" fontId="0" fillId="22" borderId="38" xfId="0" applyFill="1" applyBorder="1"/>
    <xf numFmtId="0" fontId="41" fillId="0" borderId="28" xfId="0" applyFont="1" applyBorder="1" applyAlignment="1">
      <alignment horizontal="center" vertical="center" wrapText="1"/>
    </xf>
    <xf numFmtId="0" fontId="39" fillId="0" borderId="36" xfId="0" applyFont="1" applyBorder="1" applyAlignment="1">
      <alignment horizontal="center" vertical="center" wrapText="1"/>
    </xf>
    <xf numFmtId="0" fontId="0" fillId="22" borderId="36" xfId="0" applyFill="1" applyBorder="1"/>
    <xf numFmtId="0" fontId="39" fillId="0" borderId="37" xfId="0" applyFont="1" applyBorder="1" applyAlignment="1">
      <alignment horizontal="center" vertical="center" wrapText="1"/>
    </xf>
    <xf numFmtId="0" fontId="32" fillId="0" borderId="1" xfId="0" applyFont="1" applyBorder="1" applyAlignment="1">
      <alignment horizontal="left" vertical="top" wrapText="1"/>
    </xf>
    <xf numFmtId="0" fontId="3" fillId="0" borderId="0" xfId="0" applyFont="1"/>
    <xf numFmtId="0" fontId="14" fillId="0" borderId="6" xfId="0" applyFont="1" applyBorder="1" applyAlignment="1">
      <alignment horizontal="left" vertical="top" wrapText="1"/>
    </xf>
    <xf numFmtId="0" fontId="12" fillId="0" borderId="11" xfId="0" applyFont="1" applyBorder="1" applyAlignment="1">
      <alignment horizontal="left" vertical="top" wrapText="1"/>
    </xf>
    <xf numFmtId="0" fontId="3" fillId="0" borderId="0" xfId="0" applyFont="1"/>
    <xf numFmtId="49" fontId="3" fillId="0" borderId="1" xfId="0" applyNumberFormat="1" applyFont="1" applyBorder="1" applyAlignment="1">
      <alignment wrapText="1"/>
    </xf>
    <xf numFmtId="0" fontId="26" fillId="0" borderId="1" xfId="0" applyNumberFormat="1" applyFont="1" applyBorder="1" applyAlignment="1">
      <alignment horizontal="left" vertical="top" wrapText="1" indent="2"/>
    </xf>
    <xf numFmtId="167" fontId="5" fillId="0" borderId="0" xfId="0" applyNumberFormat="1" applyFont="1" applyBorder="1" applyAlignment="1">
      <alignment horizontal="left" wrapText="1"/>
    </xf>
    <xf numFmtId="3" fontId="5" fillId="0" borderId="0" xfId="0" applyNumberFormat="1" applyFont="1" applyBorder="1" applyAlignment="1">
      <alignment horizontal="right"/>
    </xf>
    <xf numFmtId="4" fontId="0" fillId="22" borderId="1" xfId="0" applyNumberFormat="1" applyFill="1" applyBorder="1"/>
    <xf numFmtId="4" fontId="0" fillId="22" borderId="14" xfId="0" applyNumberFormat="1" applyFill="1" applyBorder="1"/>
    <xf numFmtId="49" fontId="26" fillId="0" borderId="1" xfId="0" applyNumberFormat="1" applyFont="1" applyBorder="1" applyAlignment="1">
      <alignment horizontal="left" vertical="top" wrapText="1" indent="2"/>
    </xf>
    <xf numFmtId="0" fontId="3" fillId="0" borderId="0" xfId="0" applyFont="1"/>
    <xf numFmtId="0" fontId="23" fillId="0" borderId="1" xfId="0" applyNumberFormat="1" applyFont="1" applyBorder="1" applyAlignment="1">
      <alignment horizontal="center" vertical="center"/>
    </xf>
    <xf numFmtId="3" fontId="57" fillId="22" borderId="1" xfId="0" applyNumberFormat="1" applyFont="1" applyFill="1" applyBorder="1" applyAlignment="1">
      <alignment horizontal="right" vertical="center"/>
    </xf>
    <xf numFmtId="3" fontId="57"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5" fillId="0" borderId="48" xfId="0" applyNumberFormat="1" applyFont="1" applyBorder="1" applyAlignment="1">
      <alignment horizontal="right"/>
    </xf>
    <xf numFmtId="0" fontId="3" fillId="0" borderId="0" xfId="0" applyFont="1"/>
    <xf numFmtId="0" fontId="0" fillId="0" borderId="0" xfId="0"/>
    <xf numFmtId="49" fontId="39" fillId="0" borderId="1" xfId="0" applyNumberFormat="1" applyFont="1" applyBorder="1" applyAlignment="1">
      <alignment wrapText="1"/>
    </xf>
    <xf numFmtId="0" fontId="0" fillId="0" borderId="0" xfId="0" applyFill="1"/>
    <xf numFmtId="0" fontId="0" fillId="22" borderId="52" xfId="0" applyFill="1" applyBorder="1"/>
    <xf numFmtId="0" fontId="39" fillId="0" borderId="43" xfId="0" applyFont="1" applyBorder="1" applyAlignment="1">
      <alignment horizontal="center" vertical="center" wrapText="1"/>
    </xf>
    <xf numFmtId="3" fontId="0" fillId="22" borderId="1" xfId="0" applyNumberFormat="1" applyFill="1" applyBorder="1"/>
    <xf numFmtId="0" fontId="41" fillId="0" borderId="42" xfId="0" applyFont="1" applyBorder="1" applyAlignment="1">
      <alignment horizontal="center" vertical="center" wrapText="1"/>
    </xf>
    <xf numFmtId="0" fontId="39" fillId="0" borderId="52" xfId="0" applyFont="1" applyBorder="1" applyAlignment="1">
      <alignment horizontal="center" vertical="center" wrapText="1"/>
    </xf>
    <xf numFmtId="167" fontId="46" fillId="0" borderId="31" xfId="0" applyNumberFormat="1" applyFont="1" applyFill="1" applyBorder="1" applyAlignment="1">
      <alignment wrapText="1"/>
    </xf>
    <xf numFmtId="3" fontId="47" fillId="0" borderId="45" xfId="0" applyNumberFormat="1" applyFont="1" applyBorder="1" applyAlignment="1">
      <alignment horizontal="right" vertical="center"/>
    </xf>
    <xf numFmtId="167" fontId="44" fillId="0" borderId="1" xfId="0" applyNumberFormat="1" applyFont="1" applyBorder="1" applyAlignment="1">
      <alignment wrapText="1"/>
    </xf>
    <xf numFmtId="3" fontId="58" fillId="22" borderId="1" xfId="0" applyNumberFormat="1" applyFont="1" applyFill="1" applyBorder="1"/>
    <xf numFmtId="0" fontId="58" fillId="22" borderId="1" xfId="0" applyFont="1" applyFill="1" applyBorder="1" applyAlignment="1">
      <alignment horizontal="center"/>
    </xf>
    <xf numFmtId="0" fontId="3" fillId="0" borderId="0" xfId="0" applyFont="1"/>
    <xf numFmtId="0" fontId="3" fillId="0" borderId="33" xfId="0" applyFont="1" applyBorder="1" applyAlignment="1">
      <alignment horizontal="center" vertical="center" wrapText="1"/>
    </xf>
    <xf numFmtId="3" fontId="57" fillId="16" borderId="1" xfId="0" applyNumberFormat="1" applyFont="1" applyFill="1" applyBorder="1" applyAlignment="1">
      <alignment horizontal="right" vertical="center"/>
    </xf>
    <xf numFmtId="3" fontId="5" fillId="0" borderId="36" xfId="0" applyNumberFormat="1" applyFont="1" applyBorder="1"/>
    <xf numFmtId="0" fontId="3" fillId="0" borderId="0" xfId="0" applyFont="1"/>
    <xf numFmtId="3" fontId="3" fillId="0" borderId="0" xfId="0" applyNumberFormat="1" applyFont="1" applyBorder="1" applyAlignment="1">
      <alignment horizontal="right" vertical="center"/>
    </xf>
    <xf numFmtId="0" fontId="39" fillId="0" borderId="21" xfId="6" applyNumberFormat="1" applyFont="1" applyFill="1" applyBorder="1" applyAlignment="1" applyProtection="1">
      <alignment vertical="top" wrapText="1"/>
      <protection hidden="1"/>
    </xf>
    <xf numFmtId="0" fontId="39" fillId="0" borderId="21" xfId="7" applyNumberFormat="1" applyFont="1" applyFill="1" applyBorder="1" applyAlignment="1" applyProtection="1">
      <alignment wrapText="1"/>
      <protection hidden="1"/>
    </xf>
    <xf numFmtId="0" fontId="39" fillId="0" borderId="21" xfId="8" applyNumberFormat="1" applyFont="1" applyFill="1" applyBorder="1" applyAlignment="1" applyProtection="1">
      <alignment vertical="top" wrapText="1"/>
      <protection hidden="1"/>
    </xf>
    <xf numFmtId="3" fontId="3" fillId="0" borderId="53" xfId="0" applyNumberFormat="1" applyFont="1" applyBorder="1" applyAlignment="1">
      <alignment horizontal="right" vertical="center"/>
    </xf>
    <xf numFmtId="0" fontId="39" fillId="0" borderId="21" xfId="9" applyNumberFormat="1" applyFont="1" applyFill="1" applyBorder="1" applyAlignment="1" applyProtection="1">
      <alignment vertical="top" wrapText="1"/>
      <protection hidden="1"/>
    </xf>
    <xf numFmtId="0" fontId="39" fillId="0" borderId="21" xfId="10" applyNumberFormat="1" applyFont="1" applyFill="1" applyBorder="1" applyAlignment="1" applyProtection="1">
      <alignment vertical="top" wrapText="1"/>
      <protection hidden="1"/>
    </xf>
    <xf numFmtId="0" fontId="39" fillId="0" borderId="21" xfId="11" applyNumberFormat="1" applyFont="1" applyFill="1" applyBorder="1" applyAlignment="1" applyProtection="1">
      <alignment wrapText="1"/>
      <protection hidden="1"/>
    </xf>
    <xf numFmtId="0" fontId="39" fillId="0" borderId="21" xfId="12" applyNumberFormat="1" applyFont="1" applyFill="1" applyBorder="1" applyAlignment="1" applyProtection="1">
      <alignment vertical="top" wrapText="1"/>
      <protection hidden="1"/>
    </xf>
    <xf numFmtId="0" fontId="39" fillId="0" borderId="21" xfId="13" applyNumberFormat="1" applyFont="1" applyFill="1" applyBorder="1" applyAlignment="1" applyProtection="1">
      <alignment wrapText="1"/>
      <protection hidden="1"/>
    </xf>
    <xf numFmtId="0" fontId="39" fillId="0" borderId="21" xfId="14" applyNumberFormat="1" applyFont="1" applyFill="1" applyBorder="1" applyAlignment="1" applyProtection="1">
      <alignment vertical="top" wrapText="1"/>
      <protection hidden="1"/>
    </xf>
    <xf numFmtId="0" fontId="3" fillId="0" borderId="0" xfId="0" applyFont="1"/>
    <xf numFmtId="0" fontId="39" fillId="0" borderId="21" xfId="15" applyNumberFormat="1" applyFont="1" applyFill="1" applyBorder="1" applyAlignment="1" applyProtection="1">
      <alignment vertical="top" wrapText="1"/>
      <protection hidden="1"/>
    </xf>
    <xf numFmtId="0" fontId="39" fillId="0" borderId="21" xfId="16" applyNumberFormat="1" applyFont="1" applyFill="1" applyBorder="1" applyAlignment="1" applyProtection="1">
      <alignment vertical="top" wrapText="1"/>
      <protection hidden="1"/>
    </xf>
    <xf numFmtId="0" fontId="39" fillId="0" borderId="21" xfId="17" applyNumberFormat="1" applyFont="1" applyFill="1" applyBorder="1" applyAlignment="1" applyProtection="1">
      <alignment vertical="top" wrapText="1"/>
      <protection hidden="1"/>
    </xf>
    <xf numFmtId="0" fontId="39" fillId="0" borderId="21" xfId="18" applyNumberFormat="1" applyFont="1" applyFill="1" applyBorder="1" applyAlignment="1" applyProtection="1">
      <alignment wrapText="1"/>
      <protection hidden="1"/>
    </xf>
    <xf numFmtId="0" fontId="39" fillId="0" borderId="54" xfId="19" applyNumberFormat="1" applyFont="1" applyFill="1" applyBorder="1" applyAlignment="1" applyProtection="1">
      <alignment wrapText="1"/>
      <protection hidden="1"/>
    </xf>
    <xf numFmtId="0" fontId="39" fillId="0" borderId="21" xfId="20" applyNumberFormat="1" applyFont="1" applyFill="1" applyBorder="1" applyAlignment="1" applyProtection="1">
      <alignment vertical="top" wrapText="1"/>
      <protection hidden="1"/>
    </xf>
    <xf numFmtId="0" fontId="3" fillId="0" borderId="0" xfId="0" applyFont="1"/>
    <xf numFmtId="0" fontId="3" fillId="0" borderId="33" xfId="0" applyFont="1" applyBorder="1" applyAlignment="1">
      <alignment horizontal="center" vertical="center" wrapText="1"/>
    </xf>
    <xf numFmtId="0" fontId="3" fillId="0" borderId="0" xfId="0" applyFont="1"/>
    <xf numFmtId="0" fontId="3" fillId="0" borderId="1" xfId="0" applyFont="1" applyBorder="1"/>
    <xf numFmtId="0" fontId="9" fillId="0" borderId="1" xfId="0" applyFont="1" applyBorder="1"/>
    <xf numFmtId="3" fontId="45" fillId="0" borderId="1" xfId="0" applyNumberFormat="1" applyFont="1" applyFill="1" applyBorder="1" applyAlignment="1">
      <alignment horizontal="right" vertical="center" wrapText="1"/>
    </xf>
    <xf numFmtId="3" fontId="45" fillId="0" borderId="14" xfId="0" applyNumberFormat="1" applyFont="1" applyFill="1" applyBorder="1" applyAlignment="1">
      <alignment horizontal="right" vertical="center" wrapText="1"/>
    </xf>
    <xf numFmtId="0" fontId="39" fillId="0" borderId="21" xfId="3" applyNumberFormat="1" applyFont="1" applyFill="1" applyBorder="1" applyAlignment="1" applyProtection="1">
      <alignment vertical="top" wrapText="1"/>
      <protection hidden="1"/>
    </xf>
    <xf numFmtId="3" fontId="53" fillId="0" borderId="1" xfId="0" applyNumberFormat="1" applyFont="1" applyFill="1" applyBorder="1" applyAlignment="1">
      <alignment horizontal="right" vertical="center"/>
    </xf>
    <xf numFmtId="0" fontId="3" fillId="0" borderId="0" xfId="0" applyFont="1"/>
    <xf numFmtId="0" fontId="39" fillId="0" borderId="21" xfId="7" applyNumberFormat="1" applyFont="1" applyFill="1" applyBorder="1" applyAlignment="1" applyProtection="1">
      <alignment vertical="top" wrapText="1"/>
      <protection hidden="1"/>
    </xf>
    <xf numFmtId="0" fontId="59" fillId="5" borderId="0" xfId="0" applyFont="1" applyFill="1"/>
    <xf numFmtId="0" fontId="39" fillId="0" borderId="0" xfId="0" applyFont="1" applyAlignment="1">
      <alignment horizontal="center"/>
    </xf>
    <xf numFmtId="0" fontId="39" fillId="0" borderId="0" xfId="0" applyFont="1"/>
    <xf numFmtId="0" fontId="48" fillId="0" borderId="0" xfId="0" applyFont="1" applyAlignment="1">
      <alignment horizontal="center" vertical="center" wrapText="1"/>
    </xf>
    <xf numFmtId="0" fontId="39" fillId="0" borderId="1" xfId="0" applyFont="1" applyBorder="1" applyAlignment="1">
      <alignment horizontal="center" vertical="center" wrapText="1"/>
    </xf>
    <xf numFmtId="0" fontId="39" fillId="0" borderId="0" xfId="0" applyFont="1" applyAlignment="1">
      <alignment horizontal="center" vertical="center" wrapText="1"/>
    </xf>
    <xf numFmtId="0" fontId="39" fillId="0" borderId="1" xfId="0" applyFont="1" applyBorder="1" applyAlignment="1">
      <alignment horizontal="left" vertical="center" wrapText="1"/>
    </xf>
    <xf numFmtId="170" fontId="39" fillId="0" borderId="1" xfId="5" applyNumberFormat="1" applyFont="1" applyBorder="1" applyAlignment="1">
      <alignment horizontal="right" vertical="center" wrapText="1"/>
    </xf>
    <xf numFmtId="0" fontId="39" fillId="0" borderId="1" xfId="0" applyFont="1" applyBorder="1" applyAlignment="1">
      <alignment horizontal="right" vertical="center" wrapText="1"/>
    </xf>
    <xf numFmtId="167" fontId="39" fillId="0" borderId="1" xfId="0" applyNumberFormat="1" applyFont="1" applyBorder="1" applyAlignment="1">
      <alignment wrapText="1"/>
    </xf>
    <xf numFmtId="3" fontId="39" fillId="0" borderId="1" xfId="0" applyNumberFormat="1" applyFont="1" applyBorder="1" applyAlignment="1">
      <alignment horizontal="right"/>
    </xf>
    <xf numFmtId="3" fontId="39" fillId="0" borderId="1" xfId="0" applyNumberFormat="1" applyFont="1" applyBorder="1" applyAlignment="1">
      <alignment horizontal="right" wrapText="1"/>
    </xf>
    <xf numFmtId="3" fontId="39" fillId="0" borderId="0" xfId="0" applyNumberFormat="1" applyFont="1" applyAlignment="1">
      <alignment horizontal="right"/>
    </xf>
    <xf numFmtId="167" fontId="48" fillId="0" borderId="1" xfId="0" applyNumberFormat="1" applyFont="1" applyBorder="1" applyAlignment="1">
      <alignment wrapText="1"/>
    </xf>
    <xf numFmtId="168" fontId="48" fillId="0" borderId="1" xfId="0" applyNumberFormat="1" applyFont="1" applyBorder="1" applyAlignment="1">
      <alignment vertical="center"/>
    </xf>
    <xf numFmtId="168" fontId="48" fillId="0" borderId="0" xfId="0" applyNumberFormat="1" applyFont="1" applyAlignment="1">
      <alignment vertical="center"/>
    </xf>
    <xf numFmtId="0" fontId="59" fillId="36" borderId="0" xfId="0" applyFont="1" applyFill="1"/>
    <xf numFmtId="0" fontId="48" fillId="19" borderId="1" xfId="0" applyFont="1" applyFill="1" applyBorder="1" applyAlignment="1">
      <alignment horizontal="right"/>
    </xf>
    <xf numFmtId="0" fontId="0" fillId="0" borderId="0" xfId="0"/>
    <xf numFmtId="0" fontId="0" fillId="0" borderId="0" xfId="0" applyAlignment="1">
      <alignment horizontal="center"/>
    </xf>
    <xf numFmtId="0" fontId="41" fillId="0" borderId="30" xfId="0" applyFont="1" applyBorder="1" applyAlignment="1">
      <alignment horizontal="center" vertical="center" wrapText="1"/>
    </xf>
    <xf numFmtId="0" fontId="41" fillId="0" borderId="33" xfId="0" applyFont="1" applyBorder="1" applyAlignment="1">
      <alignment horizontal="center" vertical="center" wrapText="1"/>
    </xf>
    <xf numFmtId="0" fontId="39" fillId="0" borderId="34" xfId="0" applyFont="1" applyBorder="1" applyAlignment="1">
      <alignment horizontal="center" vertical="center" wrapText="1"/>
    </xf>
    <xf numFmtId="3" fontId="45" fillId="0" borderId="39" xfId="0" applyNumberFormat="1" applyFont="1" applyBorder="1" applyAlignment="1">
      <alignment horizontal="right" vertical="center"/>
    </xf>
    <xf numFmtId="3" fontId="45" fillId="0" borderId="35" xfId="0" applyNumberFormat="1" applyFont="1" applyBorder="1" applyAlignment="1">
      <alignment horizontal="right" vertical="center"/>
    </xf>
    <xf numFmtId="167" fontId="46" fillId="0" borderId="46" xfId="0" applyNumberFormat="1" applyFont="1" applyFill="1" applyBorder="1" applyAlignment="1">
      <alignment wrapText="1"/>
    </xf>
    <xf numFmtId="3" fontId="47" fillId="0" borderId="48" xfId="0" applyNumberFormat="1" applyFont="1" applyBorder="1" applyAlignment="1">
      <alignment horizontal="right" vertical="center"/>
    </xf>
    <xf numFmtId="0" fontId="9" fillId="18" borderId="0" xfId="0" applyFont="1" applyFill="1"/>
    <xf numFmtId="0" fontId="9" fillId="22" borderId="0" xfId="0" applyFont="1" applyFill="1"/>
    <xf numFmtId="0" fontId="9" fillId="22" borderId="36" xfId="0" applyFont="1" applyFill="1" applyBorder="1"/>
    <xf numFmtId="3" fontId="55" fillId="0" borderId="32" xfId="0" applyNumberFormat="1" applyFont="1" applyBorder="1" applyAlignment="1">
      <alignment horizontal="right" vertical="center"/>
    </xf>
    <xf numFmtId="3" fontId="55" fillId="0" borderId="32" xfId="0" applyNumberFormat="1" applyFont="1" applyFill="1" applyBorder="1" applyAlignment="1">
      <alignment horizontal="right" vertical="center" wrapText="1"/>
    </xf>
    <xf numFmtId="0" fontId="9" fillId="22" borderId="32" xfId="0" applyFont="1" applyFill="1" applyBorder="1"/>
    <xf numFmtId="3" fontId="55" fillId="0" borderId="1" xfId="0" applyNumberFormat="1" applyFont="1" applyBorder="1" applyAlignment="1">
      <alignment horizontal="right" vertical="center"/>
    </xf>
    <xf numFmtId="3" fontId="55" fillId="0" borderId="1" xfId="0" applyNumberFormat="1" applyFont="1" applyFill="1" applyBorder="1" applyAlignment="1">
      <alignment horizontal="right" vertical="center" wrapText="1"/>
    </xf>
    <xf numFmtId="4" fontId="9" fillId="22" borderId="1" xfId="0" applyNumberFormat="1" applyFont="1" applyFill="1" applyBorder="1"/>
    <xf numFmtId="3" fontId="55" fillId="0" borderId="14" xfId="0" applyNumberFormat="1" applyFont="1" applyBorder="1" applyAlignment="1">
      <alignment horizontal="right" vertical="center"/>
    </xf>
    <xf numFmtId="3" fontId="55" fillId="0" borderId="14" xfId="0" applyNumberFormat="1" applyFont="1" applyFill="1" applyBorder="1" applyAlignment="1">
      <alignment horizontal="right" vertical="center" wrapText="1"/>
    </xf>
    <xf numFmtId="4" fontId="9" fillId="22" borderId="14" xfId="0" applyNumberFormat="1" applyFont="1" applyFill="1" applyBorder="1"/>
    <xf numFmtId="3" fontId="60" fillId="0" borderId="36" xfId="0" applyNumberFormat="1" applyFont="1" applyBorder="1" applyAlignment="1">
      <alignment horizontal="right" vertical="center"/>
    </xf>
    <xf numFmtId="4" fontId="60" fillId="0" borderId="36" xfId="0" applyNumberFormat="1" applyFont="1" applyBorder="1" applyAlignment="1">
      <alignment horizontal="right" vertical="center"/>
    </xf>
    <xf numFmtId="0" fontId="60" fillId="0" borderId="0" xfId="0" applyFont="1" applyFill="1" applyAlignment="1">
      <alignment horizontal="center" vertical="center" wrapText="1"/>
    </xf>
    <xf numFmtId="0" fontId="55" fillId="0" borderId="28"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167" fontId="61" fillId="0" borderId="26" xfId="0" applyNumberFormat="1" applyFont="1" applyBorder="1" applyAlignment="1">
      <alignment wrapText="1"/>
    </xf>
    <xf numFmtId="167" fontId="61" fillId="0" borderId="5" xfId="0" applyNumberFormat="1" applyFont="1" applyBorder="1" applyAlignment="1">
      <alignment wrapText="1"/>
    </xf>
    <xf numFmtId="3" fontId="9" fillId="22" borderId="39" xfId="0" applyNumberFormat="1" applyFont="1" applyFill="1" applyBorder="1"/>
    <xf numFmtId="167" fontId="61" fillId="0" borderId="27" xfId="0" applyNumberFormat="1" applyFont="1" applyBorder="1" applyAlignment="1">
      <alignment wrapText="1"/>
    </xf>
    <xf numFmtId="3" fontId="9" fillId="22" borderId="35" xfId="0" applyNumberFormat="1" applyFont="1" applyFill="1" applyBorder="1"/>
    <xf numFmtId="167" fontId="62" fillId="0" borderId="28" xfId="0" applyNumberFormat="1" applyFont="1" applyFill="1" applyBorder="1" applyAlignment="1">
      <alignment wrapText="1"/>
    </xf>
    <xf numFmtId="3" fontId="60" fillId="0" borderId="37" xfId="0" applyNumberFormat="1" applyFont="1" applyBorder="1" applyAlignment="1">
      <alignment horizontal="right" vertical="center"/>
    </xf>
    <xf numFmtId="0" fontId="60" fillId="0" borderId="0" xfId="0" applyFont="1" applyFill="1" applyAlignment="1">
      <alignment horizontal="left" vertical="center" wrapText="1"/>
    </xf>
    <xf numFmtId="3" fontId="9" fillId="22" borderId="38" xfId="0" applyNumberFormat="1" applyFont="1" applyFill="1" applyBorder="1"/>
    <xf numFmtId="0" fontId="8" fillId="22" borderId="1" xfId="0" applyFont="1" applyFill="1" applyBorder="1" applyAlignment="1">
      <alignment horizontal="right"/>
    </xf>
    <xf numFmtId="0" fontId="8" fillId="22" borderId="1" xfId="0" applyFont="1" applyFill="1" applyBorder="1"/>
    <xf numFmtId="3" fontId="8" fillId="22" borderId="1" xfId="0" applyNumberFormat="1" applyFont="1" applyFill="1" applyBorder="1"/>
    <xf numFmtId="0" fontId="9" fillId="0" borderId="33" xfId="0" applyFont="1" applyBorder="1" applyAlignment="1">
      <alignment horizontal="center" vertical="center" wrapText="1"/>
    </xf>
    <xf numFmtId="3" fontId="9" fillId="0" borderId="32" xfId="0" applyNumberFormat="1" applyFont="1" applyBorder="1" applyAlignment="1">
      <alignment horizontal="right" vertical="center" wrapText="1"/>
    </xf>
    <xf numFmtId="3" fontId="9" fillId="0" borderId="1" xfId="0" applyNumberFormat="1" applyFont="1" applyBorder="1" applyAlignment="1">
      <alignment horizontal="right"/>
    </xf>
    <xf numFmtId="3" fontId="8" fillId="0" borderId="47" xfId="0" applyNumberFormat="1" applyFont="1" applyBorder="1" applyAlignment="1">
      <alignment horizontal="right"/>
    </xf>
    <xf numFmtId="167" fontId="8" fillId="0" borderId="0" xfId="0" applyNumberFormat="1" applyFont="1" applyBorder="1" applyAlignment="1">
      <alignment horizontal="left" wrapText="1"/>
    </xf>
    <xf numFmtId="3" fontId="8" fillId="0" borderId="0" xfId="0" applyNumberFormat="1" applyFont="1" applyBorder="1" applyAlignment="1">
      <alignment horizontal="right"/>
    </xf>
    <xf numFmtId="0" fontId="9" fillId="0" borderId="1" xfId="0" applyFont="1" applyBorder="1" applyAlignment="1">
      <alignment horizontal="center" vertical="center" wrapText="1"/>
    </xf>
    <xf numFmtId="3" fontId="8" fillId="0" borderId="1" xfId="0" applyNumberFormat="1" applyFont="1" applyBorder="1" applyAlignment="1">
      <alignment horizontal="right"/>
    </xf>
    <xf numFmtId="0" fontId="9" fillId="0" borderId="34" xfId="0" applyFont="1" applyBorder="1" applyAlignment="1">
      <alignment horizontal="center" vertical="center" wrapText="1"/>
    </xf>
    <xf numFmtId="3" fontId="9" fillId="0" borderId="39" xfId="0" applyNumberFormat="1" applyFont="1" applyBorder="1" applyAlignment="1">
      <alignment horizontal="right"/>
    </xf>
    <xf numFmtId="3" fontId="8" fillId="0" borderId="48" xfId="0" applyNumberFormat="1" applyFont="1" applyBorder="1" applyAlignment="1">
      <alignment horizontal="right"/>
    </xf>
    <xf numFmtId="0" fontId="8" fillId="0" borderId="1" xfId="0" applyFont="1" applyBorder="1"/>
    <xf numFmtId="3" fontId="8" fillId="0" borderId="1" xfId="0" applyNumberFormat="1" applyFont="1" applyBorder="1"/>
    <xf numFmtId="3" fontId="23" fillId="17" borderId="1" xfId="0" applyNumberFormat="1" applyFont="1" applyFill="1" applyBorder="1" applyAlignment="1">
      <alignment horizontal="right" vertical="center"/>
    </xf>
    <xf numFmtId="0" fontId="3" fillId="0" borderId="0" xfId="0" applyFont="1"/>
    <xf numFmtId="3" fontId="23" fillId="37" borderId="1" xfId="0" applyNumberFormat="1" applyFont="1" applyFill="1" applyBorder="1" applyAlignment="1">
      <alignment horizontal="right" vertical="center"/>
    </xf>
    <xf numFmtId="3" fontId="26" fillId="37" borderId="1" xfId="0" applyNumberFormat="1" applyFont="1" applyFill="1" applyBorder="1" applyAlignment="1">
      <alignment horizontal="right" vertical="center"/>
    </xf>
    <xf numFmtId="3" fontId="3"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49" fontId="28" fillId="0" borderId="3" xfId="0" applyNumberFormat="1" applyFont="1" applyBorder="1" applyAlignment="1">
      <alignment horizontal="center" vertical="center"/>
    </xf>
    <xf numFmtId="3" fontId="18" fillId="0" borderId="3" xfId="0" applyNumberFormat="1" applyFont="1" applyBorder="1" applyAlignment="1">
      <alignment horizontal="right" vertical="center" wrapText="1"/>
    </xf>
    <xf numFmtId="49" fontId="23" fillId="0" borderId="3" xfId="0" applyNumberFormat="1" applyFont="1" applyBorder="1" applyAlignment="1">
      <alignment horizontal="center" vertical="center"/>
    </xf>
    <xf numFmtId="49" fontId="18"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3" fontId="51" fillId="0" borderId="3" xfId="0" applyNumberFormat="1" applyFont="1" applyBorder="1" applyAlignment="1">
      <alignment horizontal="right" vertical="center" wrapText="1"/>
    </xf>
    <xf numFmtId="49" fontId="40" fillId="0" borderId="3"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5" fillId="2" borderId="28" xfId="0" applyNumberFormat="1" applyFont="1" applyFill="1" applyBorder="1" applyAlignment="1">
      <alignment horizontal="center" vertical="center" wrapText="1"/>
    </xf>
    <xf numFmtId="49" fontId="18" fillId="2" borderId="26"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3" fontId="3" fillId="0" borderId="8" xfId="0" applyNumberFormat="1" applyFont="1" applyBorder="1" applyAlignment="1">
      <alignment horizontal="right" vertical="center" wrapText="1"/>
    </xf>
    <xf numFmtId="49" fontId="5" fillId="2" borderId="1" xfId="0" applyNumberFormat="1" applyFont="1" applyFill="1" applyBorder="1" applyAlignment="1">
      <alignment horizontal="center" vertical="center" wrapText="1"/>
    </xf>
    <xf numFmtId="3" fontId="5" fillId="0" borderId="13"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49" fontId="18" fillId="2" borderId="1" xfId="0" applyNumberFormat="1" applyFont="1" applyFill="1" applyBorder="1" applyAlignment="1">
      <alignment horizontal="center" vertical="center" wrapText="1"/>
    </xf>
    <xf numFmtId="49" fontId="5" fillId="0" borderId="31" xfId="0" applyNumberFormat="1" applyFont="1" applyBorder="1" applyAlignment="1">
      <alignment horizontal="center" vertical="center" wrapText="1"/>
    </xf>
    <xf numFmtId="3" fontId="5" fillId="0" borderId="9"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49" fontId="3" fillId="2" borderId="14"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48" fillId="2" borderId="42"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3" fontId="51" fillId="0" borderId="18"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166" fontId="5" fillId="0" borderId="3" xfId="0" applyNumberFormat="1" applyFont="1" applyBorder="1" applyAlignment="1">
      <alignment horizontal="right" vertical="center" wrapText="1"/>
    </xf>
    <xf numFmtId="0" fontId="9" fillId="0" borderId="32" xfId="0" applyFont="1" applyBorder="1" applyAlignment="1">
      <alignment horizontal="center" vertical="center" wrapText="1"/>
    </xf>
    <xf numFmtId="0" fontId="9" fillId="0" borderId="38" xfId="0" applyFont="1" applyBorder="1" applyAlignment="1">
      <alignment horizontal="center" vertical="center" wrapText="1"/>
    </xf>
    <xf numFmtId="167" fontId="62" fillId="0" borderId="55" xfId="0" applyNumberFormat="1" applyFont="1" applyFill="1" applyBorder="1" applyAlignment="1">
      <alignment wrapText="1"/>
    </xf>
    <xf numFmtId="3" fontId="60" fillId="0" borderId="40" xfId="0" applyNumberFormat="1" applyFont="1" applyBorder="1" applyAlignment="1">
      <alignment horizontal="right" vertical="center"/>
    </xf>
    <xf numFmtId="4" fontId="60" fillId="0" borderId="40" xfId="0" applyNumberFormat="1" applyFont="1" applyBorder="1" applyAlignment="1">
      <alignment horizontal="right" vertical="center"/>
    </xf>
    <xf numFmtId="3" fontId="60" fillId="0" borderId="5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2" xfId="0" applyFont="1" applyFill="1" applyBorder="1" applyAlignment="1">
      <alignment horizontal="center" vertical="center" wrapText="1"/>
    </xf>
    <xf numFmtId="0" fontId="0" fillId="22" borderId="1" xfId="0" applyFill="1" applyBorder="1" applyAlignment="1">
      <alignment horizontal="center" wrapText="1"/>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4"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xf>
    <xf numFmtId="0" fontId="3"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4" fillId="0" borderId="7" xfId="0" applyFont="1" applyBorder="1"/>
    <xf numFmtId="0" fontId="4" fillId="0" borderId="8" xfId="0" applyFont="1" applyBorder="1"/>
    <xf numFmtId="3" fontId="5" fillId="0" borderId="6" xfId="0" applyNumberFormat="1" applyFont="1" applyBorder="1" applyAlignment="1">
      <alignment horizontal="right" wrapText="1"/>
    </xf>
    <xf numFmtId="3" fontId="4" fillId="0" borderId="7" xfId="0" applyNumberFormat="1" applyFont="1" applyBorder="1" applyAlignment="1">
      <alignment horizontal="right"/>
    </xf>
    <xf numFmtId="3" fontId="4" fillId="0" borderId="8" xfId="0" applyNumberFormat="1" applyFont="1" applyBorder="1" applyAlignment="1">
      <alignment horizontal="right"/>
    </xf>
    <xf numFmtId="3" fontId="3" fillId="0" borderId="6" xfId="0" applyNumberFormat="1" applyFont="1" applyBorder="1" applyAlignment="1">
      <alignment horizontal="right" wrapText="1"/>
    </xf>
    <xf numFmtId="3" fontId="14" fillId="0" borderId="6" xfId="0" applyNumberFormat="1" applyFont="1" applyBorder="1" applyAlignment="1">
      <alignment horizontal="right" wrapText="1"/>
    </xf>
    <xf numFmtId="3" fontId="12" fillId="0" borderId="6" xfId="0" applyNumberFormat="1" applyFont="1" applyBorder="1" applyAlignment="1">
      <alignment horizontal="right" wrapText="1"/>
    </xf>
    <xf numFmtId="0" fontId="5" fillId="0" borderId="6"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3" fontId="3" fillId="0" borderId="6" xfId="0" applyNumberFormat="1" applyFont="1" applyBorder="1" applyAlignment="1">
      <alignment horizontal="right" vertical="center" wrapText="1"/>
    </xf>
    <xf numFmtId="3"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3" fontId="14" fillId="0" borderId="11" xfId="0" applyNumberFormat="1" applyFont="1" applyBorder="1" applyAlignment="1">
      <alignment horizontal="right" vertical="center" wrapText="1"/>
    </xf>
    <xf numFmtId="3" fontId="4" fillId="0" borderId="12" xfId="0" applyNumberFormat="1" applyFont="1" applyBorder="1" applyAlignment="1">
      <alignment horizontal="right" vertical="center"/>
    </xf>
    <xf numFmtId="3" fontId="4" fillId="0" borderId="13" xfId="0" applyNumberFormat="1" applyFont="1" applyBorder="1" applyAlignment="1">
      <alignment horizontal="right" vertical="center"/>
    </xf>
    <xf numFmtId="3" fontId="12" fillId="0" borderId="15"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39" fillId="0" borderId="3" xfId="0" applyNumberFormat="1" applyFont="1" applyBorder="1" applyAlignment="1">
      <alignment horizontal="right" vertical="center" wrapText="1"/>
    </xf>
    <xf numFmtId="3" fontId="56" fillId="0" borderId="3" xfId="0" applyNumberFormat="1" applyFont="1" applyBorder="1" applyAlignment="1">
      <alignment horizontal="right" vertical="center"/>
    </xf>
    <xf numFmtId="3" fontId="3"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xf>
    <xf numFmtId="0" fontId="3" fillId="0" borderId="12" xfId="0" applyFont="1" applyBorder="1" applyAlignment="1">
      <alignment horizontal="left" vertical="top" wrapText="1"/>
    </xf>
    <xf numFmtId="0" fontId="3" fillId="0" borderId="4" xfId="0" applyFont="1" applyBorder="1" applyAlignment="1">
      <alignment horizontal="center" wrapText="1"/>
    </xf>
    <xf numFmtId="0" fontId="3" fillId="0" borderId="12" xfId="0" applyFont="1" applyBorder="1" applyAlignment="1">
      <alignment horizontal="justify" shrinkToFit="1"/>
    </xf>
    <xf numFmtId="0" fontId="4" fillId="0" borderId="12" xfId="0" applyFont="1" applyBorder="1" applyAlignment="1">
      <alignment shrinkToFit="1"/>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6" fontId="5" fillId="0" borderId="21" xfId="0" applyNumberFormat="1" applyFont="1" applyBorder="1" applyAlignment="1">
      <alignment horizontal="center" vertical="top" wrapText="1"/>
    </xf>
    <xf numFmtId="166" fontId="5" fillId="0" borderId="22" xfId="0" applyNumberFormat="1" applyFont="1" applyBorder="1" applyAlignment="1">
      <alignment horizontal="center" vertical="top" wrapText="1"/>
    </xf>
    <xf numFmtId="166" fontId="5" fillId="0" borderId="23" xfId="0" applyNumberFormat="1" applyFont="1" applyBorder="1" applyAlignment="1">
      <alignment horizontal="center" vertical="top" wrapText="1"/>
    </xf>
    <xf numFmtId="0" fontId="6" fillId="0" borderId="0" xfId="0" applyFont="1" applyAlignment="1">
      <alignment horizontal="center"/>
    </xf>
    <xf numFmtId="0" fontId="12" fillId="0" borderId="3" xfId="0" applyFont="1" applyBorder="1" applyAlignment="1">
      <alignment horizontal="center" wrapText="1"/>
    </xf>
    <xf numFmtId="0" fontId="5" fillId="0" borderId="3" xfId="0" applyFont="1" applyBorder="1" applyAlignment="1">
      <alignment horizontal="center"/>
    </xf>
    <xf numFmtId="0" fontId="14" fillId="0" borderId="3" xfId="0" applyFont="1" applyBorder="1" applyAlignment="1">
      <alignment horizontal="center" wrapText="1"/>
    </xf>
    <xf numFmtId="0" fontId="3" fillId="0" borderId="3" xfId="0" applyFont="1" applyBorder="1" applyAlignment="1">
      <alignment horizontal="center"/>
    </xf>
    <xf numFmtId="3" fontId="5" fillId="0" borderId="3" xfId="0" applyNumberFormat="1" applyFont="1" applyBorder="1" applyAlignment="1">
      <alignment horizontal="right" wrapText="1"/>
    </xf>
    <xf numFmtId="3" fontId="3" fillId="0" borderId="3" xfId="0" applyNumberFormat="1" applyFont="1" applyBorder="1" applyAlignment="1">
      <alignment horizontal="right"/>
    </xf>
    <xf numFmtId="3" fontId="3" fillId="0" borderId="3" xfId="0" applyNumberFormat="1" applyFont="1" applyBorder="1" applyAlignment="1">
      <alignment horizontal="right" wrapText="1"/>
    </xf>
    <xf numFmtId="3" fontId="14" fillId="0" borderId="3" xfId="0" applyNumberFormat="1" applyFont="1" applyBorder="1" applyAlignment="1">
      <alignment horizontal="right" wrapText="1"/>
    </xf>
    <xf numFmtId="3" fontId="12" fillId="0" borderId="3" xfId="0" applyNumberFormat="1" applyFont="1" applyBorder="1" applyAlignment="1">
      <alignment horizontal="right" wrapText="1"/>
    </xf>
    <xf numFmtId="0" fontId="5" fillId="0" borderId="3" xfId="0" applyFont="1" applyBorder="1" applyAlignment="1">
      <alignment horizontal="center" wrapText="1"/>
    </xf>
    <xf numFmtId="0" fontId="4" fillId="0" borderId="3" xfId="0" applyFont="1" applyBorder="1" applyAlignment="1">
      <alignment horizontal="center"/>
    </xf>
    <xf numFmtId="3" fontId="4" fillId="0" borderId="3" xfId="0" applyNumberFormat="1" applyFont="1" applyBorder="1" applyAlignment="1">
      <alignment horizontal="right"/>
    </xf>
    <xf numFmtId="0" fontId="14"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3" fontId="39" fillId="0" borderId="9" xfId="0" applyNumberFormat="1" applyFont="1" applyBorder="1" applyAlignment="1">
      <alignment horizontal="right" wrapText="1"/>
    </xf>
    <xf numFmtId="3" fontId="56" fillId="0" borderId="9"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6" fontId="25" fillId="0" borderId="1" xfId="0" applyNumberFormat="1" applyFont="1" applyBorder="1" applyAlignment="1">
      <alignment horizontal="center"/>
    </xf>
    <xf numFmtId="0" fontId="0" fillId="2" borderId="2" xfId="0" applyFill="1" applyBorder="1" applyAlignment="1">
      <alignment horizontal="center"/>
    </xf>
    <xf numFmtId="0" fontId="23" fillId="22"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4" fillId="0" borderId="0" xfId="0" applyFont="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168" fontId="5" fillId="0" borderId="21" xfId="0" applyNumberFormat="1" applyFont="1" applyBorder="1" applyAlignment="1">
      <alignment horizontal="center" vertical="center"/>
    </xf>
    <xf numFmtId="168" fontId="5" fillId="0" borderId="23"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7" fontId="3" fillId="0" borderId="21" xfId="0" applyNumberFormat="1" applyFont="1" applyBorder="1" applyAlignment="1">
      <alignment horizontal="left" wrapText="1"/>
    </xf>
    <xf numFmtId="167" fontId="3" fillId="0" borderId="23" xfId="0" applyNumberFormat="1" applyFont="1" applyBorder="1" applyAlignment="1">
      <alignment horizontal="left" wrapText="1"/>
    </xf>
    <xf numFmtId="167" fontId="5" fillId="0" borderId="21" xfId="0" applyNumberFormat="1" applyFont="1" applyBorder="1" applyAlignment="1">
      <alignment horizontal="left" wrapText="1"/>
    </xf>
    <xf numFmtId="167"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7" fontId="5" fillId="0" borderId="1" xfId="0" applyNumberFormat="1" applyFont="1" applyBorder="1" applyAlignment="1">
      <alignment horizontal="left" wrapText="1"/>
    </xf>
    <xf numFmtId="0" fontId="3" fillId="0" borderId="16" xfId="0" applyFont="1" applyBorder="1"/>
    <xf numFmtId="0" fontId="3" fillId="0" borderId="0" xfId="0" applyFont="1"/>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34" xfId="0" applyFont="1" applyBorder="1" applyAlignment="1">
      <alignment horizontal="center" wrapText="1"/>
    </xf>
    <xf numFmtId="0" fontId="35" fillId="0" borderId="48" xfId="0" applyFont="1" applyBorder="1" applyAlignment="1">
      <alignment horizontal="center" wrapText="1"/>
    </xf>
    <xf numFmtId="0" fontId="35" fillId="0" borderId="30" xfId="0" applyFont="1" applyBorder="1" applyAlignment="1">
      <alignment horizontal="center" wrapText="1"/>
    </xf>
    <xf numFmtId="0" fontId="35" fillId="0" borderId="46" xfId="0" applyFont="1" applyBorder="1" applyAlignment="1">
      <alignment horizontal="center" wrapText="1"/>
    </xf>
    <xf numFmtId="0" fontId="35" fillId="0" borderId="33" xfId="0" applyFont="1" applyBorder="1" applyAlignment="1">
      <alignment horizontal="center" wrapText="1"/>
    </xf>
    <xf numFmtId="0" fontId="35" fillId="0" borderId="47" xfId="0" applyFont="1" applyBorder="1" applyAlignment="1">
      <alignment horizontal="center" wrapText="1"/>
    </xf>
    <xf numFmtId="0" fontId="35" fillId="0" borderId="18" xfId="0" applyFont="1" applyBorder="1" applyAlignment="1">
      <alignment horizontal="center" wrapText="1"/>
    </xf>
    <xf numFmtId="0" fontId="35"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8" xfId="0" applyFont="1" applyBorder="1" applyAlignment="1">
      <alignment horizontal="center" wrapText="1"/>
    </xf>
    <xf numFmtId="0" fontId="5" fillId="0" borderId="9" xfId="0" applyFont="1" applyBorder="1" applyAlignment="1">
      <alignment horizontal="center" wrapText="1"/>
    </xf>
    <xf numFmtId="0" fontId="18" fillId="0" borderId="0" xfId="0" applyFont="1" applyAlignment="1">
      <alignment horizontal="left" vertical="center" wrapText="1"/>
    </xf>
    <xf numFmtId="167" fontId="5" fillId="0" borderId="0" xfId="0" applyNumberFormat="1" applyFont="1" applyAlignment="1">
      <alignment horizontal="left" wrapText="1"/>
    </xf>
    <xf numFmtId="0" fontId="3"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left"/>
    </xf>
    <xf numFmtId="0" fontId="5" fillId="0" borderId="17" xfId="0" applyFont="1" applyBorder="1" applyAlignment="1">
      <alignment horizontal="left"/>
    </xf>
    <xf numFmtId="0" fontId="0" fillId="0" borderId="2" xfId="0" applyBorder="1"/>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4" fillId="3" borderId="0" xfId="0" applyFont="1" applyFill="1" applyAlignment="1">
      <alignment horizontal="right"/>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0" fillId="0" borderId="9" xfId="0" applyBorder="1" applyAlignment="1">
      <alignment horizontal="center" wrapText="1"/>
    </xf>
    <xf numFmtId="0" fontId="4" fillId="0" borderId="0" xfId="0" applyFont="1" applyBorder="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horizontal="left" wrapText="1"/>
    </xf>
    <xf numFmtId="167" fontId="3" fillId="0" borderId="1" xfId="0" applyNumberFormat="1" applyFont="1" applyBorder="1" applyAlignment="1">
      <alignment horizontal="left" wrapText="1"/>
    </xf>
    <xf numFmtId="167" fontId="5" fillId="0" borderId="46" xfId="0" applyNumberFormat="1" applyFont="1" applyBorder="1" applyAlignment="1">
      <alignment horizontal="left" wrapText="1"/>
    </xf>
    <xf numFmtId="167" fontId="5" fillId="0" borderId="47" xfId="0" applyNumberFormat="1" applyFont="1" applyBorder="1" applyAlignment="1">
      <alignment horizontal="left"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5" fillId="0" borderId="28" xfId="0" applyFont="1" applyBorder="1" applyAlignment="1">
      <alignment horizontal="center"/>
    </xf>
    <xf numFmtId="0" fontId="3" fillId="0" borderId="36" xfId="0" applyFont="1" applyBorder="1" applyAlignment="1">
      <alignment horizontal="center"/>
    </xf>
    <xf numFmtId="0" fontId="3" fillId="0" borderId="0"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3" fillId="19" borderId="0" xfId="0" applyFont="1" applyFill="1" applyAlignment="1">
      <alignment horizontal="center"/>
    </xf>
    <xf numFmtId="0" fontId="42" fillId="0" borderId="0" xfId="0" applyFont="1" applyFill="1" applyAlignment="1">
      <alignment horizontal="center" vertical="center" wrapText="1"/>
    </xf>
    <xf numFmtId="0" fontId="5" fillId="0" borderId="33"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3" fillId="32" borderId="0" xfId="0" applyFont="1" applyFill="1" applyAlignment="1" applyProtection="1">
      <alignment horizontal="right" wrapText="1"/>
      <protection locked="0"/>
    </xf>
    <xf numFmtId="0" fontId="5" fillId="22" borderId="0" xfId="0" applyFont="1" applyFill="1" applyAlignment="1">
      <alignment horizont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4" xfId="0" applyBorder="1" applyAlignment="1">
      <alignment horizontal="center" wrapText="1"/>
    </xf>
    <xf numFmtId="0" fontId="48" fillId="0" borderId="2" xfId="0" applyFont="1" applyBorder="1" applyAlignment="1">
      <alignment horizontal="center" vertical="center" wrapText="1"/>
    </xf>
    <xf numFmtId="0" fontId="48" fillId="0" borderId="0" xfId="0" applyFont="1" applyAlignment="1">
      <alignment horizontal="center" vertical="center" wrapText="1"/>
    </xf>
    <xf numFmtId="0" fontId="39" fillId="0" borderId="0" xfId="0" applyFont="1" applyAlignment="1">
      <alignment horizontal="right"/>
    </xf>
    <xf numFmtId="168" fontId="48" fillId="19" borderId="21" xfId="0" applyNumberFormat="1" applyFont="1" applyFill="1" applyBorder="1" applyAlignment="1">
      <alignment horizontal="center"/>
    </xf>
    <xf numFmtId="0" fontId="0" fillId="0" borderId="23" xfId="0" applyBorder="1"/>
    <xf numFmtId="168" fontId="48" fillId="0" borderId="21" xfId="0" applyNumberFormat="1" applyFont="1" applyBorder="1" applyAlignment="1">
      <alignment horizontal="center" vertical="center"/>
    </xf>
    <xf numFmtId="3" fontId="39" fillId="0" borderId="21" xfId="0" applyNumberFormat="1" applyFont="1" applyBorder="1" applyAlignment="1">
      <alignment horizontal="center"/>
    </xf>
    <xf numFmtId="0" fontId="39" fillId="0" borderId="21" xfId="0" applyFont="1" applyBorder="1" applyAlignment="1">
      <alignment horizontal="center" vertical="center" wrapText="1"/>
    </xf>
    <xf numFmtId="167" fontId="9" fillId="0" borderId="5" xfId="0" applyNumberFormat="1" applyFont="1" applyBorder="1" applyAlignment="1">
      <alignment horizontal="left" wrapText="1"/>
    </xf>
    <xf numFmtId="167" fontId="9" fillId="0" borderId="1" xfId="0" applyNumberFormat="1" applyFont="1" applyBorder="1" applyAlignment="1">
      <alignment horizontal="left" wrapText="1"/>
    </xf>
    <xf numFmtId="0" fontId="9" fillId="0" borderId="0" xfId="0" applyFont="1" applyAlignment="1">
      <alignment horizontal="right"/>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3" xfId="0" applyFont="1" applyBorder="1" applyAlignment="1">
      <alignment horizontal="center" vertical="center" wrapText="1"/>
    </xf>
    <xf numFmtId="167" fontId="9" fillId="0" borderId="21" xfId="0" applyNumberFormat="1" applyFont="1" applyBorder="1" applyAlignment="1">
      <alignment horizontal="left" wrapText="1"/>
    </xf>
    <xf numFmtId="167" fontId="9" fillId="0" borderId="23" xfId="0" applyNumberFormat="1" applyFont="1" applyBorder="1" applyAlignment="1">
      <alignment horizontal="left" wrapText="1"/>
    </xf>
    <xf numFmtId="0" fontId="9" fillId="0" borderId="49" xfId="0" applyFont="1" applyBorder="1" applyAlignment="1">
      <alignment horizontal="left" vertical="center" wrapText="1"/>
    </xf>
    <xf numFmtId="0" fontId="9" fillId="0" borderId="23" xfId="0" applyFont="1" applyBorder="1" applyAlignment="1">
      <alignment horizontal="left" vertical="center" wrapText="1"/>
    </xf>
    <xf numFmtId="167" fontId="8" fillId="0" borderId="46" xfId="0" applyNumberFormat="1" applyFont="1" applyBorder="1" applyAlignment="1">
      <alignment horizontal="left" wrapText="1"/>
    </xf>
    <xf numFmtId="167" fontId="8" fillId="0" borderId="47" xfId="0" applyNumberFormat="1" applyFont="1" applyBorder="1" applyAlignment="1">
      <alignment horizontal="left" wrapText="1"/>
    </xf>
    <xf numFmtId="0" fontId="8" fillId="0" borderId="0" xfId="0" applyFont="1" applyBorder="1" applyAlignment="1">
      <alignment horizontal="center" vertical="center" wrapText="1"/>
    </xf>
    <xf numFmtId="0" fontId="9" fillId="0" borderId="1" xfId="0" applyFont="1" applyBorder="1" applyAlignment="1">
      <alignment horizontal="center" vertical="center" wrapText="1"/>
    </xf>
    <xf numFmtId="167" fontId="8" fillId="0" borderId="1" xfId="0" applyNumberFormat="1" applyFont="1" applyBorder="1" applyAlignment="1">
      <alignment horizontal="left" wrapText="1"/>
    </xf>
    <xf numFmtId="0" fontId="8"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0" xfId="0" applyFont="1" applyBorder="1" applyAlignment="1">
      <alignment horizontal="center"/>
    </xf>
    <xf numFmtId="0" fontId="8" fillId="0" borderId="21" xfId="0" applyFont="1" applyBorder="1" applyAlignment="1">
      <alignment horizontal="right"/>
    </xf>
    <xf numFmtId="0" fontId="8" fillId="0" borderId="23" xfId="0" applyFont="1" applyBorder="1" applyAlignment="1">
      <alignment horizontal="right"/>
    </xf>
    <xf numFmtId="0" fontId="60" fillId="0" borderId="0" xfId="0" applyFont="1" applyFill="1" applyAlignment="1">
      <alignment horizontal="center" vertical="center" wrapText="1"/>
    </xf>
    <xf numFmtId="0" fontId="9" fillId="22" borderId="0" xfId="0" applyFont="1" applyFill="1" applyAlignment="1">
      <alignment horizontal="right"/>
    </xf>
  </cellXfs>
  <cellStyles count="21">
    <cellStyle name="Денежный" xfId="1" builtinId="4"/>
    <cellStyle name="Обычный" xfId="0" builtinId="0"/>
    <cellStyle name="Обычный 11" xfId="2"/>
    <cellStyle name="Обычный 2" xfId="3"/>
    <cellStyle name="Обычный 2 10" xfId="14"/>
    <cellStyle name="Обычный 2 11" xfId="15"/>
    <cellStyle name="Обычный 2 12" xfId="16"/>
    <cellStyle name="Обычный 2 13" xfId="17"/>
    <cellStyle name="Обычный 2 14" xfId="18"/>
    <cellStyle name="Обычный 2 15" xfId="19"/>
    <cellStyle name="Обычный 2 16" xfId="20"/>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relativeIndent="0" shrinkToFit="0"/>
    </dxf>
    <dxf>
      <font>
        <b val="0"/>
        <i val="0"/>
        <strike val="0"/>
        <u val="none"/>
        <vertAlign val="baseline"/>
        <sz val="10"/>
        <color theme="1"/>
        <name val="Arial"/>
        <scheme val="none"/>
      </font>
      <numFmt numFmtId="0" formatCode="General"/>
      <alignment horizontal="center" vertical="bottom" textRotation="0" wrapText="0" relativeIndent="0" shrinkToFit="0"/>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7"/>
  <sheetViews>
    <sheetView showGridLines="0" view="pageBreakPreview" zoomScaleSheetLayoutView="100" workbookViewId="0">
      <selection activeCell="A6" sqref="A6:L6"/>
    </sheetView>
  </sheetViews>
  <sheetFormatPr defaultColWidth="8.85546875" defaultRowHeight="15" x14ac:dyDescent="0.2"/>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0" width="16.140625" style="1" hidden="1" customWidth="1"/>
    <col min="11" max="11" width="13" style="1" hidden="1" customWidth="1"/>
    <col min="12" max="12" width="17.28515625" style="1" bestFit="1" customWidth="1"/>
    <col min="13" max="16384" width="8.85546875" style="1"/>
  </cols>
  <sheetData>
    <row r="1" spans="1:12" ht="15.75" x14ac:dyDescent="0.25">
      <c r="G1" s="868" t="s">
        <v>0</v>
      </c>
      <c r="H1" s="868"/>
      <c r="I1" s="868"/>
      <c r="J1" s="868"/>
      <c r="K1" s="868"/>
      <c r="L1" s="868"/>
    </row>
    <row r="2" spans="1:12" ht="15.75" x14ac:dyDescent="0.25">
      <c r="G2" s="868" t="s">
        <v>1</v>
      </c>
      <c r="H2" s="868"/>
      <c r="I2" s="868"/>
      <c r="J2" s="868"/>
      <c r="K2" s="868"/>
      <c r="L2" s="868"/>
    </row>
    <row r="3" spans="1:12" ht="15.75" x14ac:dyDescent="0.25">
      <c r="G3" s="868" t="s">
        <v>2</v>
      </c>
      <c r="H3" s="868"/>
      <c r="I3" s="868"/>
      <c r="J3" s="868"/>
      <c r="K3" s="868"/>
      <c r="L3" s="868"/>
    </row>
    <row r="4" spans="1:12" ht="15.75" x14ac:dyDescent="0.25">
      <c r="G4" s="868" t="s">
        <v>3478</v>
      </c>
      <c r="H4" s="868"/>
      <c r="I4" s="868"/>
      <c r="J4" s="868"/>
      <c r="K4" s="868"/>
      <c r="L4" s="868"/>
    </row>
    <row r="5" spans="1:12" ht="15.75" x14ac:dyDescent="0.25">
      <c r="G5" s="4"/>
      <c r="H5" s="5"/>
    </row>
    <row r="6" spans="1:12" ht="50.25" customHeight="1" x14ac:dyDescent="0.2">
      <c r="A6" s="869" t="s">
        <v>3128</v>
      </c>
      <c r="B6" s="869"/>
      <c r="C6" s="869"/>
      <c r="D6" s="869"/>
      <c r="E6" s="869"/>
      <c r="F6" s="869"/>
      <c r="G6" s="869"/>
      <c r="H6" s="869"/>
      <c r="I6" s="869"/>
      <c r="J6" s="869"/>
      <c r="K6" s="869"/>
      <c r="L6" s="869"/>
    </row>
    <row r="7" spans="1:12" ht="18" customHeight="1" x14ac:dyDescent="0.2">
      <c r="G7" s="7"/>
      <c r="H7" s="8"/>
      <c r="I7" s="8"/>
    </row>
    <row r="8" spans="1:12" ht="18.75" x14ac:dyDescent="0.2">
      <c r="G8" s="7"/>
      <c r="H8" s="8"/>
      <c r="I8" s="8"/>
    </row>
    <row r="9" spans="1:12" ht="15.75" customHeight="1" x14ac:dyDescent="0.25">
      <c r="A9" s="870" t="s">
        <v>3</v>
      </c>
      <c r="B9" s="870"/>
      <c r="C9" s="870"/>
      <c r="D9" s="870"/>
      <c r="E9" s="870"/>
      <c r="F9" s="870"/>
      <c r="G9" s="870"/>
      <c r="H9" s="870"/>
      <c r="I9" s="867" t="s">
        <v>4</v>
      </c>
      <c r="J9" s="867" t="s">
        <v>5</v>
      </c>
      <c r="K9" s="867" t="s">
        <v>997</v>
      </c>
      <c r="L9" s="867" t="s">
        <v>5</v>
      </c>
    </row>
    <row r="10" spans="1:12" ht="131.25" customHeight="1" x14ac:dyDescent="0.2">
      <c r="A10" s="10" t="s">
        <v>6</v>
      </c>
      <c r="B10" s="10" t="s">
        <v>7</v>
      </c>
      <c r="C10" s="10" t="s">
        <v>8</v>
      </c>
      <c r="D10" s="10" t="s">
        <v>9</v>
      </c>
      <c r="E10" s="11" t="s">
        <v>10</v>
      </c>
      <c r="F10" s="10" t="s">
        <v>11</v>
      </c>
      <c r="G10" s="12" t="s">
        <v>12</v>
      </c>
      <c r="H10" s="11" t="s">
        <v>13</v>
      </c>
      <c r="I10" s="867"/>
      <c r="J10" s="867"/>
      <c r="K10" s="867"/>
      <c r="L10" s="867"/>
    </row>
    <row r="11" spans="1:12" s="13" customFormat="1" ht="18.75" customHeight="1" x14ac:dyDescent="0.2">
      <c r="A11" s="14" t="s">
        <v>14</v>
      </c>
      <c r="B11" s="14" t="s">
        <v>15</v>
      </c>
      <c r="C11" s="14" t="s">
        <v>16</v>
      </c>
      <c r="D11" s="14" t="s">
        <v>16</v>
      </c>
      <c r="E11" s="14" t="s">
        <v>14</v>
      </c>
      <c r="F11" s="14" t="s">
        <v>16</v>
      </c>
      <c r="G11" s="14" t="s">
        <v>17</v>
      </c>
      <c r="H11" s="14" t="s">
        <v>14</v>
      </c>
      <c r="I11" s="15" t="s">
        <v>18</v>
      </c>
      <c r="J11" s="16">
        <v>213574060</v>
      </c>
      <c r="K11" s="16">
        <f>K12+K14+K16+K20+K23+K24+K30+K32+K35+K41+K42</f>
        <v>0</v>
      </c>
      <c r="L11" s="16">
        <f>SUM(J11:K11)</f>
        <v>213574060</v>
      </c>
    </row>
    <row r="12" spans="1:12" s="13" customFormat="1" ht="19.5" customHeight="1" x14ac:dyDescent="0.2">
      <c r="A12" s="14" t="s">
        <v>14</v>
      </c>
      <c r="B12" s="14" t="s">
        <v>15</v>
      </c>
      <c r="C12" s="14" t="s">
        <v>19</v>
      </c>
      <c r="D12" s="14" t="s">
        <v>16</v>
      </c>
      <c r="E12" s="14" t="s">
        <v>14</v>
      </c>
      <c r="F12" s="14" t="s">
        <v>16</v>
      </c>
      <c r="G12" s="14" t="s">
        <v>17</v>
      </c>
      <c r="H12" s="14" t="s">
        <v>14</v>
      </c>
      <c r="I12" s="15" t="s">
        <v>20</v>
      </c>
      <c r="J12" s="17">
        <v>103593000</v>
      </c>
      <c r="K12" s="17">
        <f>K13</f>
        <v>0</v>
      </c>
      <c r="L12" s="16">
        <f t="shared" ref="L12:L107" si="0">SUM(J12:K12)</f>
        <v>103593000</v>
      </c>
    </row>
    <row r="13" spans="1:12" s="13" customFormat="1" ht="18.75" customHeight="1" x14ac:dyDescent="0.2">
      <c r="A13" s="18" t="s">
        <v>21</v>
      </c>
      <c r="B13" s="18" t="s">
        <v>15</v>
      </c>
      <c r="C13" s="18" t="s">
        <v>19</v>
      </c>
      <c r="D13" s="18" t="s">
        <v>22</v>
      </c>
      <c r="E13" s="18" t="s">
        <v>14</v>
      </c>
      <c r="F13" s="18" t="s">
        <v>19</v>
      </c>
      <c r="G13" s="18" t="s">
        <v>17</v>
      </c>
      <c r="H13" s="18" t="s">
        <v>23</v>
      </c>
      <c r="I13" s="19" t="s">
        <v>24</v>
      </c>
      <c r="J13" s="20">
        <v>103593000</v>
      </c>
      <c r="K13" s="20"/>
      <c r="L13" s="581">
        <f t="shared" si="0"/>
        <v>103593000</v>
      </c>
    </row>
    <row r="14" spans="1:12" s="13" customFormat="1" ht="47.25" x14ac:dyDescent="0.2">
      <c r="A14" s="14" t="s">
        <v>14</v>
      </c>
      <c r="B14" s="14" t="s">
        <v>15</v>
      </c>
      <c r="C14" s="14" t="s">
        <v>25</v>
      </c>
      <c r="D14" s="14" t="s">
        <v>16</v>
      </c>
      <c r="E14" s="14" t="s">
        <v>14</v>
      </c>
      <c r="F14" s="14" t="s">
        <v>16</v>
      </c>
      <c r="G14" s="14" t="s">
        <v>17</v>
      </c>
      <c r="H14" s="14" t="s">
        <v>14</v>
      </c>
      <c r="I14" s="15" t="s">
        <v>26</v>
      </c>
      <c r="J14" s="17">
        <v>6983983</v>
      </c>
      <c r="K14" s="17">
        <f>K15</f>
        <v>469343</v>
      </c>
      <c r="L14" s="16">
        <f t="shared" si="0"/>
        <v>7453326</v>
      </c>
    </row>
    <row r="15" spans="1:12" s="13" customFormat="1" ht="47.25" x14ac:dyDescent="0.2">
      <c r="A15" s="18" t="s">
        <v>27</v>
      </c>
      <c r="B15" s="18" t="s">
        <v>15</v>
      </c>
      <c r="C15" s="18" t="s">
        <v>25</v>
      </c>
      <c r="D15" s="18" t="s">
        <v>22</v>
      </c>
      <c r="E15" s="18" t="s">
        <v>14</v>
      </c>
      <c r="F15" s="18" t="s">
        <v>19</v>
      </c>
      <c r="G15" s="18" t="s">
        <v>17</v>
      </c>
      <c r="H15" s="18" t="s">
        <v>23</v>
      </c>
      <c r="I15" s="19" t="s">
        <v>28</v>
      </c>
      <c r="J15" s="20">
        <v>6983983</v>
      </c>
      <c r="K15" s="20">
        <v>469343</v>
      </c>
      <c r="L15" s="581">
        <f t="shared" si="0"/>
        <v>7453326</v>
      </c>
    </row>
    <row r="16" spans="1:12" ht="21.75" customHeight="1" x14ac:dyDescent="0.2">
      <c r="A16" s="21" t="s">
        <v>14</v>
      </c>
      <c r="B16" s="21" t="s">
        <v>15</v>
      </c>
      <c r="C16" s="21" t="s">
        <v>29</v>
      </c>
      <c r="D16" s="21" t="s">
        <v>16</v>
      </c>
      <c r="E16" s="21" t="s">
        <v>14</v>
      </c>
      <c r="F16" s="21" t="s">
        <v>16</v>
      </c>
      <c r="G16" s="22" t="s">
        <v>17</v>
      </c>
      <c r="H16" s="22" t="s">
        <v>14</v>
      </c>
      <c r="I16" s="15" t="s">
        <v>30</v>
      </c>
      <c r="J16" s="23">
        <v>14262000</v>
      </c>
      <c r="K16" s="23">
        <f>K17+K18+K19</f>
        <v>-2565343</v>
      </c>
      <c r="L16" s="16">
        <f t="shared" si="0"/>
        <v>11696657</v>
      </c>
    </row>
    <row r="17" spans="1:12" ht="31.5" x14ac:dyDescent="0.2">
      <c r="A17" s="24" t="s">
        <v>21</v>
      </c>
      <c r="B17" s="24" t="s">
        <v>15</v>
      </c>
      <c r="C17" s="24" t="s">
        <v>29</v>
      </c>
      <c r="D17" s="24" t="s">
        <v>22</v>
      </c>
      <c r="E17" s="24" t="s">
        <v>14</v>
      </c>
      <c r="F17" s="24" t="s">
        <v>22</v>
      </c>
      <c r="G17" s="25" t="s">
        <v>17</v>
      </c>
      <c r="H17" s="25" t="s">
        <v>23</v>
      </c>
      <c r="I17" s="19" t="s">
        <v>31</v>
      </c>
      <c r="J17" s="20">
        <v>13754000</v>
      </c>
      <c r="K17" s="20">
        <v>-2554000</v>
      </c>
      <c r="L17" s="581">
        <f t="shared" si="0"/>
        <v>11200000</v>
      </c>
    </row>
    <row r="18" spans="1:12" ht="22.5" customHeight="1" x14ac:dyDescent="0.2">
      <c r="A18" s="24" t="s">
        <v>21</v>
      </c>
      <c r="B18" s="24" t="s">
        <v>15</v>
      </c>
      <c r="C18" s="24" t="s">
        <v>29</v>
      </c>
      <c r="D18" s="24" t="s">
        <v>25</v>
      </c>
      <c r="E18" s="24" t="s">
        <v>14</v>
      </c>
      <c r="F18" s="24" t="s">
        <v>19</v>
      </c>
      <c r="G18" s="25" t="s">
        <v>17</v>
      </c>
      <c r="H18" s="25" t="s">
        <v>23</v>
      </c>
      <c r="I18" s="19" t="s">
        <v>32</v>
      </c>
      <c r="J18" s="20">
        <v>308000</v>
      </c>
      <c r="K18" s="20">
        <v>-130000</v>
      </c>
      <c r="L18" s="581">
        <f t="shared" si="0"/>
        <v>178000</v>
      </c>
    </row>
    <row r="19" spans="1:12" ht="31.5" x14ac:dyDescent="0.2">
      <c r="A19" s="24" t="s">
        <v>21</v>
      </c>
      <c r="B19" s="24" t="s">
        <v>15</v>
      </c>
      <c r="C19" s="24" t="s">
        <v>29</v>
      </c>
      <c r="D19" s="24" t="s">
        <v>33</v>
      </c>
      <c r="E19" s="24" t="s">
        <v>14</v>
      </c>
      <c r="F19" s="24" t="s">
        <v>22</v>
      </c>
      <c r="G19" s="25" t="s">
        <v>17</v>
      </c>
      <c r="H19" s="25" t="s">
        <v>23</v>
      </c>
      <c r="I19" s="19" t="s">
        <v>34</v>
      </c>
      <c r="J19" s="26">
        <v>200000</v>
      </c>
      <c r="K19" s="26">
        <v>118657</v>
      </c>
      <c r="L19" s="581">
        <f t="shared" si="0"/>
        <v>318657</v>
      </c>
    </row>
    <row r="20" spans="1:12" ht="20.25" customHeight="1" x14ac:dyDescent="0.2">
      <c r="A20" s="21" t="s">
        <v>14</v>
      </c>
      <c r="B20" s="21" t="s">
        <v>15</v>
      </c>
      <c r="C20" s="21" t="s">
        <v>35</v>
      </c>
      <c r="D20" s="21" t="s">
        <v>16</v>
      </c>
      <c r="E20" s="21" t="s">
        <v>14</v>
      </c>
      <c r="F20" s="21" t="s">
        <v>16</v>
      </c>
      <c r="G20" s="22" t="s">
        <v>17</v>
      </c>
      <c r="H20" s="22" t="s">
        <v>14</v>
      </c>
      <c r="I20" s="15" t="s">
        <v>36</v>
      </c>
      <c r="J20" s="23">
        <v>5200000</v>
      </c>
      <c r="K20" s="23">
        <f>K21+K22</f>
        <v>1810000</v>
      </c>
      <c r="L20" s="16">
        <f t="shared" si="0"/>
        <v>7010000</v>
      </c>
    </row>
    <row r="21" spans="1:12" ht="49.5" customHeight="1" x14ac:dyDescent="0.2">
      <c r="A21" s="24" t="s">
        <v>21</v>
      </c>
      <c r="B21" s="24" t="s">
        <v>15</v>
      </c>
      <c r="C21" s="24" t="s">
        <v>35</v>
      </c>
      <c r="D21" s="24" t="s">
        <v>25</v>
      </c>
      <c r="E21" s="24" t="s">
        <v>14</v>
      </c>
      <c r="F21" s="24" t="s">
        <v>19</v>
      </c>
      <c r="G21" s="25" t="s">
        <v>17</v>
      </c>
      <c r="H21" s="25" t="s">
        <v>23</v>
      </c>
      <c r="I21" s="19" t="s">
        <v>37</v>
      </c>
      <c r="J21" s="20">
        <v>5200000</v>
      </c>
      <c r="K21" s="20">
        <v>1700000</v>
      </c>
      <c r="L21" s="581">
        <f t="shared" si="0"/>
        <v>6900000</v>
      </c>
    </row>
    <row r="22" spans="1:12" ht="48" customHeight="1" x14ac:dyDescent="0.2">
      <c r="A22" s="24" t="s">
        <v>38</v>
      </c>
      <c r="B22" s="24" t="s">
        <v>15</v>
      </c>
      <c r="C22" s="24" t="s">
        <v>35</v>
      </c>
      <c r="D22" s="24" t="s">
        <v>39</v>
      </c>
      <c r="E22" s="24" t="s">
        <v>14</v>
      </c>
      <c r="F22" s="24" t="s">
        <v>19</v>
      </c>
      <c r="G22" s="25" t="s">
        <v>17</v>
      </c>
      <c r="H22" s="25" t="s">
        <v>23</v>
      </c>
      <c r="I22" s="19" t="s">
        <v>40</v>
      </c>
      <c r="J22" s="20">
        <v>0</v>
      </c>
      <c r="K22" s="20">
        <v>110000</v>
      </c>
      <c r="L22" s="581">
        <f t="shared" si="0"/>
        <v>110000</v>
      </c>
    </row>
    <row r="23" spans="1:12" ht="54" customHeight="1" x14ac:dyDescent="0.2">
      <c r="A23" s="21" t="s">
        <v>21</v>
      </c>
      <c r="B23" s="21" t="s">
        <v>15</v>
      </c>
      <c r="C23" s="21" t="s">
        <v>41</v>
      </c>
      <c r="D23" s="21"/>
      <c r="E23" s="21" t="s">
        <v>42</v>
      </c>
      <c r="F23" s="21" t="s">
        <v>16</v>
      </c>
      <c r="G23" s="22" t="s">
        <v>17</v>
      </c>
      <c r="H23" s="22" t="s">
        <v>14</v>
      </c>
      <c r="I23" s="15" t="s">
        <v>43</v>
      </c>
      <c r="J23" s="23">
        <v>0</v>
      </c>
      <c r="K23" s="23">
        <v>68000</v>
      </c>
      <c r="L23" s="16">
        <f t="shared" si="0"/>
        <v>68000</v>
      </c>
    </row>
    <row r="24" spans="1:12" ht="47.25" x14ac:dyDescent="0.2">
      <c r="A24" s="21" t="s">
        <v>14</v>
      </c>
      <c r="B24" s="21" t="s">
        <v>15</v>
      </c>
      <c r="C24" s="21" t="s">
        <v>44</v>
      </c>
      <c r="D24" s="21" t="s">
        <v>16</v>
      </c>
      <c r="E24" s="21" t="s">
        <v>14</v>
      </c>
      <c r="F24" s="21" t="s">
        <v>16</v>
      </c>
      <c r="G24" s="22" t="s">
        <v>17</v>
      </c>
      <c r="H24" s="22" t="s">
        <v>14</v>
      </c>
      <c r="I24" s="15" t="s">
        <v>45</v>
      </c>
      <c r="J24" s="23">
        <v>11715000</v>
      </c>
      <c r="K24" s="23">
        <f>K25+K27</f>
        <v>-669000</v>
      </c>
      <c r="L24" s="16">
        <f t="shared" si="0"/>
        <v>11046000</v>
      </c>
    </row>
    <row r="25" spans="1:12" ht="109.5" customHeight="1" x14ac:dyDescent="0.2">
      <c r="A25" s="631" t="s">
        <v>46</v>
      </c>
      <c r="B25" s="631" t="s">
        <v>15</v>
      </c>
      <c r="C25" s="631" t="s">
        <v>44</v>
      </c>
      <c r="D25" s="631" t="s">
        <v>19</v>
      </c>
      <c r="E25" s="631" t="s">
        <v>14</v>
      </c>
      <c r="F25" s="631" t="s">
        <v>16</v>
      </c>
      <c r="G25" s="632" t="s">
        <v>17</v>
      </c>
      <c r="H25" s="632" t="s">
        <v>47</v>
      </c>
      <c r="I25" s="633" t="s">
        <v>48</v>
      </c>
      <c r="J25" s="634">
        <v>25000</v>
      </c>
      <c r="K25" s="634">
        <f>K26</f>
        <v>72000</v>
      </c>
      <c r="L25" s="635">
        <f t="shared" si="0"/>
        <v>97000</v>
      </c>
    </row>
    <row r="26" spans="1:12" ht="82.5" customHeight="1" x14ac:dyDescent="0.2">
      <c r="A26" s="24" t="s">
        <v>46</v>
      </c>
      <c r="B26" s="24" t="s">
        <v>15</v>
      </c>
      <c r="C26" s="24" t="s">
        <v>44</v>
      </c>
      <c r="D26" s="24" t="s">
        <v>19</v>
      </c>
      <c r="E26" s="24" t="s">
        <v>49</v>
      </c>
      <c r="F26" s="24" t="s">
        <v>29</v>
      </c>
      <c r="G26" s="25" t="s">
        <v>17</v>
      </c>
      <c r="H26" s="25" t="s">
        <v>47</v>
      </c>
      <c r="I26" s="19" t="s">
        <v>50</v>
      </c>
      <c r="J26" s="26">
        <v>25000</v>
      </c>
      <c r="K26" s="26">
        <v>72000</v>
      </c>
      <c r="L26" s="581">
        <f t="shared" si="0"/>
        <v>97000</v>
      </c>
    </row>
    <row r="27" spans="1:12" s="27" customFormat="1" ht="129.75" customHeight="1" x14ac:dyDescent="0.25">
      <c r="A27" s="631" t="s">
        <v>14</v>
      </c>
      <c r="B27" s="631" t="s">
        <v>15</v>
      </c>
      <c r="C27" s="631" t="s">
        <v>44</v>
      </c>
      <c r="D27" s="631" t="s">
        <v>29</v>
      </c>
      <c r="E27" s="631" t="s">
        <v>14</v>
      </c>
      <c r="F27" s="631" t="s">
        <v>16</v>
      </c>
      <c r="G27" s="632" t="s">
        <v>17</v>
      </c>
      <c r="H27" s="632" t="s">
        <v>47</v>
      </c>
      <c r="I27" s="633" t="s">
        <v>51</v>
      </c>
      <c r="J27" s="636">
        <v>11690000</v>
      </c>
      <c r="K27" s="636">
        <f>K28+K29</f>
        <v>-741000</v>
      </c>
      <c r="L27" s="635">
        <f t="shared" si="0"/>
        <v>10949000</v>
      </c>
    </row>
    <row r="28" spans="1:12" s="27" customFormat="1" ht="96" customHeight="1" x14ac:dyDescent="0.25">
      <c r="A28" s="24" t="s">
        <v>14</v>
      </c>
      <c r="B28" s="24" t="s">
        <v>15</v>
      </c>
      <c r="C28" s="24" t="s">
        <v>44</v>
      </c>
      <c r="D28" s="24" t="s">
        <v>29</v>
      </c>
      <c r="E28" s="24" t="s">
        <v>52</v>
      </c>
      <c r="F28" s="24" t="s">
        <v>16</v>
      </c>
      <c r="G28" s="25" t="s">
        <v>17</v>
      </c>
      <c r="H28" s="25" t="s">
        <v>47</v>
      </c>
      <c r="I28" s="19" t="s">
        <v>53</v>
      </c>
      <c r="J28" s="26">
        <v>9190000</v>
      </c>
      <c r="K28" s="26">
        <v>-741000</v>
      </c>
      <c r="L28" s="581">
        <f t="shared" si="0"/>
        <v>8449000</v>
      </c>
    </row>
    <row r="29" spans="1:12" s="27" customFormat="1" ht="54.75" customHeight="1" x14ac:dyDescent="0.25">
      <c r="A29" s="24" t="s">
        <v>46</v>
      </c>
      <c r="B29" s="24" t="s">
        <v>15</v>
      </c>
      <c r="C29" s="24" t="s">
        <v>44</v>
      </c>
      <c r="D29" s="24" t="s">
        <v>29</v>
      </c>
      <c r="E29" s="24" t="s">
        <v>54</v>
      </c>
      <c r="F29" s="24" t="s">
        <v>29</v>
      </c>
      <c r="G29" s="25" t="s">
        <v>17</v>
      </c>
      <c r="H29" s="25" t="s">
        <v>47</v>
      </c>
      <c r="I29" s="19" t="s">
        <v>55</v>
      </c>
      <c r="J29" s="26">
        <v>2500000</v>
      </c>
      <c r="K29" s="26"/>
      <c r="L29" s="581">
        <f t="shared" si="0"/>
        <v>2500000</v>
      </c>
    </row>
    <row r="30" spans="1:12" s="27" customFormat="1" ht="31.5" x14ac:dyDescent="0.25">
      <c r="A30" s="21" t="s">
        <v>14</v>
      </c>
      <c r="B30" s="21" t="s">
        <v>15</v>
      </c>
      <c r="C30" s="21" t="s">
        <v>56</v>
      </c>
      <c r="D30" s="21" t="s">
        <v>16</v>
      </c>
      <c r="E30" s="21" t="s">
        <v>14</v>
      </c>
      <c r="F30" s="21" t="s">
        <v>16</v>
      </c>
      <c r="G30" s="22" t="s">
        <v>17</v>
      </c>
      <c r="H30" s="22" t="s">
        <v>14</v>
      </c>
      <c r="I30" s="15" t="s">
        <v>57</v>
      </c>
      <c r="J30" s="23">
        <v>2900000</v>
      </c>
      <c r="K30" s="23">
        <f>K31</f>
        <v>-1980000</v>
      </c>
      <c r="L30" s="16">
        <f t="shared" si="0"/>
        <v>920000</v>
      </c>
    </row>
    <row r="31" spans="1:12" ht="31.5" x14ac:dyDescent="0.2">
      <c r="A31" s="24" t="s">
        <v>14</v>
      </c>
      <c r="B31" s="24" t="s">
        <v>15</v>
      </c>
      <c r="C31" s="24" t="s">
        <v>56</v>
      </c>
      <c r="D31" s="24" t="s">
        <v>19</v>
      </c>
      <c r="E31" s="24" t="s">
        <v>14</v>
      </c>
      <c r="F31" s="24" t="s">
        <v>19</v>
      </c>
      <c r="G31" s="25" t="s">
        <v>17</v>
      </c>
      <c r="H31" s="25" t="s">
        <v>47</v>
      </c>
      <c r="I31" s="19" t="s">
        <v>58</v>
      </c>
      <c r="J31" s="20">
        <v>2900000</v>
      </c>
      <c r="K31" s="20">
        <v>-1980000</v>
      </c>
      <c r="L31" s="581">
        <f t="shared" si="0"/>
        <v>920000</v>
      </c>
    </row>
    <row r="32" spans="1:12" ht="39" customHeight="1" x14ac:dyDescent="0.2">
      <c r="A32" s="21" t="s">
        <v>14</v>
      </c>
      <c r="B32" s="21" t="s">
        <v>15</v>
      </c>
      <c r="C32" s="21" t="s">
        <v>61</v>
      </c>
      <c r="D32" s="21" t="s">
        <v>16</v>
      </c>
      <c r="E32" s="21" t="s">
        <v>14</v>
      </c>
      <c r="F32" s="21" t="s">
        <v>16</v>
      </c>
      <c r="G32" s="22" t="s">
        <v>17</v>
      </c>
      <c r="H32" s="22" t="s">
        <v>62</v>
      </c>
      <c r="I32" s="15" t="s">
        <v>63</v>
      </c>
      <c r="J32" s="23">
        <v>54715000</v>
      </c>
      <c r="K32" s="23">
        <f>K33+K34</f>
        <v>262000</v>
      </c>
      <c r="L32" s="16">
        <f t="shared" si="0"/>
        <v>54977000</v>
      </c>
    </row>
    <row r="33" spans="1:12" ht="51" customHeight="1" x14ac:dyDescent="0.2">
      <c r="A33" s="24" t="s">
        <v>14</v>
      </c>
      <c r="B33" s="24" t="s">
        <v>15</v>
      </c>
      <c r="C33" s="24" t="s">
        <v>61</v>
      </c>
      <c r="D33" s="24" t="s">
        <v>19</v>
      </c>
      <c r="E33" s="24" t="s">
        <v>64</v>
      </c>
      <c r="F33" s="24" t="s">
        <v>29</v>
      </c>
      <c r="G33" s="25" t="s">
        <v>17</v>
      </c>
      <c r="H33" s="25" t="s">
        <v>62</v>
      </c>
      <c r="I33" s="19" t="s">
        <v>65</v>
      </c>
      <c r="J33" s="20">
        <v>54715000</v>
      </c>
      <c r="K33" s="20"/>
      <c r="L33" s="581">
        <f t="shared" si="0"/>
        <v>54715000</v>
      </c>
    </row>
    <row r="34" spans="1:12" ht="39" customHeight="1" x14ac:dyDescent="0.2">
      <c r="A34" s="24" t="s">
        <v>14</v>
      </c>
      <c r="B34" s="24" t="s">
        <v>15</v>
      </c>
      <c r="C34" s="24" t="s">
        <v>61</v>
      </c>
      <c r="D34" s="24" t="s">
        <v>22</v>
      </c>
      <c r="E34" s="24" t="s">
        <v>64</v>
      </c>
      <c r="F34" s="24" t="s">
        <v>29</v>
      </c>
      <c r="G34" s="25" t="s">
        <v>17</v>
      </c>
      <c r="H34" s="25" t="s">
        <v>62</v>
      </c>
      <c r="I34" s="19" t="s">
        <v>389</v>
      </c>
      <c r="J34" s="20">
        <v>0</v>
      </c>
      <c r="K34" s="20">
        <v>262000</v>
      </c>
      <c r="L34" s="581">
        <f t="shared" si="0"/>
        <v>262000</v>
      </c>
    </row>
    <row r="35" spans="1:12" ht="31.5" x14ac:dyDescent="0.2">
      <c r="A35" s="21" t="s">
        <v>14</v>
      </c>
      <c r="B35" s="21" t="s">
        <v>15</v>
      </c>
      <c r="C35" s="21" t="s">
        <v>66</v>
      </c>
      <c r="D35" s="21" t="s">
        <v>16</v>
      </c>
      <c r="E35" s="21" t="s">
        <v>14</v>
      </c>
      <c r="F35" s="21" t="s">
        <v>16</v>
      </c>
      <c r="G35" s="22" t="s">
        <v>17</v>
      </c>
      <c r="H35" s="22" t="s">
        <v>14</v>
      </c>
      <c r="I35" s="15" t="s">
        <v>67</v>
      </c>
      <c r="J35" s="23">
        <v>7000000</v>
      </c>
      <c r="K35" s="23">
        <f>K36+K37</f>
        <v>0</v>
      </c>
      <c r="L35" s="16">
        <f t="shared" si="0"/>
        <v>7000000</v>
      </c>
    </row>
    <row r="36" spans="1:12" ht="115.5" customHeight="1" x14ac:dyDescent="0.2">
      <c r="A36" s="24" t="s">
        <v>46</v>
      </c>
      <c r="B36" s="24" t="s">
        <v>15</v>
      </c>
      <c r="C36" s="24" t="s">
        <v>66</v>
      </c>
      <c r="D36" s="24" t="s">
        <v>22</v>
      </c>
      <c r="E36" s="24" t="s">
        <v>14</v>
      </c>
      <c r="F36" s="24" t="s">
        <v>16</v>
      </c>
      <c r="G36" s="25" t="s">
        <v>17</v>
      </c>
      <c r="H36" s="25" t="s">
        <v>14</v>
      </c>
      <c r="I36" s="19" t="s">
        <v>68</v>
      </c>
      <c r="J36" s="20">
        <v>3000000</v>
      </c>
      <c r="K36" s="20"/>
      <c r="L36" s="581">
        <f t="shared" si="0"/>
        <v>3000000</v>
      </c>
    </row>
    <row r="37" spans="1:12" ht="47.25" x14ac:dyDescent="0.2">
      <c r="A37" s="631" t="s">
        <v>14</v>
      </c>
      <c r="B37" s="631" t="s">
        <v>15</v>
      </c>
      <c r="C37" s="631" t="s">
        <v>66</v>
      </c>
      <c r="D37" s="631" t="s">
        <v>69</v>
      </c>
      <c r="E37" s="631" t="s">
        <v>14</v>
      </c>
      <c r="F37" s="631" t="s">
        <v>16</v>
      </c>
      <c r="G37" s="632" t="s">
        <v>17</v>
      </c>
      <c r="H37" s="632" t="s">
        <v>70</v>
      </c>
      <c r="I37" s="633" t="s">
        <v>71</v>
      </c>
      <c r="J37" s="634">
        <v>4000000</v>
      </c>
      <c r="K37" s="634"/>
      <c r="L37" s="635">
        <f t="shared" si="0"/>
        <v>4000000</v>
      </c>
    </row>
    <row r="38" spans="1:12" ht="81" customHeight="1" x14ac:dyDescent="0.2">
      <c r="A38" s="24" t="s">
        <v>46</v>
      </c>
      <c r="B38" s="24" t="s">
        <v>15</v>
      </c>
      <c r="C38" s="24" t="s">
        <v>66</v>
      </c>
      <c r="D38" s="24" t="s">
        <v>69</v>
      </c>
      <c r="E38" s="24" t="s">
        <v>72</v>
      </c>
      <c r="F38" s="24" t="s">
        <v>29</v>
      </c>
      <c r="G38" s="25" t="s">
        <v>17</v>
      </c>
      <c r="H38" s="25" t="s">
        <v>70</v>
      </c>
      <c r="I38" s="19" t="s">
        <v>3120</v>
      </c>
      <c r="J38" s="20">
        <v>1500000</v>
      </c>
      <c r="K38" s="20"/>
      <c r="L38" s="581">
        <f t="shared" si="0"/>
        <v>1500000</v>
      </c>
    </row>
    <row r="39" spans="1:12" ht="66.75" customHeight="1" x14ac:dyDescent="0.2">
      <c r="A39" s="24" t="s">
        <v>14</v>
      </c>
      <c r="B39" s="24" t="s">
        <v>15</v>
      </c>
      <c r="C39" s="24" t="s">
        <v>66</v>
      </c>
      <c r="D39" s="24" t="s">
        <v>69</v>
      </c>
      <c r="E39" s="24" t="s">
        <v>72</v>
      </c>
      <c r="F39" s="24" t="s">
        <v>61</v>
      </c>
      <c r="G39" s="25" t="s">
        <v>17</v>
      </c>
      <c r="H39" s="25" t="s">
        <v>70</v>
      </c>
      <c r="I39" s="19" t="s">
        <v>74</v>
      </c>
      <c r="J39" s="20">
        <v>1500000</v>
      </c>
      <c r="K39" s="20"/>
      <c r="L39" s="581">
        <f t="shared" si="0"/>
        <v>1500000</v>
      </c>
    </row>
    <row r="40" spans="1:12" ht="77.25" customHeight="1" x14ac:dyDescent="0.2">
      <c r="A40" s="24" t="s">
        <v>46</v>
      </c>
      <c r="B40" s="24" t="s">
        <v>15</v>
      </c>
      <c r="C40" s="24" t="s">
        <v>66</v>
      </c>
      <c r="D40" s="24" t="s">
        <v>69</v>
      </c>
      <c r="E40" s="24" t="s">
        <v>75</v>
      </c>
      <c r="F40" s="24" t="s">
        <v>29</v>
      </c>
      <c r="G40" s="25" t="s">
        <v>17</v>
      </c>
      <c r="H40" s="25" t="s">
        <v>70</v>
      </c>
      <c r="I40" s="19" t="s">
        <v>76</v>
      </c>
      <c r="J40" s="20">
        <v>1000000</v>
      </c>
      <c r="K40" s="20">
        <v>0</v>
      </c>
      <c r="L40" s="581">
        <f t="shared" si="0"/>
        <v>1000000</v>
      </c>
    </row>
    <row r="41" spans="1:12" ht="15.75" x14ac:dyDescent="0.2">
      <c r="A41" s="21" t="s">
        <v>14</v>
      </c>
      <c r="B41" s="21" t="s">
        <v>15</v>
      </c>
      <c r="C41" s="21" t="s">
        <v>77</v>
      </c>
      <c r="D41" s="21" t="s">
        <v>16</v>
      </c>
      <c r="E41" s="21" t="s">
        <v>14</v>
      </c>
      <c r="F41" s="21" t="s">
        <v>16</v>
      </c>
      <c r="G41" s="22" t="s">
        <v>17</v>
      </c>
      <c r="H41" s="22" t="s">
        <v>14</v>
      </c>
      <c r="I41" s="15" t="s">
        <v>78</v>
      </c>
      <c r="J41" s="23">
        <v>2155000</v>
      </c>
      <c r="K41" s="23">
        <v>2605000</v>
      </c>
      <c r="L41" s="16">
        <f t="shared" si="0"/>
        <v>4760000</v>
      </c>
    </row>
    <row r="42" spans="1:12" ht="26.25" customHeight="1" x14ac:dyDescent="0.2">
      <c r="A42" s="21" t="s">
        <v>14</v>
      </c>
      <c r="B42" s="21" t="s">
        <v>15</v>
      </c>
      <c r="C42" s="21" t="s">
        <v>79</v>
      </c>
      <c r="D42" s="21" t="s">
        <v>16</v>
      </c>
      <c r="E42" s="21" t="s">
        <v>42</v>
      </c>
      <c r="F42" s="21" t="s">
        <v>16</v>
      </c>
      <c r="G42" s="22" t="s">
        <v>17</v>
      </c>
      <c r="H42" s="22" t="s">
        <v>14</v>
      </c>
      <c r="I42" s="15" t="s">
        <v>80</v>
      </c>
      <c r="J42" s="23">
        <v>5050077</v>
      </c>
      <c r="K42" s="23"/>
      <c r="L42" s="16">
        <f t="shared" si="0"/>
        <v>5050077</v>
      </c>
    </row>
    <row r="43" spans="1:12" ht="22.5" customHeight="1" x14ac:dyDescent="0.2">
      <c r="A43" s="21" t="s">
        <v>14</v>
      </c>
      <c r="B43" s="21" t="s">
        <v>81</v>
      </c>
      <c r="C43" s="21" t="s">
        <v>16</v>
      </c>
      <c r="D43" s="21" t="s">
        <v>16</v>
      </c>
      <c r="E43" s="21" t="s">
        <v>14</v>
      </c>
      <c r="F43" s="21" t="s">
        <v>16</v>
      </c>
      <c r="G43" s="28" t="s">
        <v>17</v>
      </c>
      <c r="H43" s="28" t="s">
        <v>14</v>
      </c>
      <c r="I43" s="29" t="s">
        <v>82</v>
      </c>
      <c r="J43" s="23">
        <v>1994707627.8699999</v>
      </c>
      <c r="K43" s="23">
        <f>K44</f>
        <v>-14471036</v>
      </c>
      <c r="L43" s="16">
        <f t="shared" si="0"/>
        <v>1980236591.8699999</v>
      </c>
    </row>
    <row r="44" spans="1:12" ht="47.25" x14ac:dyDescent="0.2">
      <c r="A44" s="21" t="s">
        <v>14</v>
      </c>
      <c r="B44" s="21" t="s">
        <v>81</v>
      </c>
      <c r="C44" s="21" t="s">
        <v>22</v>
      </c>
      <c r="D44" s="21" t="s">
        <v>16</v>
      </c>
      <c r="E44" s="21" t="s">
        <v>14</v>
      </c>
      <c r="F44" s="21" t="s">
        <v>16</v>
      </c>
      <c r="G44" s="28" t="s">
        <v>17</v>
      </c>
      <c r="H44" s="28" t="s">
        <v>14</v>
      </c>
      <c r="I44" s="29" t="s">
        <v>83</v>
      </c>
      <c r="J44" s="23">
        <v>1994707627.8699999</v>
      </c>
      <c r="K44" s="23">
        <f>K45+K50+K73+K114</f>
        <v>-14471036</v>
      </c>
      <c r="L44" s="16">
        <f t="shared" si="0"/>
        <v>1980236591.8699999</v>
      </c>
    </row>
    <row r="45" spans="1:12" ht="31.5" x14ac:dyDescent="0.2">
      <c r="A45" s="21" t="s">
        <v>14</v>
      </c>
      <c r="B45" s="21" t="s">
        <v>81</v>
      </c>
      <c r="C45" s="21" t="s">
        <v>22</v>
      </c>
      <c r="D45" s="21" t="s">
        <v>73</v>
      </c>
      <c r="E45" s="21" t="s">
        <v>14</v>
      </c>
      <c r="F45" s="21" t="s">
        <v>16</v>
      </c>
      <c r="G45" s="28" t="s">
        <v>17</v>
      </c>
      <c r="H45" s="28" t="s">
        <v>84</v>
      </c>
      <c r="I45" s="29" t="s">
        <v>85</v>
      </c>
      <c r="J45" s="23">
        <v>545090545</v>
      </c>
      <c r="K45" s="23">
        <f>K46+K47+K48+K49</f>
        <v>0</v>
      </c>
      <c r="L45" s="16">
        <f t="shared" si="0"/>
        <v>545090545</v>
      </c>
    </row>
    <row r="46" spans="1:12" ht="46.5" customHeight="1" x14ac:dyDescent="0.2">
      <c r="A46" s="24" t="s">
        <v>86</v>
      </c>
      <c r="B46" s="24" t="s">
        <v>81</v>
      </c>
      <c r="C46" s="24" t="s">
        <v>22</v>
      </c>
      <c r="D46" s="24" t="s">
        <v>1005</v>
      </c>
      <c r="E46" s="24" t="s">
        <v>87</v>
      </c>
      <c r="F46" s="24" t="s">
        <v>29</v>
      </c>
      <c r="G46" s="30" t="s">
        <v>17</v>
      </c>
      <c r="H46" s="30" t="s">
        <v>84</v>
      </c>
      <c r="I46" s="31" t="s">
        <v>88</v>
      </c>
      <c r="J46" s="20">
        <v>434177000</v>
      </c>
      <c r="K46" s="20"/>
      <c r="L46" s="581">
        <f t="shared" si="0"/>
        <v>434177000</v>
      </c>
    </row>
    <row r="47" spans="1:12" ht="47.25" x14ac:dyDescent="0.2">
      <c r="A47" s="24" t="s">
        <v>86</v>
      </c>
      <c r="B47" s="24" t="s">
        <v>81</v>
      </c>
      <c r="C47" s="24" t="s">
        <v>22</v>
      </c>
      <c r="D47" s="24" t="s">
        <v>1005</v>
      </c>
      <c r="E47" s="24" t="s">
        <v>87</v>
      </c>
      <c r="F47" s="24" t="s">
        <v>29</v>
      </c>
      <c r="G47" s="30" t="s">
        <v>17</v>
      </c>
      <c r="H47" s="30" t="s">
        <v>84</v>
      </c>
      <c r="I47" s="31" t="s">
        <v>89</v>
      </c>
      <c r="J47" s="20">
        <v>41403000</v>
      </c>
      <c r="K47" s="20"/>
      <c r="L47" s="581">
        <f t="shared" si="0"/>
        <v>41403000</v>
      </c>
    </row>
    <row r="48" spans="1:12" ht="56.25" customHeight="1" x14ac:dyDescent="0.2">
      <c r="A48" s="24" t="s">
        <v>86</v>
      </c>
      <c r="B48" s="24" t="s">
        <v>81</v>
      </c>
      <c r="C48" s="24" t="s">
        <v>22</v>
      </c>
      <c r="D48" s="24" t="s">
        <v>1005</v>
      </c>
      <c r="E48" s="24" t="s">
        <v>2964</v>
      </c>
      <c r="F48" s="24" t="s">
        <v>29</v>
      </c>
      <c r="G48" s="30" t="s">
        <v>17</v>
      </c>
      <c r="H48" s="30" t="s">
        <v>84</v>
      </c>
      <c r="I48" s="31" t="s">
        <v>91</v>
      </c>
      <c r="J48" s="20">
        <v>62418000</v>
      </c>
      <c r="K48" s="20"/>
      <c r="L48" s="581">
        <f t="shared" si="0"/>
        <v>62418000</v>
      </c>
    </row>
    <row r="49" spans="1:12" ht="66" customHeight="1" x14ac:dyDescent="0.2">
      <c r="A49" s="24" t="s">
        <v>86</v>
      </c>
      <c r="B49" s="24" t="s">
        <v>81</v>
      </c>
      <c r="C49" s="24" t="s">
        <v>22</v>
      </c>
      <c r="D49" s="24" t="s">
        <v>3302</v>
      </c>
      <c r="E49" s="24" t="s">
        <v>99</v>
      </c>
      <c r="F49" s="24" t="s">
        <v>29</v>
      </c>
      <c r="G49" s="30" t="s">
        <v>3303</v>
      </c>
      <c r="H49" s="30" t="s">
        <v>84</v>
      </c>
      <c r="I49" s="31" t="s">
        <v>3304</v>
      </c>
      <c r="J49" s="20">
        <v>7092545</v>
      </c>
      <c r="K49" s="20"/>
      <c r="L49" s="581">
        <f t="shared" si="0"/>
        <v>7092545</v>
      </c>
    </row>
    <row r="50" spans="1:12" ht="45.75" customHeight="1" x14ac:dyDescent="0.2">
      <c r="A50" s="21" t="s">
        <v>14</v>
      </c>
      <c r="B50" s="21" t="s">
        <v>81</v>
      </c>
      <c r="C50" s="21" t="s">
        <v>22</v>
      </c>
      <c r="D50" s="21" t="s">
        <v>2965</v>
      </c>
      <c r="E50" s="21" t="s">
        <v>14</v>
      </c>
      <c r="F50" s="21" t="s">
        <v>16</v>
      </c>
      <c r="G50" s="28" t="s">
        <v>17</v>
      </c>
      <c r="H50" s="28" t="s">
        <v>84</v>
      </c>
      <c r="I50" s="29" t="s">
        <v>92</v>
      </c>
      <c r="J50" s="23">
        <v>110177735.5</v>
      </c>
      <c r="K50" s="23">
        <f>SUM(K51:K72)</f>
        <v>3301569</v>
      </c>
      <c r="L50" s="16">
        <f t="shared" si="0"/>
        <v>113479304.5</v>
      </c>
    </row>
    <row r="51" spans="1:12" ht="33.75" customHeight="1" x14ac:dyDescent="0.2">
      <c r="A51" s="24" t="s">
        <v>38</v>
      </c>
      <c r="B51" s="24" t="s">
        <v>81</v>
      </c>
      <c r="C51" s="24" t="s">
        <v>22</v>
      </c>
      <c r="D51" s="24" t="s">
        <v>2965</v>
      </c>
      <c r="E51" s="24" t="s">
        <v>95</v>
      </c>
      <c r="F51" s="24" t="s">
        <v>29</v>
      </c>
      <c r="G51" s="30" t="s">
        <v>17</v>
      </c>
      <c r="H51" s="30" t="s">
        <v>84</v>
      </c>
      <c r="I51" s="31" t="s">
        <v>96</v>
      </c>
      <c r="J51" s="20">
        <v>20003550</v>
      </c>
      <c r="K51" s="20"/>
      <c r="L51" s="581">
        <f>SUM(J51:K51)</f>
        <v>20003550</v>
      </c>
    </row>
    <row r="52" spans="1:12" ht="48" customHeight="1" x14ac:dyDescent="0.2">
      <c r="A52" s="24" t="s">
        <v>38</v>
      </c>
      <c r="B52" s="24" t="s">
        <v>81</v>
      </c>
      <c r="C52" s="24" t="s">
        <v>22</v>
      </c>
      <c r="D52" s="24" t="s">
        <v>2965</v>
      </c>
      <c r="E52" s="24" t="s">
        <v>95</v>
      </c>
      <c r="F52" s="24" t="s">
        <v>29</v>
      </c>
      <c r="G52" s="30" t="s">
        <v>17</v>
      </c>
      <c r="H52" s="30" t="s">
        <v>84</v>
      </c>
      <c r="I52" s="31" t="s">
        <v>3219</v>
      </c>
      <c r="J52" s="20">
        <v>25593000</v>
      </c>
      <c r="K52" s="20"/>
      <c r="L52" s="581">
        <f>SUM(J52:K52)</f>
        <v>25593000</v>
      </c>
    </row>
    <row r="53" spans="1:12" ht="38.25" customHeight="1" x14ac:dyDescent="0.2">
      <c r="A53" s="24" t="s">
        <v>94</v>
      </c>
      <c r="B53" s="24" t="s">
        <v>93</v>
      </c>
      <c r="C53" s="24" t="s">
        <v>22</v>
      </c>
      <c r="D53" s="24" t="s">
        <v>2965</v>
      </c>
      <c r="E53" s="24" t="s">
        <v>3081</v>
      </c>
      <c r="F53" s="24" t="s">
        <v>29</v>
      </c>
      <c r="G53" s="30" t="s">
        <v>17</v>
      </c>
      <c r="H53" s="30" t="s">
        <v>84</v>
      </c>
      <c r="I53" s="606" t="s">
        <v>3254</v>
      </c>
      <c r="J53" s="20">
        <v>4452899</v>
      </c>
      <c r="K53" s="20"/>
      <c r="L53" s="581">
        <f t="shared" si="0"/>
        <v>4452899</v>
      </c>
    </row>
    <row r="54" spans="1:12" ht="50.45" customHeight="1" x14ac:dyDescent="0.2">
      <c r="A54" s="24" t="s">
        <v>38</v>
      </c>
      <c r="B54" s="24" t="s">
        <v>81</v>
      </c>
      <c r="C54" s="24" t="s">
        <v>22</v>
      </c>
      <c r="D54" s="24" t="s">
        <v>2965</v>
      </c>
      <c r="E54" s="24" t="s">
        <v>3081</v>
      </c>
      <c r="F54" s="24" t="s">
        <v>29</v>
      </c>
      <c r="G54" s="30" t="s">
        <v>17</v>
      </c>
      <c r="H54" s="30" t="s">
        <v>84</v>
      </c>
      <c r="I54" s="720" t="s">
        <v>409</v>
      </c>
      <c r="J54" s="20">
        <v>4578000</v>
      </c>
      <c r="K54" s="20"/>
      <c r="L54" s="581">
        <f t="shared" si="0"/>
        <v>4578000</v>
      </c>
    </row>
    <row r="55" spans="1:12" ht="129" customHeight="1" x14ac:dyDescent="0.25">
      <c r="A55" s="24" t="s">
        <v>38</v>
      </c>
      <c r="B55" s="24" t="s">
        <v>81</v>
      </c>
      <c r="C55" s="24" t="s">
        <v>22</v>
      </c>
      <c r="D55" s="24" t="s">
        <v>2965</v>
      </c>
      <c r="E55" s="24" t="s">
        <v>3389</v>
      </c>
      <c r="F55" s="24" t="s">
        <v>29</v>
      </c>
      <c r="G55" s="30" t="s">
        <v>17</v>
      </c>
      <c r="H55" s="30" t="s">
        <v>84</v>
      </c>
      <c r="I55" s="721" t="s">
        <v>3104</v>
      </c>
      <c r="J55" s="20">
        <v>5302790</v>
      </c>
      <c r="K55" s="20"/>
      <c r="L55" s="581">
        <f t="shared" si="0"/>
        <v>5302790</v>
      </c>
    </row>
    <row r="56" spans="1:12" ht="39.75" customHeight="1" x14ac:dyDescent="0.2">
      <c r="A56" s="24" t="s">
        <v>98</v>
      </c>
      <c r="B56" s="24" t="s">
        <v>81</v>
      </c>
      <c r="C56" s="24" t="s">
        <v>22</v>
      </c>
      <c r="D56" s="24" t="s">
        <v>3447</v>
      </c>
      <c r="E56" s="24" t="s">
        <v>3464</v>
      </c>
      <c r="F56" s="24" t="s">
        <v>29</v>
      </c>
      <c r="G56" s="30" t="s">
        <v>17</v>
      </c>
      <c r="H56" s="30" t="s">
        <v>84</v>
      </c>
      <c r="I56" s="747" t="s">
        <v>3118</v>
      </c>
      <c r="J56" s="20">
        <v>130723</v>
      </c>
      <c r="K56" s="20"/>
      <c r="L56" s="581">
        <f t="shared" si="0"/>
        <v>130723</v>
      </c>
    </row>
    <row r="57" spans="1:12" ht="50.45" customHeight="1" x14ac:dyDescent="0.2">
      <c r="A57" s="24" t="s">
        <v>38</v>
      </c>
      <c r="B57" s="24" t="s">
        <v>81</v>
      </c>
      <c r="C57" s="24" t="s">
        <v>22</v>
      </c>
      <c r="D57" s="24" t="s">
        <v>3447</v>
      </c>
      <c r="E57" s="24" t="s">
        <v>3448</v>
      </c>
      <c r="F57" s="24" t="s">
        <v>29</v>
      </c>
      <c r="G57" s="30" t="s">
        <v>17</v>
      </c>
      <c r="H57" s="30" t="s">
        <v>84</v>
      </c>
      <c r="I57" s="744" t="s">
        <v>3449</v>
      </c>
      <c r="J57" s="20">
        <v>1250933</v>
      </c>
      <c r="K57" s="20"/>
      <c r="L57" s="581">
        <f t="shared" si="0"/>
        <v>1250933</v>
      </c>
    </row>
    <row r="58" spans="1:12" ht="96.6" customHeight="1" x14ac:dyDescent="0.2">
      <c r="A58" s="24" t="s">
        <v>38</v>
      </c>
      <c r="B58" s="24" t="s">
        <v>81</v>
      </c>
      <c r="C58" s="24" t="s">
        <v>22</v>
      </c>
      <c r="D58" s="24" t="s">
        <v>2966</v>
      </c>
      <c r="E58" s="24" t="s">
        <v>99</v>
      </c>
      <c r="F58" s="24" t="s">
        <v>29</v>
      </c>
      <c r="G58" s="30" t="s">
        <v>3390</v>
      </c>
      <c r="H58" s="30" t="s">
        <v>84</v>
      </c>
      <c r="I58" s="722" t="s">
        <v>3391</v>
      </c>
      <c r="J58" s="20">
        <v>82532</v>
      </c>
      <c r="K58" s="20"/>
      <c r="L58" s="581">
        <f t="shared" si="0"/>
        <v>82532</v>
      </c>
    </row>
    <row r="59" spans="1:12" ht="81" customHeight="1" x14ac:dyDescent="0.2">
      <c r="A59" s="24" t="s">
        <v>38</v>
      </c>
      <c r="B59" s="24" t="s">
        <v>81</v>
      </c>
      <c r="C59" s="24" t="s">
        <v>22</v>
      </c>
      <c r="D59" s="24" t="s">
        <v>2966</v>
      </c>
      <c r="E59" s="24" t="s">
        <v>99</v>
      </c>
      <c r="F59" s="24" t="s">
        <v>29</v>
      </c>
      <c r="G59" s="30" t="s">
        <v>3450</v>
      </c>
      <c r="H59" s="30" t="s">
        <v>84</v>
      </c>
      <c r="I59" s="729" t="s">
        <v>3451</v>
      </c>
      <c r="J59" s="20">
        <v>200000</v>
      </c>
      <c r="K59" s="20">
        <v>-114577</v>
      </c>
      <c r="L59" s="581">
        <f t="shared" si="0"/>
        <v>85423</v>
      </c>
    </row>
    <row r="60" spans="1:12" ht="47.25" customHeight="1" x14ac:dyDescent="0.2">
      <c r="A60" s="24" t="s">
        <v>98</v>
      </c>
      <c r="B60" s="24" t="s">
        <v>81</v>
      </c>
      <c r="C60" s="24" t="s">
        <v>22</v>
      </c>
      <c r="D60" s="24" t="s">
        <v>2966</v>
      </c>
      <c r="E60" s="24" t="s">
        <v>99</v>
      </c>
      <c r="F60" s="24" t="s">
        <v>29</v>
      </c>
      <c r="G60" s="30" t="s">
        <v>3405</v>
      </c>
      <c r="H60" s="30" t="s">
        <v>84</v>
      </c>
      <c r="I60" s="732" t="s">
        <v>3406</v>
      </c>
      <c r="J60" s="20">
        <v>3171690</v>
      </c>
      <c r="K60" s="20">
        <v>-157590</v>
      </c>
      <c r="L60" s="581">
        <f t="shared" si="0"/>
        <v>3014100</v>
      </c>
    </row>
    <row r="61" spans="1:12" ht="48" customHeight="1" x14ac:dyDescent="0.2">
      <c r="A61" s="24" t="s">
        <v>98</v>
      </c>
      <c r="B61" s="24" t="s">
        <v>81</v>
      </c>
      <c r="C61" s="24" t="s">
        <v>22</v>
      </c>
      <c r="D61" s="24" t="s">
        <v>2966</v>
      </c>
      <c r="E61" s="24" t="s">
        <v>99</v>
      </c>
      <c r="F61" s="24" t="s">
        <v>29</v>
      </c>
      <c r="G61" s="30" t="s">
        <v>3078</v>
      </c>
      <c r="H61" s="30" t="s">
        <v>84</v>
      </c>
      <c r="I61" s="31" t="s">
        <v>100</v>
      </c>
      <c r="J61" s="723">
        <v>2166960</v>
      </c>
      <c r="K61" s="723"/>
      <c r="L61" s="581">
        <f t="shared" si="0"/>
        <v>2166960</v>
      </c>
    </row>
    <row r="62" spans="1:12" ht="39.6" customHeight="1" x14ac:dyDescent="0.2">
      <c r="A62" s="24" t="s">
        <v>98</v>
      </c>
      <c r="B62" s="24" t="s">
        <v>81</v>
      </c>
      <c r="C62" s="24" t="s">
        <v>22</v>
      </c>
      <c r="D62" s="24" t="s">
        <v>2966</v>
      </c>
      <c r="E62" s="24" t="s">
        <v>99</v>
      </c>
      <c r="F62" s="24" t="s">
        <v>29</v>
      </c>
      <c r="G62" s="30" t="s">
        <v>3452</v>
      </c>
      <c r="H62" s="30" t="s">
        <v>84</v>
      </c>
      <c r="I62" s="729" t="s">
        <v>3453</v>
      </c>
      <c r="J62" s="20">
        <v>133036.5</v>
      </c>
      <c r="K62" s="20"/>
      <c r="L62" s="581">
        <f t="shared" si="0"/>
        <v>133036.5</v>
      </c>
    </row>
    <row r="63" spans="1:12" ht="48" customHeight="1" x14ac:dyDescent="0.2">
      <c r="A63" s="24" t="s">
        <v>98</v>
      </c>
      <c r="B63" s="24" t="s">
        <v>81</v>
      </c>
      <c r="C63" s="24" t="s">
        <v>22</v>
      </c>
      <c r="D63" s="24" t="s">
        <v>2966</v>
      </c>
      <c r="E63" s="24" t="s">
        <v>99</v>
      </c>
      <c r="F63" s="24" t="s">
        <v>29</v>
      </c>
      <c r="G63" s="30" t="s">
        <v>3418</v>
      </c>
      <c r="H63" s="30" t="s">
        <v>84</v>
      </c>
      <c r="I63" s="736" t="s">
        <v>3417</v>
      </c>
      <c r="J63" s="20">
        <v>1509822</v>
      </c>
      <c r="K63" s="20"/>
      <c r="L63" s="581">
        <f t="shared" si="0"/>
        <v>1509822</v>
      </c>
    </row>
    <row r="64" spans="1:12" ht="63.6" customHeight="1" x14ac:dyDescent="0.2">
      <c r="A64" s="24" t="s">
        <v>38</v>
      </c>
      <c r="B64" s="24" t="s">
        <v>81</v>
      </c>
      <c r="C64" s="24" t="s">
        <v>22</v>
      </c>
      <c r="D64" s="24" t="s">
        <v>2966</v>
      </c>
      <c r="E64" s="24" t="s">
        <v>99</v>
      </c>
      <c r="F64" s="24" t="s">
        <v>29</v>
      </c>
      <c r="G64" s="30" t="s">
        <v>3392</v>
      </c>
      <c r="H64" s="30" t="s">
        <v>84</v>
      </c>
      <c r="I64" s="724" t="s">
        <v>3393</v>
      </c>
      <c r="J64" s="20">
        <v>14200365</v>
      </c>
      <c r="K64" s="719"/>
      <c r="L64" s="581">
        <f t="shared" si="0"/>
        <v>14200365</v>
      </c>
    </row>
    <row r="65" spans="1:12" ht="47.45" customHeight="1" x14ac:dyDescent="0.2">
      <c r="A65" s="24" t="s">
        <v>38</v>
      </c>
      <c r="B65" s="24" t="s">
        <v>81</v>
      </c>
      <c r="C65" s="24" t="s">
        <v>22</v>
      </c>
      <c r="D65" s="24" t="s">
        <v>2966</v>
      </c>
      <c r="E65" s="24" t="s">
        <v>99</v>
      </c>
      <c r="F65" s="24" t="s">
        <v>29</v>
      </c>
      <c r="G65" s="30" t="s">
        <v>3394</v>
      </c>
      <c r="H65" s="30" t="s">
        <v>84</v>
      </c>
      <c r="I65" s="725" t="s">
        <v>3395</v>
      </c>
      <c r="J65" s="20">
        <v>568352</v>
      </c>
      <c r="K65" s="20"/>
      <c r="L65" s="581">
        <f t="shared" si="0"/>
        <v>568352</v>
      </c>
    </row>
    <row r="66" spans="1:12" ht="47.45" customHeight="1" x14ac:dyDescent="0.25">
      <c r="A66" s="24" t="s">
        <v>38</v>
      </c>
      <c r="B66" s="24" t="s">
        <v>81</v>
      </c>
      <c r="C66" s="24" t="s">
        <v>22</v>
      </c>
      <c r="D66" s="24" t="s">
        <v>2966</v>
      </c>
      <c r="E66" s="24" t="s">
        <v>99</v>
      </c>
      <c r="F66" s="24" t="s">
        <v>29</v>
      </c>
      <c r="G66" s="30" t="s">
        <v>3396</v>
      </c>
      <c r="H66" s="30" t="s">
        <v>84</v>
      </c>
      <c r="I66" s="726" t="s">
        <v>3205</v>
      </c>
      <c r="J66" s="20">
        <v>257953</v>
      </c>
      <c r="K66" s="20"/>
      <c r="L66" s="581">
        <f t="shared" si="0"/>
        <v>257953</v>
      </c>
    </row>
    <row r="67" spans="1:12" ht="64.5" customHeight="1" x14ac:dyDescent="0.2">
      <c r="A67" s="24" t="s">
        <v>101</v>
      </c>
      <c r="B67" s="24" t="s">
        <v>81</v>
      </c>
      <c r="C67" s="24" t="s">
        <v>22</v>
      </c>
      <c r="D67" s="24" t="s">
        <v>2966</v>
      </c>
      <c r="E67" s="24" t="s">
        <v>99</v>
      </c>
      <c r="F67" s="24" t="s">
        <v>29</v>
      </c>
      <c r="G67" s="30" t="s">
        <v>3079</v>
      </c>
      <c r="H67" s="30" t="s">
        <v>84</v>
      </c>
      <c r="I67" s="34" t="s">
        <v>102</v>
      </c>
      <c r="J67" s="20">
        <v>739530</v>
      </c>
      <c r="K67" s="20"/>
      <c r="L67" s="581">
        <f t="shared" si="0"/>
        <v>739530</v>
      </c>
    </row>
    <row r="68" spans="1:12" ht="64.5" customHeight="1" x14ac:dyDescent="0.2">
      <c r="A68" s="24" t="s">
        <v>101</v>
      </c>
      <c r="B68" s="24" t="s">
        <v>81</v>
      </c>
      <c r="C68" s="24" t="s">
        <v>22</v>
      </c>
      <c r="D68" s="24" t="s">
        <v>2966</v>
      </c>
      <c r="E68" s="24" t="s">
        <v>99</v>
      </c>
      <c r="F68" s="24" t="s">
        <v>29</v>
      </c>
      <c r="G68" s="30" t="s">
        <v>3080</v>
      </c>
      <c r="H68" s="30" t="s">
        <v>84</v>
      </c>
      <c r="I68" s="34" t="s">
        <v>104</v>
      </c>
      <c r="J68" s="20">
        <v>151581</v>
      </c>
      <c r="K68" s="20"/>
      <c r="L68" s="581">
        <f>SUM(J68:K68)</f>
        <v>151581</v>
      </c>
    </row>
    <row r="69" spans="1:12" ht="51" customHeight="1" x14ac:dyDescent="0.2">
      <c r="A69" s="593" t="s">
        <v>38</v>
      </c>
      <c r="B69" s="24" t="s">
        <v>81</v>
      </c>
      <c r="C69" s="24" t="s">
        <v>22</v>
      </c>
      <c r="D69" s="24" t="s">
        <v>2966</v>
      </c>
      <c r="E69" s="24" t="s">
        <v>99</v>
      </c>
      <c r="F69" s="24" t="s">
        <v>29</v>
      </c>
      <c r="G69" s="605" t="s">
        <v>3186</v>
      </c>
      <c r="H69" s="30" t="s">
        <v>84</v>
      </c>
      <c r="I69" s="31" t="s">
        <v>2896</v>
      </c>
      <c r="J69" s="20">
        <v>59000</v>
      </c>
      <c r="K69" s="20"/>
      <c r="L69" s="581">
        <f t="shared" si="0"/>
        <v>59000</v>
      </c>
    </row>
    <row r="70" spans="1:12" ht="63" customHeight="1" x14ac:dyDescent="0.2">
      <c r="A70" s="593" t="s">
        <v>101</v>
      </c>
      <c r="B70" s="24" t="s">
        <v>81</v>
      </c>
      <c r="C70" s="24" t="s">
        <v>22</v>
      </c>
      <c r="D70" s="24" t="s">
        <v>2966</v>
      </c>
      <c r="E70" s="24" t="s">
        <v>99</v>
      </c>
      <c r="F70" s="24" t="s">
        <v>29</v>
      </c>
      <c r="G70" s="605" t="s">
        <v>3240</v>
      </c>
      <c r="H70" s="30" t="s">
        <v>84</v>
      </c>
      <c r="I70" s="31" t="s">
        <v>3241</v>
      </c>
      <c r="J70" s="20">
        <v>7434919</v>
      </c>
      <c r="K70" s="20"/>
      <c r="L70" s="581">
        <f t="shared" si="0"/>
        <v>7434919</v>
      </c>
    </row>
    <row r="71" spans="1:12" ht="51.75" customHeight="1" x14ac:dyDescent="0.2">
      <c r="A71" s="593" t="s">
        <v>98</v>
      </c>
      <c r="B71" s="24" t="s">
        <v>81</v>
      </c>
      <c r="C71" s="24" t="s">
        <v>22</v>
      </c>
      <c r="D71" s="24" t="s">
        <v>2966</v>
      </c>
      <c r="E71" s="24" t="s">
        <v>99</v>
      </c>
      <c r="F71" s="24" t="s">
        <v>29</v>
      </c>
      <c r="G71" s="605" t="s">
        <v>3244</v>
      </c>
      <c r="H71" s="30" t="s">
        <v>84</v>
      </c>
      <c r="I71" s="31" t="s">
        <v>3245</v>
      </c>
      <c r="J71" s="20">
        <v>17390100</v>
      </c>
      <c r="K71" s="20">
        <v>3573736</v>
      </c>
      <c r="L71" s="581">
        <f>SUM(J71:K71)</f>
        <v>20963836</v>
      </c>
    </row>
    <row r="72" spans="1:12" ht="51.75" customHeight="1" x14ac:dyDescent="0.2">
      <c r="A72" s="593" t="s">
        <v>98</v>
      </c>
      <c r="B72" s="24" t="s">
        <v>81</v>
      </c>
      <c r="C72" s="24" t="s">
        <v>22</v>
      </c>
      <c r="D72" s="24" t="s">
        <v>2966</v>
      </c>
      <c r="E72" s="24" t="s">
        <v>99</v>
      </c>
      <c r="F72" s="24" t="s">
        <v>29</v>
      </c>
      <c r="G72" s="605" t="s">
        <v>3407</v>
      </c>
      <c r="H72" s="30" t="s">
        <v>84</v>
      </c>
      <c r="I72" s="733" t="s">
        <v>3408</v>
      </c>
      <c r="J72" s="20">
        <v>800000</v>
      </c>
      <c r="K72" s="20"/>
      <c r="L72" s="581">
        <f t="shared" si="0"/>
        <v>800000</v>
      </c>
    </row>
    <row r="73" spans="1:12" s="35" customFormat="1" ht="33" customHeight="1" x14ac:dyDescent="0.25">
      <c r="A73" s="21" t="s">
        <v>14</v>
      </c>
      <c r="B73" s="21" t="s">
        <v>81</v>
      </c>
      <c r="C73" s="21" t="s">
        <v>22</v>
      </c>
      <c r="D73" s="21" t="s">
        <v>2972</v>
      </c>
      <c r="E73" s="21" t="s">
        <v>14</v>
      </c>
      <c r="F73" s="21" t="s">
        <v>16</v>
      </c>
      <c r="G73" s="28" t="s">
        <v>17</v>
      </c>
      <c r="H73" s="28" t="s">
        <v>84</v>
      </c>
      <c r="I73" s="29" t="s">
        <v>105</v>
      </c>
      <c r="J73" s="23">
        <v>1071426364</v>
      </c>
      <c r="K73" s="23">
        <f>SUM(K74:K113)</f>
        <v>1248043</v>
      </c>
      <c r="L73" s="23">
        <f>J73+K73</f>
        <v>1072674407</v>
      </c>
    </row>
    <row r="74" spans="1:12" s="681" customFormat="1" ht="47.25" customHeight="1" x14ac:dyDescent="0.25">
      <c r="A74" s="24" t="s">
        <v>106</v>
      </c>
      <c r="B74" s="24" t="s">
        <v>81</v>
      </c>
      <c r="C74" s="24" t="s">
        <v>22</v>
      </c>
      <c r="D74" s="24" t="s">
        <v>2972</v>
      </c>
      <c r="E74" s="24" t="s">
        <v>3305</v>
      </c>
      <c r="F74" s="24" t="s">
        <v>29</v>
      </c>
      <c r="G74" s="30" t="s">
        <v>17</v>
      </c>
      <c r="H74" s="30" t="s">
        <v>84</v>
      </c>
      <c r="I74" s="31" t="s">
        <v>111</v>
      </c>
      <c r="J74" s="20">
        <v>25931000</v>
      </c>
      <c r="K74" s="20"/>
      <c r="L74" s="20">
        <f>J74+K74</f>
        <v>25931000</v>
      </c>
    </row>
    <row r="75" spans="1:12" s="580" customFormat="1" ht="69" customHeight="1" x14ac:dyDescent="0.25">
      <c r="A75" s="24" t="s">
        <v>94</v>
      </c>
      <c r="B75" s="24" t="s">
        <v>81</v>
      </c>
      <c r="C75" s="24" t="s">
        <v>22</v>
      </c>
      <c r="D75" s="24" t="s">
        <v>2972</v>
      </c>
      <c r="E75" s="24" t="s">
        <v>112</v>
      </c>
      <c r="F75" s="24" t="s">
        <v>29</v>
      </c>
      <c r="G75" s="30" t="s">
        <v>3057</v>
      </c>
      <c r="H75" s="30" t="s">
        <v>84</v>
      </c>
      <c r="I75" s="19" t="s">
        <v>115</v>
      </c>
      <c r="J75" s="20">
        <v>15000</v>
      </c>
      <c r="K75" s="20"/>
      <c r="L75" s="581">
        <f>J75+K75</f>
        <v>15000</v>
      </c>
    </row>
    <row r="76" spans="1:12" s="580" customFormat="1" ht="53.25" customHeight="1" x14ac:dyDescent="0.25">
      <c r="A76" s="24" t="s">
        <v>94</v>
      </c>
      <c r="B76" s="24" t="s">
        <v>81</v>
      </c>
      <c r="C76" s="24" t="s">
        <v>22</v>
      </c>
      <c r="D76" s="24" t="s">
        <v>2972</v>
      </c>
      <c r="E76" s="24" t="s">
        <v>112</v>
      </c>
      <c r="F76" s="24" t="s">
        <v>29</v>
      </c>
      <c r="G76" s="30" t="s">
        <v>3058</v>
      </c>
      <c r="H76" s="30" t="s">
        <v>84</v>
      </c>
      <c r="I76" s="19" t="s">
        <v>3178</v>
      </c>
      <c r="J76" s="20">
        <v>661007</v>
      </c>
      <c r="K76" s="20">
        <v>6415</v>
      </c>
      <c r="L76" s="581">
        <f t="shared" ref="L76:L106" si="1">SUM(J76:K76)</f>
        <v>667422</v>
      </c>
    </row>
    <row r="77" spans="1:12" s="580" customFormat="1" ht="84" customHeight="1" x14ac:dyDescent="0.25">
      <c r="A77" s="24" t="s">
        <v>106</v>
      </c>
      <c r="B77" s="24" t="s">
        <v>81</v>
      </c>
      <c r="C77" s="24" t="s">
        <v>22</v>
      </c>
      <c r="D77" s="24" t="s">
        <v>2972</v>
      </c>
      <c r="E77" s="24" t="s">
        <v>112</v>
      </c>
      <c r="F77" s="24" t="s">
        <v>29</v>
      </c>
      <c r="G77" s="30" t="s">
        <v>3059</v>
      </c>
      <c r="H77" s="30" t="s">
        <v>84</v>
      </c>
      <c r="I77" s="19" t="s">
        <v>116</v>
      </c>
      <c r="J77" s="20">
        <v>68652000</v>
      </c>
      <c r="K77" s="20"/>
      <c r="L77" s="581">
        <f t="shared" si="1"/>
        <v>68652000</v>
      </c>
    </row>
    <row r="78" spans="1:12" s="580" customFormat="1" ht="84" customHeight="1" x14ac:dyDescent="0.25">
      <c r="A78" s="24" t="s">
        <v>101</v>
      </c>
      <c r="B78" s="24" t="s">
        <v>81</v>
      </c>
      <c r="C78" s="24" t="s">
        <v>22</v>
      </c>
      <c r="D78" s="24" t="s">
        <v>2972</v>
      </c>
      <c r="E78" s="24" t="s">
        <v>112</v>
      </c>
      <c r="F78" s="24" t="s">
        <v>29</v>
      </c>
      <c r="G78" s="30" t="s">
        <v>3075</v>
      </c>
      <c r="H78" s="30" t="s">
        <v>84</v>
      </c>
      <c r="I78" s="19" t="s">
        <v>133</v>
      </c>
      <c r="J78" s="20">
        <v>4407000</v>
      </c>
      <c r="K78" s="20"/>
      <c r="L78" s="581">
        <f t="shared" si="1"/>
        <v>4407000</v>
      </c>
    </row>
    <row r="79" spans="1:12" s="580" customFormat="1" ht="51" customHeight="1" x14ac:dyDescent="0.25">
      <c r="A79" s="24" t="s">
        <v>101</v>
      </c>
      <c r="B79" s="24" t="s">
        <v>81</v>
      </c>
      <c r="C79" s="24" t="s">
        <v>22</v>
      </c>
      <c r="D79" s="24" t="s">
        <v>2972</v>
      </c>
      <c r="E79" s="24" t="s">
        <v>112</v>
      </c>
      <c r="F79" s="24" t="s">
        <v>29</v>
      </c>
      <c r="G79" s="30" t="s">
        <v>3072</v>
      </c>
      <c r="H79" s="30" t="s">
        <v>84</v>
      </c>
      <c r="I79" s="19" t="s">
        <v>130</v>
      </c>
      <c r="J79" s="20">
        <v>191160</v>
      </c>
      <c r="K79" s="20">
        <v>76171</v>
      </c>
      <c r="L79" s="581">
        <f t="shared" si="1"/>
        <v>267331</v>
      </c>
    </row>
    <row r="80" spans="1:12" s="580" customFormat="1" ht="67.5" customHeight="1" x14ac:dyDescent="0.25">
      <c r="A80" s="24" t="s">
        <v>101</v>
      </c>
      <c r="B80" s="24" t="s">
        <v>81</v>
      </c>
      <c r="C80" s="24" t="s">
        <v>22</v>
      </c>
      <c r="D80" s="24" t="s">
        <v>2972</v>
      </c>
      <c r="E80" s="24" t="s">
        <v>112</v>
      </c>
      <c r="F80" s="24" t="s">
        <v>29</v>
      </c>
      <c r="G80" s="30" t="s">
        <v>3068</v>
      </c>
      <c r="H80" s="30" t="s">
        <v>84</v>
      </c>
      <c r="I80" s="19" t="s">
        <v>126</v>
      </c>
      <c r="J80" s="20">
        <v>1231261</v>
      </c>
      <c r="K80" s="20"/>
      <c r="L80" s="581">
        <f t="shared" si="1"/>
        <v>1231261</v>
      </c>
    </row>
    <row r="81" spans="1:12" s="580" customFormat="1" ht="83.25" customHeight="1" x14ac:dyDescent="0.25">
      <c r="A81" s="24" t="s">
        <v>101</v>
      </c>
      <c r="B81" s="24" t="s">
        <v>81</v>
      </c>
      <c r="C81" s="24" t="s">
        <v>22</v>
      </c>
      <c r="D81" s="24" t="s">
        <v>2972</v>
      </c>
      <c r="E81" s="24" t="s">
        <v>112</v>
      </c>
      <c r="F81" s="24" t="s">
        <v>29</v>
      </c>
      <c r="G81" s="30" t="s">
        <v>3070</v>
      </c>
      <c r="H81" s="30" t="s">
        <v>84</v>
      </c>
      <c r="I81" s="19" t="s">
        <v>128</v>
      </c>
      <c r="J81" s="20">
        <v>19369359</v>
      </c>
      <c r="K81" s="20"/>
      <c r="L81" s="581">
        <f t="shared" si="1"/>
        <v>19369359</v>
      </c>
    </row>
    <row r="82" spans="1:12" s="580" customFormat="1" ht="33" customHeight="1" x14ac:dyDescent="0.25">
      <c r="A82" s="24" t="s">
        <v>101</v>
      </c>
      <c r="B82" s="24" t="s">
        <v>81</v>
      </c>
      <c r="C82" s="24" t="s">
        <v>22</v>
      </c>
      <c r="D82" s="24" t="s">
        <v>2972</v>
      </c>
      <c r="E82" s="24" t="s">
        <v>112</v>
      </c>
      <c r="F82" s="24" t="s">
        <v>29</v>
      </c>
      <c r="G82" s="30" t="s">
        <v>3067</v>
      </c>
      <c r="H82" s="30" t="s">
        <v>84</v>
      </c>
      <c r="I82" s="19" t="s">
        <v>125</v>
      </c>
      <c r="J82" s="20">
        <v>2644908</v>
      </c>
      <c r="K82" s="20">
        <v>194092</v>
      </c>
      <c r="L82" s="581">
        <f t="shared" si="1"/>
        <v>2839000</v>
      </c>
    </row>
    <row r="83" spans="1:12" s="580" customFormat="1" ht="51.75" customHeight="1" x14ac:dyDescent="0.25">
      <c r="A83" s="24" t="s">
        <v>101</v>
      </c>
      <c r="B83" s="24" t="s">
        <v>81</v>
      </c>
      <c r="C83" s="24" t="s">
        <v>22</v>
      </c>
      <c r="D83" s="24" t="s">
        <v>2972</v>
      </c>
      <c r="E83" s="24" t="s">
        <v>112</v>
      </c>
      <c r="F83" s="24" t="s">
        <v>29</v>
      </c>
      <c r="G83" s="30" t="s">
        <v>3054</v>
      </c>
      <c r="H83" s="30" t="s">
        <v>84</v>
      </c>
      <c r="I83" s="19" t="s">
        <v>113</v>
      </c>
      <c r="J83" s="20">
        <v>220357406</v>
      </c>
      <c r="K83" s="20"/>
      <c r="L83" s="581">
        <f t="shared" si="1"/>
        <v>220357406</v>
      </c>
    </row>
    <row r="84" spans="1:12" s="580" customFormat="1" ht="49.5" customHeight="1" x14ac:dyDescent="0.25">
      <c r="A84" s="24" t="s">
        <v>101</v>
      </c>
      <c r="B84" s="24" t="s">
        <v>81</v>
      </c>
      <c r="C84" s="24" t="s">
        <v>22</v>
      </c>
      <c r="D84" s="24" t="s">
        <v>2972</v>
      </c>
      <c r="E84" s="24" t="s">
        <v>112</v>
      </c>
      <c r="F84" s="24" t="s">
        <v>29</v>
      </c>
      <c r="G84" s="30" t="s">
        <v>3069</v>
      </c>
      <c r="H84" s="30" t="s">
        <v>84</v>
      </c>
      <c r="I84" s="19" t="s">
        <v>127</v>
      </c>
      <c r="J84" s="20">
        <v>358629070</v>
      </c>
      <c r="K84" s="20"/>
      <c r="L84" s="581">
        <f t="shared" si="1"/>
        <v>358629070</v>
      </c>
    </row>
    <row r="85" spans="1:12" s="580" customFormat="1" ht="33" customHeight="1" x14ac:dyDescent="0.25">
      <c r="A85" s="24" t="s">
        <v>101</v>
      </c>
      <c r="B85" s="24" t="s">
        <v>81</v>
      </c>
      <c r="C85" s="24" t="s">
        <v>22</v>
      </c>
      <c r="D85" s="24" t="s">
        <v>2972</v>
      </c>
      <c r="E85" s="24" t="s">
        <v>112</v>
      </c>
      <c r="F85" s="24" t="s">
        <v>29</v>
      </c>
      <c r="G85" s="30" t="s">
        <v>3055</v>
      </c>
      <c r="H85" s="30" t="s">
        <v>84</v>
      </c>
      <c r="I85" s="19" t="s">
        <v>114</v>
      </c>
      <c r="J85" s="20">
        <v>23533580</v>
      </c>
      <c r="K85" s="20"/>
      <c r="L85" s="581">
        <f t="shared" si="1"/>
        <v>23533580</v>
      </c>
    </row>
    <row r="86" spans="1:12" s="580" customFormat="1" ht="63" customHeight="1" x14ac:dyDescent="0.25">
      <c r="A86" s="24" t="s">
        <v>101</v>
      </c>
      <c r="B86" s="24" t="s">
        <v>81</v>
      </c>
      <c r="C86" s="24" t="s">
        <v>22</v>
      </c>
      <c r="D86" s="24" t="s">
        <v>2972</v>
      </c>
      <c r="E86" s="24" t="s">
        <v>112</v>
      </c>
      <c r="F86" s="24" t="s">
        <v>29</v>
      </c>
      <c r="G86" s="30" t="s">
        <v>3073</v>
      </c>
      <c r="H86" s="30" t="s">
        <v>84</v>
      </c>
      <c r="I86" s="19" t="s">
        <v>132</v>
      </c>
      <c r="J86" s="20">
        <v>25660860</v>
      </c>
      <c r="K86" s="20">
        <v>-152418</v>
      </c>
      <c r="L86" s="581">
        <f t="shared" si="1"/>
        <v>25508442</v>
      </c>
    </row>
    <row r="87" spans="1:12" s="580" customFormat="1" ht="27" customHeight="1" x14ac:dyDescent="0.25">
      <c r="A87" s="24" t="s">
        <v>106</v>
      </c>
      <c r="B87" s="24" t="s">
        <v>81</v>
      </c>
      <c r="C87" s="24" t="s">
        <v>22</v>
      </c>
      <c r="D87" s="24" t="s">
        <v>2972</v>
      </c>
      <c r="E87" s="24" t="s">
        <v>112</v>
      </c>
      <c r="F87" s="24" t="s">
        <v>29</v>
      </c>
      <c r="G87" s="30" t="s">
        <v>3063</v>
      </c>
      <c r="H87" s="30" t="s">
        <v>84</v>
      </c>
      <c r="I87" s="19" t="s">
        <v>121</v>
      </c>
      <c r="J87" s="20">
        <v>20539000</v>
      </c>
      <c r="K87" s="20"/>
      <c r="L87" s="581">
        <f t="shared" si="1"/>
        <v>20539000</v>
      </c>
    </row>
    <row r="88" spans="1:12" s="580" customFormat="1" ht="114" customHeight="1" x14ac:dyDescent="0.25">
      <c r="A88" s="24" t="s">
        <v>106</v>
      </c>
      <c r="B88" s="24" t="s">
        <v>81</v>
      </c>
      <c r="C88" s="24" t="s">
        <v>22</v>
      </c>
      <c r="D88" s="24" t="s">
        <v>2972</v>
      </c>
      <c r="E88" s="24" t="s">
        <v>112</v>
      </c>
      <c r="F88" s="24" t="s">
        <v>29</v>
      </c>
      <c r="G88" s="30" t="s">
        <v>3071</v>
      </c>
      <c r="H88" s="30" t="s">
        <v>84</v>
      </c>
      <c r="I88" s="19" t="s">
        <v>129</v>
      </c>
      <c r="J88" s="20">
        <v>79237503</v>
      </c>
      <c r="K88" s="20"/>
      <c r="L88" s="581">
        <f t="shared" si="1"/>
        <v>79237503</v>
      </c>
    </row>
    <row r="89" spans="1:12" s="580" customFormat="1" ht="36.75" customHeight="1" x14ac:dyDescent="0.25">
      <c r="A89" s="24" t="s">
        <v>106</v>
      </c>
      <c r="B89" s="24" t="s">
        <v>81</v>
      </c>
      <c r="C89" s="24" t="s">
        <v>22</v>
      </c>
      <c r="D89" s="24" t="s">
        <v>2972</v>
      </c>
      <c r="E89" s="24" t="s">
        <v>112</v>
      </c>
      <c r="F89" s="24" t="s">
        <v>29</v>
      </c>
      <c r="G89" s="30" t="s">
        <v>3064</v>
      </c>
      <c r="H89" s="30" t="s">
        <v>84</v>
      </c>
      <c r="I89" s="19" t="s">
        <v>122</v>
      </c>
      <c r="J89" s="20">
        <v>4760700</v>
      </c>
      <c r="K89" s="20"/>
      <c r="L89" s="581">
        <f t="shared" si="1"/>
        <v>4760700</v>
      </c>
    </row>
    <row r="90" spans="1:12" s="580" customFormat="1" ht="54" customHeight="1" x14ac:dyDescent="0.25">
      <c r="A90" s="24" t="s">
        <v>106</v>
      </c>
      <c r="B90" s="24" t="s">
        <v>81</v>
      </c>
      <c r="C90" s="24" t="s">
        <v>22</v>
      </c>
      <c r="D90" s="24" t="s">
        <v>2972</v>
      </c>
      <c r="E90" s="24" t="s">
        <v>112</v>
      </c>
      <c r="F90" s="24" t="s">
        <v>29</v>
      </c>
      <c r="G90" s="30" t="s">
        <v>3065</v>
      </c>
      <c r="H90" s="30" t="s">
        <v>84</v>
      </c>
      <c r="I90" s="19" t="s">
        <v>123</v>
      </c>
      <c r="J90" s="20">
        <v>34700000</v>
      </c>
      <c r="K90" s="20"/>
      <c r="L90" s="581">
        <f t="shared" si="1"/>
        <v>34700000</v>
      </c>
    </row>
    <row r="91" spans="1:12" s="580" customFormat="1" ht="81.75" customHeight="1" x14ac:dyDescent="0.25">
      <c r="A91" s="24" t="s">
        <v>106</v>
      </c>
      <c r="B91" s="24" t="s">
        <v>81</v>
      </c>
      <c r="C91" s="24" t="s">
        <v>22</v>
      </c>
      <c r="D91" s="24" t="s">
        <v>2972</v>
      </c>
      <c r="E91" s="24" t="s">
        <v>112</v>
      </c>
      <c r="F91" s="24" t="s">
        <v>29</v>
      </c>
      <c r="G91" s="30" t="s">
        <v>3066</v>
      </c>
      <c r="H91" s="30" t="s">
        <v>84</v>
      </c>
      <c r="I91" s="19" t="s">
        <v>124</v>
      </c>
      <c r="J91" s="20">
        <v>38780000</v>
      </c>
      <c r="K91" s="20"/>
      <c r="L91" s="581">
        <f t="shared" si="1"/>
        <v>38780000</v>
      </c>
    </row>
    <row r="92" spans="1:12" s="580" customFormat="1" ht="81" customHeight="1" x14ac:dyDescent="0.25">
      <c r="A92" s="24" t="s">
        <v>38</v>
      </c>
      <c r="B92" s="24" t="s">
        <v>81</v>
      </c>
      <c r="C92" s="24" t="s">
        <v>22</v>
      </c>
      <c r="D92" s="24" t="s">
        <v>2972</v>
      </c>
      <c r="E92" s="24" t="s">
        <v>112</v>
      </c>
      <c r="F92" s="24" t="s">
        <v>29</v>
      </c>
      <c r="G92" s="30" t="s">
        <v>3077</v>
      </c>
      <c r="H92" s="30" t="s">
        <v>84</v>
      </c>
      <c r="I92" s="19" t="s">
        <v>135</v>
      </c>
      <c r="J92" s="20">
        <v>5900</v>
      </c>
      <c r="K92" s="20"/>
      <c r="L92" s="581">
        <f t="shared" si="1"/>
        <v>5900</v>
      </c>
    </row>
    <row r="93" spans="1:12" s="580" customFormat="1" ht="39.75" customHeight="1" x14ac:dyDescent="0.25">
      <c r="A93" s="24" t="s">
        <v>94</v>
      </c>
      <c r="B93" s="24" t="s">
        <v>81</v>
      </c>
      <c r="C93" s="24" t="s">
        <v>22</v>
      </c>
      <c r="D93" s="24" t="s">
        <v>2972</v>
      </c>
      <c r="E93" s="24" t="s">
        <v>112</v>
      </c>
      <c r="F93" s="24" t="s">
        <v>29</v>
      </c>
      <c r="G93" s="30" t="s">
        <v>3076</v>
      </c>
      <c r="H93" s="30" t="s">
        <v>84</v>
      </c>
      <c r="I93" s="19" t="s">
        <v>134</v>
      </c>
      <c r="J93" s="20">
        <v>688375</v>
      </c>
      <c r="K93" s="20"/>
      <c r="L93" s="581">
        <f t="shared" si="1"/>
        <v>688375</v>
      </c>
    </row>
    <row r="94" spans="1:12" s="580" customFormat="1" ht="51" customHeight="1" x14ac:dyDescent="0.25">
      <c r="A94" s="36">
        <v>950</v>
      </c>
      <c r="B94" s="37" t="s">
        <v>81</v>
      </c>
      <c r="C94" s="37" t="s">
        <v>22</v>
      </c>
      <c r="D94" s="37" t="s">
        <v>2972</v>
      </c>
      <c r="E94" s="37" t="s">
        <v>112</v>
      </c>
      <c r="F94" s="37" t="s">
        <v>29</v>
      </c>
      <c r="G94" s="37" t="s">
        <v>3056</v>
      </c>
      <c r="H94" s="37" t="s">
        <v>84</v>
      </c>
      <c r="I94" s="19" t="s">
        <v>117</v>
      </c>
      <c r="J94" s="20">
        <v>2286641</v>
      </c>
      <c r="K94" s="20">
        <v>20000</v>
      </c>
      <c r="L94" s="581">
        <f t="shared" si="1"/>
        <v>2306641</v>
      </c>
    </row>
    <row r="95" spans="1:12" s="580" customFormat="1" ht="55.5" customHeight="1" x14ac:dyDescent="0.25">
      <c r="A95" s="24" t="s">
        <v>106</v>
      </c>
      <c r="B95" s="24" t="s">
        <v>81</v>
      </c>
      <c r="C95" s="24" t="s">
        <v>22</v>
      </c>
      <c r="D95" s="24" t="s">
        <v>2972</v>
      </c>
      <c r="E95" s="24" t="s">
        <v>112</v>
      </c>
      <c r="F95" s="24" t="s">
        <v>29</v>
      </c>
      <c r="G95" s="30" t="s">
        <v>3060</v>
      </c>
      <c r="H95" s="30" t="s">
        <v>84</v>
      </c>
      <c r="I95" s="19" t="s">
        <v>118</v>
      </c>
      <c r="J95" s="20">
        <v>14996000</v>
      </c>
      <c r="K95" s="20"/>
      <c r="L95" s="581">
        <f t="shared" si="1"/>
        <v>14996000</v>
      </c>
    </row>
    <row r="96" spans="1:12" s="35" customFormat="1" ht="39.75" customHeight="1" x14ac:dyDescent="0.25">
      <c r="A96" s="24" t="s">
        <v>101</v>
      </c>
      <c r="B96" s="24" t="s">
        <v>81</v>
      </c>
      <c r="C96" s="24" t="s">
        <v>22</v>
      </c>
      <c r="D96" s="24" t="s">
        <v>2972</v>
      </c>
      <c r="E96" s="24" t="s">
        <v>112</v>
      </c>
      <c r="F96" s="24" t="s">
        <v>29</v>
      </c>
      <c r="G96" s="30" t="s">
        <v>3061</v>
      </c>
      <c r="H96" s="30" t="s">
        <v>84</v>
      </c>
      <c r="I96" s="19" t="s">
        <v>119</v>
      </c>
      <c r="J96" s="20">
        <v>3997994</v>
      </c>
      <c r="K96" s="20"/>
      <c r="L96" s="581">
        <f t="shared" si="1"/>
        <v>3997994</v>
      </c>
    </row>
    <row r="97" spans="1:12" s="35" customFormat="1" ht="52.5" customHeight="1" x14ac:dyDescent="0.25">
      <c r="A97" s="24" t="s">
        <v>38</v>
      </c>
      <c r="B97" s="24" t="s">
        <v>81</v>
      </c>
      <c r="C97" s="24" t="s">
        <v>22</v>
      </c>
      <c r="D97" s="24" t="s">
        <v>2972</v>
      </c>
      <c r="E97" s="24" t="s">
        <v>112</v>
      </c>
      <c r="F97" s="24" t="s">
        <v>29</v>
      </c>
      <c r="G97" s="30" t="s">
        <v>3062</v>
      </c>
      <c r="H97" s="30" t="s">
        <v>84</v>
      </c>
      <c r="I97" s="19" t="s">
        <v>120</v>
      </c>
      <c r="J97" s="20">
        <v>238585</v>
      </c>
      <c r="K97" s="20">
        <v>3900</v>
      </c>
      <c r="L97" s="581">
        <f t="shared" si="1"/>
        <v>242485</v>
      </c>
    </row>
    <row r="98" spans="1:12" s="35" customFormat="1" ht="52.5" customHeight="1" x14ac:dyDescent="0.25">
      <c r="A98" s="24" t="s">
        <v>101</v>
      </c>
      <c r="B98" s="24" t="s">
        <v>81</v>
      </c>
      <c r="C98" s="24" t="s">
        <v>22</v>
      </c>
      <c r="D98" s="24" t="s">
        <v>2972</v>
      </c>
      <c r="E98" s="24" t="s">
        <v>112</v>
      </c>
      <c r="F98" s="24" t="s">
        <v>29</v>
      </c>
      <c r="G98" s="30" t="s">
        <v>3074</v>
      </c>
      <c r="H98" s="30" t="s">
        <v>84</v>
      </c>
      <c r="I98" s="19" t="s">
        <v>131</v>
      </c>
      <c r="J98" s="20">
        <v>250000</v>
      </c>
      <c r="K98" s="20">
        <v>-129540</v>
      </c>
      <c r="L98" s="581">
        <f t="shared" si="1"/>
        <v>120460</v>
      </c>
    </row>
    <row r="99" spans="1:12" s="637" customFormat="1" ht="96.75" customHeight="1" x14ac:dyDescent="0.25">
      <c r="A99" s="24" t="s">
        <v>106</v>
      </c>
      <c r="B99" s="24" t="s">
        <v>81</v>
      </c>
      <c r="C99" s="24" t="s">
        <v>22</v>
      </c>
      <c r="D99" s="24" t="s">
        <v>2972</v>
      </c>
      <c r="E99" s="24" t="s">
        <v>112</v>
      </c>
      <c r="F99" s="24" t="s">
        <v>29</v>
      </c>
      <c r="G99" s="30" t="s">
        <v>3181</v>
      </c>
      <c r="H99" s="30" t="s">
        <v>84</v>
      </c>
      <c r="I99" s="19" t="s">
        <v>3183</v>
      </c>
      <c r="J99" s="20">
        <v>714000</v>
      </c>
      <c r="K99" s="20"/>
      <c r="L99" s="581">
        <f t="shared" si="1"/>
        <v>714000</v>
      </c>
    </row>
    <row r="100" spans="1:12" s="637" customFormat="1" ht="85.5" customHeight="1" x14ac:dyDescent="0.25">
      <c r="A100" s="24" t="s">
        <v>106</v>
      </c>
      <c r="B100" s="24" t="s">
        <v>81</v>
      </c>
      <c r="C100" s="24" t="s">
        <v>22</v>
      </c>
      <c r="D100" s="24" t="s">
        <v>2972</v>
      </c>
      <c r="E100" s="24" t="s">
        <v>112</v>
      </c>
      <c r="F100" s="24" t="s">
        <v>29</v>
      </c>
      <c r="G100" s="30" t="s">
        <v>3182</v>
      </c>
      <c r="H100" s="30" t="s">
        <v>84</v>
      </c>
      <c r="I100" s="19" t="s">
        <v>3184</v>
      </c>
      <c r="J100" s="20">
        <v>19002</v>
      </c>
      <c r="K100" s="20">
        <v>-469</v>
      </c>
      <c r="L100" s="581">
        <f t="shared" si="1"/>
        <v>18533</v>
      </c>
    </row>
    <row r="101" spans="1:12" s="637" customFormat="1" ht="79.5" customHeight="1" x14ac:dyDescent="0.25">
      <c r="A101" s="24" t="s">
        <v>106</v>
      </c>
      <c r="B101" s="24" t="s">
        <v>81</v>
      </c>
      <c r="C101" s="24" t="s">
        <v>22</v>
      </c>
      <c r="D101" s="24" t="s">
        <v>2967</v>
      </c>
      <c r="E101" s="24" t="s">
        <v>3180</v>
      </c>
      <c r="F101" s="24" t="s">
        <v>29</v>
      </c>
      <c r="G101" s="30" t="s">
        <v>17</v>
      </c>
      <c r="H101" s="30" t="s">
        <v>84</v>
      </c>
      <c r="I101" s="19" t="s">
        <v>3179</v>
      </c>
      <c r="J101" s="20">
        <v>43218000</v>
      </c>
      <c r="K101" s="20">
        <v>335790</v>
      </c>
      <c r="L101" s="581">
        <f t="shared" si="1"/>
        <v>43553790</v>
      </c>
    </row>
    <row r="102" spans="1:12" s="580" customFormat="1" ht="54" customHeight="1" x14ac:dyDescent="0.25">
      <c r="A102" s="24" t="s">
        <v>86</v>
      </c>
      <c r="B102" s="24" t="s">
        <v>81</v>
      </c>
      <c r="C102" s="24" t="s">
        <v>22</v>
      </c>
      <c r="D102" s="24" t="s">
        <v>2967</v>
      </c>
      <c r="E102" s="24" t="s">
        <v>2970</v>
      </c>
      <c r="F102" s="24" t="s">
        <v>29</v>
      </c>
      <c r="G102" s="30" t="s">
        <v>17</v>
      </c>
      <c r="H102" s="30" t="s">
        <v>84</v>
      </c>
      <c r="I102" s="19" t="s">
        <v>109</v>
      </c>
      <c r="J102" s="20">
        <v>739697</v>
      </c>
      <c r="K102" s="20"/>
      <c r="L102" s="581">
        <f t="shared" si="1"/>
        <v>739697</v>
      </c>
    </row>
    <row r="103" spans="1:12" s="637" customFormat="1" ht="83.25" customHeight="1" x14ac:dyDescent="0.25">
      <c r="A103" s="24" t="s">
        <v>38</v>
      </c>
      <c r="B103" s="24" t="s">
        <v>81</v>
      </c>
      <c r="C103" s="24" t="s">
        <v>22</v>
      </c>
      <c r="D103" s="24" t="s">
        <v>2967</v>
      </c>
      <c r="E103" s="24" t="s">
        <v>47</v>
      </c>
      <c r="F103" s="24" t="s">
        <v>29</v>
      </c>
      <c r="G103" s="30" t="s">
        <v>17</v>
      </c>
      <c r="H103" s="30" t="s">
        <v>84</v>
      </c>
      <c r="I103" s="19" t="s">
        <v>2984</v>
      </c>
      <c r="J103" s="20">
        <v>50977</v>
      </c>
      <c r="K103" s="20"/>
      <c r="L103" s="581">
        <f t="shared" si="1"/>
        <v>50977</v>
      </c>
    </row>
    <row r="104" spans="1:12" s="580" customFormat="1" ht="94.5" customHeight="1" x14ac:dyDescent="0.25">
      <c r="A104" s="24" t="s">
        <v>106</v>
      </c>
      <c r="B104" s="24" t="s">
        <v>81</v>
      </c>
      <c r="C104" s="24" t="s">
        <v>22</v>
      </c>
      <c r="D104" s="24" t="s">
        <v>2967</v>
      </c>
      <c r="E104" s="24" t="s">
        <v>2976</v>
      </c>
      <c r="F104" s="24" t="s">
        <v>29</v>
      </c>
      <c r="G104" s="30" t="s">
        <v>17</v>
      </c>
      <c r="H104" s="30" t="s">
        <v>84</v>
      </c>
      <c r="I104" s="19" t="s">
        <v>140</v>
      </c>
      <c r="J104" s="20">
        <v>1514200</v>
      </c>
      <c r="K104" s="20">
        <v>26800</v>
      </c>
      <c r="L104" s="581">
        <f t="shared" si="1"/>
        <v>1541000</v>
      </c>
    </row>
    <row r="105" spans="1:12" s="580" customFormat="1" ht="94.5" customHeight="1" x14ac:dyDescent="0.25">
      <c r="A105" s="24" t="s">
        <v>106</v>
      </c>
      <c r="B105" s="24" t="s">
        <v>81</v>
      </c>
      <c r="C105" s="24" t="s">
        <v>22</v>
      </c>
      <c r="D105" s="24" t="s">
        <v>2967</v>
      </c>
      <c r="E105" s="24" t="s">
        <v>2969</v>
      </c>
      <c r="F105" s="24" t="s">
        <v>29</v>
      </c>
      <c r="G105" s="30" t="s">
        <v>17</v>
      </c>
      <c r="H105" s="30" t="s">
        <v>84</v>
      </c>
      <c r="I105" s="19" t="s">
        <v>108</v>
      </c>
      <c r="J105" s="20">
        <v>5423362</v>
      </c>
      <c r="K105" s="20"/>
      <c r="L105" s="581">
        <f t="shared" si="1"/>
        <v>5423362</v>
      </c>
    </row>
    <row r="106" spans="1:12" s="580" customFormat="1" ht="55.5" customHeight="1" x14ac:dyDescent="0.25">
      <c r="A106" s="24" t="s">
        <v>106</v>
      </c>
      <c r="B106" s="24" t="s">
        <v>81</v>
      </c>
      <c r="C106" s="24" t="s">
        <v>22</v>
      </c>
      <c r="D106" s="24" t="s">
        <v>2967</v>
      </c>
      <c r="E106" s="24" t="s">
        <v>2968</v>
      </c>
      <c r="F106" s="24" t="s">
        <v>29</v>
      </c>
      <c r="G106" s="30" t="s">
        <v>17</v>
      </c>
      <c r="H106" s="30" t="s">
        <v>84</v>
      </c>
      <c r="I106" s="19" t="s">
        <v>107</v>
      </c>
      <c r="J106" s="20">
        <v>34007000</v>
      </c>
      <c r="K106" s="20"/>
      <c r="L106" s="581">
        <f t="shared" si="1"/>
        <v>34007000</v>
      </c>
    </row>
    <row r="107" spans="1:12" s="35" customFormat="1" ht="67.5" customHeight="1" x14ac:dyDescent="0.25">
      <c r="A107" s="24" t="s">
        <v>101</v>
      </c>
      <c r="B107" s="24" t="s">
        <v>81</v>
      </c>
      <c r="C107" s="24" t="s">
        <v>22</v>
      </c>
      <c r="D107" s="24" t="s">
        <v>2967</v>
      </c>
      <c r="E107" s="24" t="s">
        <v>2971</v>
      </c>
      <c r="F107" s="24" t="s">
        <v>29</v>
      </c>
      <c r="G107" s="30" t="s">
        <v>17</v>
      </c>
      <c r="H107" s="30" t="s">
        <v>84</v>
      </c>
      <c r="I107" s="19" t="s">
        <v>110</v>
      </c>
      <c r="J107" s="20">
        <v>534660</v>
      </c>
      <c r="K107" s="20">
        <v>-16759</v>
      </c>
      <c r="L107" s="581">
        <f t="shared" si="0"/>
        <v>517901</v>
      </c>
    </row>
    <row r="108" spans="1:12" s="35" customFormat="1" ht="115.5" customHeight="1" x14ac:dyDescent="0.25">
      <c r="A108" s="24" t="s">
        <v>106</v>
      </c>
      <c r="B108" s="24" t="s">
        <v>81</v>
      </c>
      <c r="C108" s="24" t="s">
        <v>22</v>
      </c>
      <c r="D108" s="24" t="s">
        <v>2967</v>
      </c>
      <c r="E108" s="24" t="s">
        <v>2973</v>
      </c>
      <c r="F108" s="24" t="s">
        <v>29</v>
      </c>
      <c r="G108" s="30" t="s">
        <v>17</v>
      </c>
      <c r="H108" s="30" t="s">
        <v>84</v>
      </c>
      <c r="I108" s="19" t="s">
        <v>136</v>
      </c>
      <c r="J108" s="20">
        <v>397700</v>
      </c>
      <c r="K108" s="20"/>
      <c r="L108" s="581">
        <f t="shared" ref="L108:L166" si="2">SUM(J108:K108)</f>
        <v>397700</v>
      </c>
    </row>
    <row r="109" spans="1:12" s="35" customFormat="1" ht="113.45" customHeight="1" x14ac:dyDescent="0.25">
      <c r="A109" s="24" t="s">
        <v>106</v>
      </c>
      <c r="B109" s="24" t="s">
        <v>81</v>
      </c>
      <c r="C109" s="24" t="s">
        <v>22</v>
      </c>
      <c r="D109" s="24" t="s">
        <v>2967</v>
      </c>
      <c r="E109" s="24" t="s">
        <v>2975</v>
      </c>
      <c r="F109" s="24" t="s">
        <v>29</v>
      </c>
      <c r="G109" s="30" t="s">
        <v>17</v>
      </c>
      <c r="H109" s="30" t="s">
        <v>84</v>
      </c>
      <c r="I109" s="19" t="s">
        <v>138</v>
      </c>
      <c r="J109" s="20">
        <v>19290000</v>
      </c>
      <c r="K109" s="20"/>
      <c r="L109" s="581">
        <f t="shared" si="2"/>
        <v>19290000</v>
      </c>
    </row>
    <row r="110" spans="1:12" s="35" customFormat="1" ht="99.75" customHeight="1" x14ac:dyDescent="0.25">
      <c r="A110" s="24" t="s">
        <v>106</v>
      </c>
      <c r="B110" s="24" t="s">
        <v>81</v>
      </c>
      <c r="C110" s="24" t="s">
        <v>22</v>
      </c>
      <c r="D110" s="24" t="s">
        <v>2967</v>
      </c>
      <c r="E110" s="24" t="s">
        <v>2975</v>
      </c>
      <c r="F110" s="24" t="s">
        <v>29</v>
      </c>
      <c r="G110" s="30" t="s">
        <v>17</v>
      </c>
      <c r="H110" s="30" t="s">
        <v>84</v>
      </c>
      <c r="I110" s="19" t="s">
        <v>139</v>
      </c>
      <c r="J110" s="20">
        <v>2052000</v>
      </c>
      <c r="K110" s="20"/>
      <c r="L110" s="581">
        <f t="shared" si="2"/>
        <v>2052000</v>
      </c>
    </row>
    <row r="111" spans="1:12" s="35" customFormat="1" ht="64.900000000000006" customHeight="1" x14ac:dyDescent="0.25">
      <c r="A111" s="32" t="s">
        <v>106</v>
      </c>
      <c r="B111" s="32" t="s">
        <v>81</v>
      </c>
      <c r="C111" s="32" t="s">
        <v>22</v>
      </c>
      <c r="D111" s="32" t="s">
        <v>2967</v>
      </c>
      <c r="E111" s="32" t="s">
        <v>2974</v>
      </c>
      <c r="F111" s="32" t="s">
        <v>29</v>
      </c>
      <c r="G111" s="38" t="s">
        <v>17</v>
      </c>
      <c r="H111" s="38" t="s">
        <v>84</v>
      </c>
      <c r="I111" s="33" t="s">
        <v>137</v>
      </c>
      <c r="J111" s="20">
        <v>1060620</v>
      </c>
      <c r="K111" s="20">
        <v>-5003</v>
      </c>
      <c r="L111" s="581">
        <f>SUM(J111:K111)</f>
        <v>1055617</v>
      </c>
    </row>
    <row r="112" spans="1:12" s="660" customFormat="1" ht="78" customHeight="1" x14ac:dyDescent="0.25">
      <c r="A112" s="32" t="s">
        <v>106</v>
      </c>
      <c r="B112" s="32" t="s">
        <v>81</v>
      </c>
      <c r="C112" s="32" t="s">
        <v>22</v>
      </c>
      <c r="D112" s="32" t="s">
        <v>2967</v>
      </c>
      <c r="E112" s="32" t="s">
        <v>3242</v>
      </c>
      <c r="F112" s="32" t="s">
        <v>29</v>
      </c>
      <c r="G112" s="38" t="s">
        <v>17</v>
      </c>
      <c r="H112" s="38" t="s">
        <v>84</v>
      </c>
      <c r="I112" s="33" t="s">
        <v>3243</v>
      </c>
      <c r="J112" s="20">
        <v>7400000</v>
      </c>
      <c r="K112" s="20"/>
      <c r="L112" s="581">
        <f>SUM(J112:K112)</f>
        <v>7400000</v>
      </c>
    </row>
    <row r="113" spans="1:12" s="637" customFormat="1" ht="51" customHeight="1" x14ac:dyDescent="0.25">
      <c r="A113" s="32" t="s">
        <v>38</v>
      </c>
      <c r="B113" s="32" t="s">
        <v>81</v>
      </c>
      <c r="C113" s="32" t="s">
        <v>22</v>
      </c>
      <c r="D113" s="32" t="s">
        <v>2967</v>
      </c>
      <c r="E113" s="32" t="s">
        <v>3185</v>
      </c>
      <c r="F113" s="32" t="s">
        <v>29</v>
      </c>
      <c r="G113" s="38" t="s">
        <v>17</v>
      </c>
      <c r="H113" s="38" t="s">
        <v>84</v>
      </c>
      <c r="I113" s="33" t="s">
        <v>2983</v>
      </c>
      <c r="J113" s="20">
        <v>3240837</v>
      </c>
      <c r="K113" s="20">
        <v>889064</v>
      </c>
      <c r="L113" s="581">
        <f>SUM(J113:K113)</f>
        <v>4129901</v>
      </c>
    </row>
    <row r="114" spans="1:12" s="35" customFormat="1" ht="26.25" customHeight="1" x14ac:dyDescent="0.25">
      <c r="A114" s="21" t="s">
        <v>14</v>
      </c>
      <c r="B114" s="21" t="s">
        <v>81</v>
      </c>
      <c r="C114" s="21" t="s">
        <v>22</v>
      </c>
      <c r="D114" s="21" t="s">
        <v>2977</v>
      </c>
      <c r="E114" s="21" t="s">
        <v>14</v>
      </c>
      <c r="F114" s="21" t="s">
        <v>16</v>
      </c>
      <c r="G114" s="28" t="s">
        <v>17</v>
      </c>
      <c r="H114" s="28" t="s">
        <v>84</v>
      </c>
      <c r="I114" s="29" t="s">
        <v>141</v>
      </c>
      <c r="J114" s="23">
        <v>268012983.37</v>
      </c>
      <c r="K114" s="23">
        <f>SUM(K115:K165)</f>
        <v>-19020648</v>
      </c>
      <c r="L114" s="16">
        <f t="shared" si="2"/>
        <v>248992335.37</v>
      </c>
    </row>
    <row r="115" spans="1:12" s="35" customFormat="1" ht="87" customHeight="1" x14ac:dyDescent="0.25">
      <c r="A115" s="24" t="s">
        <v>86</v>
      </c>
      <c r="B115" s="24" t="s">
        <v>93</v>
      </c>
      <c r="C115" s="24" t="s">
        <v>22</v>
      </c>
      <c r="D115" s="24" t="s">
        <v>2977</v>
      </c>
      <c r="E115" s="24" t="s">
        <v>143</v>
      </c>
      <c r="F115" s="24" t="s">
        <v>29</v>
      </c>
      <c r="G115" s="30" t="s">
        <v>144</v>
      </c>
      <c r="H115" s="30" t="s">
        <v>84</v>
      </c>
      <c r="I115" s="19" t="s">
        <v>145</v>
      </c>
      <c r="J115" s="39">
        <v>17133978.440000001</v>
      </c>
      <c r="K115" s="39"/>
      <c r="L115" s="581">
        <f t="shared" si="2"/>
        <v>17133978.440000001</v>
      </c>
    </row>
    <row r="116" spans="1:12" s="35" customFormat="1" ht="78.75" customHeight="1" x14ac:dyDescent="0.25">
      <c r="A116" s="24" t="s">
        <v>46</v>
      </c>
      <c r="B116" s="24" t="s">
        <v>81</v>
      </c>
      <c r="C116" s="24" t="s">
        <v>22</v>
      </c>
      <c r="D116" s="24" t="s">
        <v>2977</v>
      </c>
      <c r="E116" s="24" t="s">
        <v>143</v>
      </c>
      <c r="F116" s="24" t="s">
        <v>29</v>
      </c>
      <c r="G116" s="30" t="s">
        <v>146</v>
      </c>
      <c r="H116" s="30" t="s">
        <v>84</v>
      </c>
      <c r="I116" s="19" t="s">
        <v>147</v>
      </c>
      <c r="J116" s="39">
        <v>250000</v>
      </c>
      <c r="K116" s="39">
        <v>-31255</v>
      </c>
      <c r="L116" s="581">
        <f t="shared" si="2"/>
        <v>218745</v>
      </c>
    </row>
    <row r="117" spans="1:12" s="35" customFormat="1" ht="61.5" customHeight="1" x14ac:dyDescent="0.25">
      <c r="A117" s="24" t="s">
        <v>94</v>
      </c>
      <c r="B117" s="24" t="s">
        <v>81</v>
      </c>
      <c r="C117" s="24" t="s">
        <v>22</v>
      </c>
      <c r="D117" s="24" t="s">
        <v>2977</v>
      </c>
      <c r="E117" s="24" t="s">
        <v>143</v>
      </c>
      <c r="F117" s="24" t="s">
        <v>29</v>
      </c>
      <c r="G117" s="30" t="s">
        <v>3255</v>
      </c>
      <c r="H117" s="30" t="s">
        <v>84</v>
      </c>
      <c r="I117" s="19" t="s">
        <v>3256</v>
      </c>
      <c r="J117" s="39">
        <v>1500000</v>
      </c>
      <c r="K117" s="39">
        <f>(-375000-32700)</f>
        <v>-407700</v>
      </c>
      <c r="L117" s="581">
        <f t="shared" si="2"/>
        <v>1092300</v>
      </c>
    </row>
    <row r="118" spans="1:12" s="700" customFormat="1" ht="61.5" customHeight="1" x14ac:dyDescent="0.25">
      <c r="A118" s="24" t="s">
        <v>94</v>
      </c>
      <c r="B118" s="24" t="s">
        <v>81</v>
      </c>
      <c r="C118" s="24" t="s">
        <v>22</v>
      </c>
      <c r="D118" s="24" t="s">
        <v>2977</v>
      </c>
      <c r="E118" s="24" t="s">
        <v>143</v>
      </c>
      <c r="F118" s="24" t="s">
        <v>29</v>
      </c>
      <c r="G118" s="30" t="s">
        <v>3357</v>
      </c>
      <c r="H118" s="30" t="s">
        <v>84</v>
      </c>
      <c r="I118" s="19" t="s">
        <v>3358</v>
      </c>
      <c r="J118" s="39">
        <v>862394</v>
      </c>
      <c r="K118" s="39"/>
      <c r="L118" s="581">
        <f t="shared" si="2"/>
        <v>862394</v>
      </c>
    </row>
    <row r="119" spans="1:12" s="35" customFormat="1" ht="54" customHeight="1" x14ac:dyDescent="0.25">
      <c r="A119" s="24" t="s">
        <v>94</v>
      </c>
      <c r="B119" s="24" t="s">
        <v>81</v>
      </c>
      <c r="C119" s="24" t="s">
        <v>22</v>
      </c>
      <c r="D119" s="24" t="s">
        <v>2977</v>
      </c>
      <c r="E119" s="24" t="s">
        <v>143</v>
      </c>
      <c r="F119" s="24" t="s">
        <v>29</v>
      </c>
      <c r="G119" s="30" t="s">
        <v>148</v>
      </c>
      <c r="H119" s="30" t="s">
        <v>84</v>
      </c>
      <c r="I119" s="19" t="s">
        <v>149</v>
      </c>
      <c r="J119" s="39">
        <v>1117700</v>
      </c>
      <c r="K119" s="39">
        <v>-2500</v>
      </c>
      <c r="L119" s="581">
        <f t="shared" si="2"/>
        <v>1115200</v>
      </c>
    </row>
    <row r="120" spans="1:12" s="35" customFormat="1" ht="52.5" customHeight="1" x14ac:dyDescent="0.25">
      <c r="A120" s="24" t="s">
        <v>38</v>
      </c>
      <c r="B120" s="24" t="s">
        <v>81</v>
      </c>
      <c r="C120" s="24" t="s">
        <v>22</v>
      </c>
      <c r="D120" s="24" t="s">
        <v>2977</v>
      </c>
      <c r="E120" s="24" t="s">
        <v>143</v>
      </c>
      <c r="F120" s="24" t="s">
        <v>29</v>
      </c>
      <c r="G120" s="30" t="s">
        <v>150</v>
      </c>
      <c r="H120" s="30" t="s">
        <v>84</v>
      </c>
      <c r="I120" s="19" t="s">
        <v>151</v>
      </c>
      <c r="J120" s="39">
        <v>104387986</v>
      </c>
      <c r="K120" s="39">
        <v>2105974</v>
      </c>
      <c r="L120" s="581">
        <f t="shared" si="2"/>
        <v>106493960</v>
      </c>
    </row>
    <row r="121" spans="1:12" s="35" customFormat="1" ht="64.5" customHeight="1" x14ac:dyDescent="0.25">
      <c r="A121" s="24" t="s">
        <v>38</v>
      </c>
      <c r="B121" s="24" t="s">
        <v>81</v>
      </c>
      <c r="C121" s="24" t="s">
        <v>22</v>
      </c>
      <c r="D121" s="24" t="s">
        <v>2977</v>
      </c>
      <c r="E121" s="24" t="s">
        <v>143</v>
      </c>
      <c r="F121" s="24" t="s">
        <v>29</v>
      </c>
      <c r="G121" s="30" t="s">
        <v>152</v>
      </c>
      <c r="H121" s="30" t="s">
        <v>84</v>
      </c>
      <c r="I121" s="40" t="s">
        <v>153</v>
      </c>
      <c r="J121" s="39">
        <v>3666221</v>
      </c>
      <c r="K121" s="39"/>
      <c r="L121" s="581">
        <f t="shared" si="2"/>
        <v>3666221</v>
      </c>
    </row>
    <row r="122" spans="1:12" s="35" customFormat="1" ht="63.75" customHeight="1" x14ac:dyDescent="0.25">
      <c r="A122" s="24" t="s">
        <v>38</v>
      </c>
      <c r="B122" s="24" t="s">
        <v>81</v>
      </c>
      <c r="C122" s="24" t="s">
        <v>22</v>
      </c>
      <c r="D122" s="24" t="s">
        <v>2977</v>
      </c>
      <c r="E122" s="24" t="s">
        <v>143</v>
      </c>
      <c r="F122" s="24" t="s">
        <v>29</v>
      </c>
      <c r="G122" s="30" t="s">
        <v>154</v>
      </c>
      <c r="H122" s="30" t="s">
        <v>84</v>
      </c>
      <c r="I122" s="19" t="s">
        <v>3220</v>
      </c>
      <c r="J122" s="39">
        <v>617000</v>
      </c>
      <c r="K122" s="39"/>
      <c r="L122" s="581">
        <f t="shared" si="2"/>
        <v>617000</v>
      </c>
    </row>
    <row r="123" spans="1:12" s="660" customFormat="1" ht="63.75" customHeight="1" x14ac:dyDescent="0.25">
      <c r="A123" s="24" t="s">
        <v>38</v>
      </c>
      <c r="B123" s="24" t="s">
        <v>81</v>
      </c>
      <c r="C123" s="24" t="s">
        <v>22</v>
      </c>
      <c r="D123" s="24" t="s">
        <v>2977</v>
      </c>
      <c r="E123" s="24" t="s">
        <v>143</v>
      </c>
      <c r="F123" s="24" t="s">
        <v>29</v>
      </c>
      <c r="G123" s="30" t="s">
        <v>3221</v>
      </c>
      <c r="H123" s="30" t="s">
        <v>84</v>
      </c>
      <c r="I123" s="19" t="s">
        <v>3222</v>
      </c>
      <c r="J123" s="39">
        <v>3928455</v>
      </c>
      <c r="K123" s="39"/>
      <c r="L123" s="581">
        <f t="shared" si="2"/>
        <v>3928455</v>
      </c>
    </row>
    <row r="124" spans="1:12" s="35" customFormat="1" ht="51" customHeight="1" x14ac:dyDescent="0.25">
      <c r="A124" s="24" t="s">
        <v>38</v>
      </c>
      <c r="B124" s="24" t="s">
        <v>81</v>
      </c>
      <c r="C124" s="24" t="s">
        <v>22</v>
      </c>
      <c r="D124" s="24" t="s">
        <v>2977</v>
      </c>
      <c r="E124" s="24" t="s">
        <v>143</v>
      </c>
      <c r="F124" s="24" t="s">
        <v>29</v>
      </c>
      <c r="G124" s="30" t="s">
        <v>155</v>
      </c>
      <c r="H124" s="30" t="s">
        <v>84</v>
      </c>
      <c r="I124" s="19" t="s">
        <v>156</v>
      </c>
      <c r="J124" s="39">
        <v>400000</v>
      </c>
      <c r="K124" s="39">
        <v>-229154</v>
      </c>
      <c r="L124" s="581">
        <f t="shared" si="2"/>
        <v>170846</v>
      </c>
    </row>
    <row r="125" spans="1:12" s="35" customFormat="1" ht="62.25" customHeight="1" x14ac:dyDescent="0.25">
      <c r="A125" s="24" t="s">
        <v>94</v>
      </c>
      <c r="B125" s="24" t="s">
        <v>81</v>
      </c>
      <c r="C125" s="24" t="s">
        <v>22</v>
      </c>
      <c r="D125" s="24" t="s">
        <v>2977</v>
      </c>
      <c r="E125" s="24" t="s">
        <v>143</v>
      </c>
      <c r="F125" s="24" t="s">
        <v>29</v>
      </c>
      <c r="G125" s="30" t="s">
        <v>157</v>
      </c>
      <c r="H125" s="30" t="s">
        <v>84</v>
      </c>
      <c r="I125" s="19" t="s">
        <v>3257</v>
      </c>
      <c r="J125" s="39">
        <v>5954000</v>
      </c>
      <c r="K125" s="39"/>
      <c r="L125" s="581">
        <f t="shared" si="2"/>
        <v>5954000</v>
      </c>
    </row>
    <row r="126" spans="1:12" s="35" customFormat="1" ht="57" customHeight="1" x14ac:dyDescent="0.25">
      <c r="A126" s="24" t="s">
        <v>94</v>
      </c>
      <c r="B126" s="24" t="s">
        <v>81</v>
      </c>
      <c r="C126" s="24" t="s">
        <v>22</v>
      </c>
      <c r="D126" s="24" t="s">
        <v>2977</v>
      </c>
      <c r="E126" s="24" t="s">
        <v>143</v>
      </c>
      <c r="F126" s="24" t="s">
        <v>29</v>
      </c>
      <c r="G126" s="30" t="s">
        <v>158</v>
      </c>
      <c r="H126" s="30" t="s">
        <v>84</v>
      </c>
      <c r="I126" s="19" t="s">
        <v>3258</v>
      </c>
      <c r="J126" s="39">
        <v>624553</v>
      </c>
      <c r="K126" s="39"/>
      <c r="L126" s="581">
        <f t="shared" si="2"/>
        <v>624553</v>
      </c>
    </row>
    <row r="127" spans="1:12" s="35" customFormat="1" ht="60.75" customHeight="1" x14ac:dyDescent="0.25">
      <c r="A127" s="24" t="s">
        <v>38</v>
      </c>
      <c r="B127" s="24" t="s">
        <v>81</v>
      </c>
      <c r="C127" s="24" t="s">
        <v>22</v>
      </c>
      <c r="D127" s="24" t="s">
        <v>2977</v>
      </c>
      <c r="E127" s="24" t="s">
        <v>143</v>
      </c>
      <c r="F127" s="24" t="s">
        <v>29</v>
      </c>
      <c r="G127" s="30" t="s">
        <v>159</v>
      </c>
      <c r="H127" s="30" t="s">
        <v>84</v>
      </c>
      <c r="I127" s="19" t="s">
        <v>160</v>
      </c>
      <c r="J127" s="39">
        <v>50000</v>
      </c>
      <c r="K127" s="39">
        <v>12384</v>
      </c>
      <c r="L127" s="581">
        <f t="shared" si="2"/>
        <v>62384</v>
      </c>
    </row>
    <row r="128" spans="1:12" s="35" customFormat="1" ht="51.75" customHeight="1" x14ac:dyDescent="0.25">
      <c r="A128" s="24" t="s">
        <v>38</v>
      </c>
      <c r="B128" s="24" t="s">
        <v>81</v>
      </c>
      <c r="C128" s="24" t="s">
        <v>22</v>
      </c>
      <c r="D128" s="24" t="s">
        <v>2977</v>
      </c>
      <c r="E128" s="24" t="s">
        <v>143</v>
      </c>
      <c r="F128" s="24" t="s">
        <v>29</v>
      </c>
      <c r="G128" s="30" t="s">
        <v>161</v>
      </c>
      <c r="H128" s="30" t="s">
        <v>84</v>
      </c>
      <c r="I128" s="40" t="s">
        <v>162</v>
      </c>
      <c r="J128" s="39">
        <v>50000</v>
      </c>
      <c r="K128" s="39">
        <v>-35450</v>
      </c>
      <c r="L128" s="581">
        <f t="shared" si="2"/>
        <v>14550</v>
      </c>
    </row>
    <row r="129" spans="1:12" s="35" customFormat="1" ht="54" customHeight="1" x14ac:dyDescent="0.25">
      <c r="A129" s="24" t="s">
        <v>94</v>
      </c>
      <c r="B129" s="24" t="s">
        <v>81</v>
      </c>
      <c r="C129" s="24" t="s">
        <v>22</v>
      </c>
      <c r="D129" s="24" t="s">
        <v>2977</v>
      </c>
      <c r="E129" s="24" t="s">
        <v>143</v>
      </c>
      <c r="F129" s="24" t="s">
        <v>29</v>
      </c>
      <c r="G129" s="30" t="s">
        <v>163</v>
      </c>
      <c r="H129" s="30" t="s">
        <v>84</v>
      </c>
      <c r="I129" s="19" t="s">
        <v>164</v>
      </c>
      <c r="J129" s="39">
        <v>5350000</v>
      </c>
      <c r="K129" s="39"/>
      <c r="L129" s="581">
        <f t="shared" si="2"/>
        <v>5350000</v>
      </c>
    </row>
    <row r="130" spans="1:12" s="660" customFormat="1" ht="36" customHeight="1" x14ac:dyDescent="0.25">
      <c r="A130" s="24" t="s">
        <v>98</v>
      </c>
      <c r="B130" s="24" t="s">
        <v>81</v>
      </c>
      <c r="C130" s="24" t="s">
        <v>22</v>
      </c>
      <c r="D130" s="24" t="s">
        <v>2977</v>
      </c>
      <c r="E130" s="24" t="s">
        <v>143</v>
      </c>
      <c r="F130" s="24" t="s">
        <v>29</v>
      </c>
      <c r="G130" s="30" t="s">
        <v>3246</v>
      </c>
      <c r="H130" s="30" t="s">
        <v>84</v>
      </c>
      <c r="I130" s="19" t="s">
        <v>3247</v>
      </c>
      <c r="J130" s="39">
        <v>2060000</v>
      </c>
      <c r="K130" s="39"/>
      <c r="L130" s="581">
        <f t="shared" si="2"/>
        <v>2060000</v>
      </c>
    </row>
    <row r="131" spans="1:12" s="35" customFormat="1" ht="45.75" customHeight="1" x14ac:dyDescent="0.25">
      <c r="A131" s="24" t="s">
        <v>38</v>
      </c>
      <c r="B131" s="24" t="s">
        <v>81</v>
      </c>
      <c r="C131" s="24" t="s">
        <v>22</v>
      </c>
      <c r="D131" s="24" t="s">
        <v>2977</v>
      </c>
      <c r="E131" s="24" t="s">
        <v>143</v>
      </c>
      <c r="F131" s="24" t="s">
        <v>29</v>
      </c>
      <c r="G131" s="30" t="s">
        <v>165</v>
      </c>
      <c r="H131" s="30" t="s">
        <v>84</v>
      </c>
      <c r="I131" s="19" t="s">
        <v>166</v>
      </c>
      <c r="J131" s="39">
        <v>15251898</v>
      </c>
      <c r="K131" s="39"/>
      <c r="L131" s="581">
        <f t="shared" si="2"/>
        <v>15251898</v>
      </c>
    </row>
    <row r="132" spans="1:12" s="35" customFormat="1" ht="64.5" customHeight="1" x14ac:dyDescent="0.25">
      <c r="A132" s="24" t="s">
        <v>38</v>
      </c>
      <c r="B132" s="24" t="s">
        <v>81</v>
      </c>
      <c r="C132" s="24" t="s">
        <v>22</v>
      </c>
      <c r="D132" s="24" t="s">
        <v>2977</v>
      </c>
      <c r="E132" s="24" t="s">
        <v>143</v>
      </c>
      <c r="F132" s="24" t="s">
        <v>29</v>
      </c>
      <c r="G132" s="30" t="s">
        <v>167</v>
      </c>
      <c r="H132" s="30" t="s">
        <v>84</v>
      </c>
      <c r="I132" s="40" t="s">
        <v>168</v>
      </c>
      <c r="J132" s="39">
        <v>2948102</v>
      </c>
      <c r="K132" s="39"/>
      <c r="L132" s="581">
        <f t="shared" si="2"/>
        <v>2948102</v>
      </c>
    </row>
    <row r="133" spans="1:12" s="35" customFormat="1" ht="48" customHeight="1" x14ac:dyDescent="0.25">
      <c r="A133" s="24" t="s">
        <v>38</v>
      </c>
      <c r="B133" s="24" t="s">
        <v>81</v>
      </c>
      <c r="C133" s="24" t="s">
        <v>22</v>
      </c>
      <c r="D133" s="24" t="s">
        <v>2977</v>
      </c>
      <c r="E133" s="24" t="s">
        <v>143</v>
      </c>
      <c r="F133" s="24" t="s">
        <v>29</v>
      </c>
      <c r="G133" s="30" t="s">
        <v>169</v>
      </c>
      <c r="H133" s="30" t="s">
        <v>84</v>
      </c>
      <c r="I133" s="19" t="s">
        <v>3224</v>
      </c>
      <c r="J133" s="39">
        <v>5862800</v>
      </c>
      <c r="K133" s="39"/>
      <c r="L133" s="581">
        <f t="shared" si="2"/>
        <v>5862800</v>
      </c>
    </row>
    <row r="134" spans="1:12" s="35" customFormat="1" ht="55.5" customHeight="1" x14ac:dyDescent="0.25">
      <c r="A134" s="24" t="s">
        <v>38</v>
      </c>
      <c r="B134" s="24" t="s">
        <v>81</v>
      </c>
      <c r="C134" s="24" t="s">
        <v>22</v>
      </c>
      <c r="D134" s="24" t="s">
        <v>2977</v>
      </c>
      <c r="E134" s="24" t="s">
        <v>143</v>
      </c>
      <c r="F134" s="24" t="s">
        <v>29</v>
      </c>
      <c r="G134" s="30" t="s">
        <v>170</v>
      </c>
      <c r="H134" s="30" t="s">
        <v>84</v>
      </c>
      <c r="I134" s="19" t="s">
        <v>3223</v>
      </c>
      <c r="J134" s="39">
        <v>8582624</v>
      </c>
      <c r="K134" s="39">
        <v>-343553</v>
      </c>
      <c r="L134" s="581">
        <f t="shared" si="2"/>
        <v>8239071</v>
      </c>
    </row>
    <row r="135" spans="1:12" s="35" customFormat="1" ht="84.75" customHeight="1" x14ac:dyDescent="0.25">
      <c r="A135" s="24" t="s">
        <v>46</v>
      </c>
      <c r="B135" s="24" t="s">
        <v>81</v>
      </c>
      <c r="C135" s="24" t="s">
        <v>22</v>
      </c>
      <c r="D135" s="24" t="s">
        <v>2977</v>
      </c>
      <c r="E135" s="24" t="s">
        <v>143</v>
      </c>
      <c r="F135" s="24" t="s">
        <v>29</v>
      </c>
      <c r="G135" s="30" t="s">
        <v>171</v>
      </c>
      <c r="H135" s="30" t="s">
        <v>84</v>
      </c>
      <c r="I135" s="19" t="s">
        <v>172</v>
      </c>
      <c r="J135" s="39">
        <v>1231189</v>
      </c>
      <c r="K135" s="39">
        <v>-170880</v>
      </c>
      <c r="L135" s="581">
        <f t="shared" si="2"/>
        <v>1060309</v>
      </c>
    </row>
    <row r="136" spans="1:12" s="35" customFormat="1" ht="51" hidden="1" customHeight="1" x14ac:dyDescent="0.25">
      <c r="A136" s="24" t="s">
        <v>94</v>
      </c>
      <c r="B136" s="24" t="s">
        <v>81</v>
      </c>
      <c r="C136" s="24" t="s">
        <v>22</v>
      </c>
      <c r="D136" s="24" t="s">
        <v>2977</v>
      </c>
      <c r="E136" s="24" t="s">
        <v>143</v>
      </c>
      <c r="F136" s="24" t="s">
        <v>29</v>
      </c>
      <c r="G136" s="30" t="s">
        <v>173</v>
      </c>
      <c r="H136" s="30" t="s">
        <v>84</v>
      </c>
      <c r="I136" s="19" t="s">
        <v>3259</v>
      </c>
      <c r="J136" s="39">
        <v>100000</v>
      </c>
      <c r="K136" s="39">
        <v>-100000</v>
      </c>
      <c r="L136" s="581">
        <f t="shared" si="2"/>
        <v>0</v>
      </c>
    </row>
    <row r="137" spans="1:12" s="35" customFormat="1" ht="67.5" customHeight="1" x14ac:dyDescent="0.25">
      <c r="A137" s="24" t="s">
        <v>38</v>
      </c>
      <c r="B137" s="24" t="s">
        <v>93</v>
      </c>
      <c r="C137" s="24" t="s">
        <v>22</v>
      </c>
      <c r="D137" s="24" t="s">
        <v>2977</v>
      </c>
      <c r="E137" s="24" t="s">
        <v>143</v>
      </c>
      <c r="F137" s="24" t="s">
        <v>29</v>
      </c>
      <c r="G137" s="30" t="s">
        <v>174</v>
      </c>
      <c r="H137" s="30" t="s">
        <v>84</v>
      </c>
      <c r="I137" s="19" t="s">
        <v>3225</v>
      </c>
      <c r="J137" s="39">
        <v>857324</v>
      </c>
      <c r="K137" s="39"/>
      <c r="L137" s="581">
        <f t="shared" si="2"/>
        <v>857324</v>
      </c>
    </row>
    <row r="138" spans="1:12" s="35" customFormat="1" ht="52.5" customHeight="1" x14ac:dyDescent="0.25">
      <c r="A138" s="24" t="s">
        <v>94</v>
      </c>
      <c r="B138" s="24" t="s">
        <v>81</v>
      </c>
      <c r="C138" s="24" t="s">
        <v>22</v>
      </c>
      <c r="D138" s="24" t="s">
        <v>2977</v>
      </c>
      <c r="E138" s="24" t="s">
        <v>143</v>
      </c>
      <c r="F138" s="24" t="s">
        <v>29</v>
      </c>
      <c r="G138" s="30" t="s">
        <v>3260</v>
      </c>
      <c r="H138" s="30" t="s">
        <v>84</v>
      </c>
      <c r="I138" s="19" t="s">
        <v>3261</v>
      </c>
      <c r="J138" s="39">
        <v>3392209</v>
      </c>
      <c r="K138" s="39">
        <f>(-40000-27000)</f>
        <v>-67000</v>
      </c>
      <c r="L138" s="581">
        <f t="shared" si="2"/>
        <v>3325209</v>
      </c>
    </row>
    <row r="139" spans="1:12" s="35" customFormat="1" ht="51.75" customHeight="1" x14ac:dyDescent="0.25">
      <c r="A139" s="24" t="s">
        <v>38</v>
      </c>
      <c r="B139" s="24" t="s">
        <v>81</v>
      </c>
      <c r="C139" s="24" t="s">
        <v>22</v>
      </c>
      <c r="D139" s="24" t="s">
        <v>2977</v>
      </c>
      <c r="E139" s="24" t="s">
        <v>143</v>
      </c>
      <c r="F139" s="24" t="s">
        <v>29</v>
      </c>
      <c r="G139" s="30" t="s">
        <v>175</v>
      </c>
      <c r="H139" s="30" t="s">
        <v>84</v>
      </c>
      <c r="I139" s="19" t="s">
        <v>176</v>
      </c>
      <c r="J139" s="39">
        <v>4000001</v>
      </c>
      <c r="K139" s="39"/>
      <c r="L139" s="581">
        <f t="shared" si="2"/>
        <v>4000001</v>
      </c>
    </row>
    <row r="140" spans="1:12" s="730" customFormat="1" ht="77.45" customHeight="1" x14ac:dyDescent="0.25">
      <c r="A140" s="24" t="s">
        <v>94</v>
      </c>
      <c r="B140" s="24" t="s">
        <v>81</v>
      </c>
      <c r="C140" s="24" t="s">
        <v>22</v>
      </c>
      <c r="D140" s="24" t="s">
        <v>2977</v>
      </c>
      <c r="E140" s="24" t="s">
        <v>143</v>
      </c>
      <c r="F140" s="24" t="s">
        <v>29</v>
      </c>
      <c r="G140" s="30" t="s">
        <v>3409</v>
      </c>
      <c r="H140" s="30" t="s">
        <v>84</v>
      </c>
      <c r="I140" s="734" t="s">
        <v>3410</v>
      </c>
      <c r="J140" s="39">
        <v>22500</v>
      </c>
      <c r="K140" s="39"/>
      <c r="L140" s="581">
        <f t="shared" si="2"/>
        <v>22500</v>
      </c>
    </row>
    <row r="141" spans="1:12" s="660" customFormat="1" ht="51.75" customHeight="1" x14ac:dyDescent="0.25">
      <c r="A141" s="24" t="s">
        <v>98</v>
      </c>
      <c r="B141" s="24" t="s">
        <v>81</v>
      </c>
      <c r="C141" s="24" t="s">
        <v>22</v>
      </c>
      <c r="D141" s="24" t="s">
        <v>2977</v>
      </c>
      <c r="E141" s="24" t="s">
        <v>143</v>
      </c>
      <c r="F141" s="24" t="s">
        <v>29</v>
      </c>
      <c r="G141" s="30" t="s">
        <v>3248</v>
      </c>
      <c r="H141" s="30" t="s">
        <v>84</v>
      </c>
      <c r="I141" s="19" t="s">
        <v>3249</v>
      </c>
      <c r="J141" s="39">
        <v>1393009</v>
      </c>
      <c r="K141" s="39"/>
      <c r="L141" s="581">
        <f t="shared" si="2"/>
        <v>1393009</v>
      </c>
    </row>
    <row r="142" spans="1:12" s="660" customFormat="1" ht="36" customHeight="1" x14ac:dyDescent="0.25">
      <c r="A142" s="24" t="s">
        <v>98</v>
      </c>
      <c r="B142" s="24" t="s">
        <v>81</v>
      </c>
      <c r="C142" s="24" t="s">
        <v>22</v>
      </c>
      <c r="D142" s="24" t="s">
        <v>2977</v>
      </c>
      <c r="E142" s="24" t="s">
        <v>143</v>
      </c>
      <c r="F142" s="24" t="s">
        <v>29</v>
      </c>
      <c r="G142" s="30" t="s">
        <v>3250</v>
      </c>
      <c r="H142" s="30" t="s">
        <v>84</v>
      </c>
      <c r="I142" s="19" t="s">
        <v>3251</v>
      </c>
      <c r="J142" s="39">
        <v>150000</v>
      </c>
      <c r="K142" s="39"/>
      <c r="L142" s="581">
        <f t="shared" si="2"/>
        <v>150000</v>
      </c>
    </row>
    <row r="143" spans="1:12" s="660" customFormat="1" ht="51.75" customHeight="1" x14ac:dyDescent="0.25">
      <c r="A143" s="24" t="s">
        <v>38</v>
      </c>
      <c r="B143" s="24" t="s">
        <v>81</v>
      </c>
      <c r="C143" s="24" t="s">
        <v>22</v>
      </c>
      <c r="D143" s="24" t="s">
        <v>2977</v>
      </c>
      <c r="E143" s="24" t="s">
        <v>143</v>
      </c>
      <c r="F143" s="24" t="s">
        <v>29</v>
      </c>
      <c r="G143" s="30" t="s">
        <v>3226</v>
      </c>
      <c r="H143" s="30" t="s">
        <v>84</v>
      </c>
      <c r="I143" s="19" t="s">
        <v>3227</v>
      </c>
      <c r="J143" s="39">
        <v>100000</v>
      </c>
      <c r="K143" s="39"/>
      <c r="L143" s="581">
        <f t="shared" si="2"/>
        <v>100000</v>
      </c>
    </row>
    <row r="144" spans="1:12" s="700" customFormat="1" ht="51.75" customHeight="1" x14ac:dyDescent="0.25">
      <c r="A144" s="24" t="s">
        <v>98</v>
      </c>
      <c r="B144" s="24" t="s">
        <v>81</v>
      </c>
      <c r="C144" s="24" t="s">
        <v>22</v>
      </c>
      <c r="D144" s="24" t="s">
        <v>2977</v>
      </c>
      <c r="E144" s="24" t="s">
        <v>143</v>
      </c>
      <c r="F144" s="24" t="s">
        <v>29</v>
      </c>
      <c r="G144" s="30" t="s">
        <v>3355</v>
      </c>
      <c r="H144" s="30" t="s">
        <v>84</v>
      </c>
      <c r="I144" s="19" t="s">
        <v>3356</v>
      </c>
      <c r="J144" s="39">
        <v>2320446</v>
      </c>
      <c r="K144" s="39"/>
      <c r="L144" s="581">
        <f t="shared" si="2"/>
        <v>2320446</v>
      </c>
    </row>
    <row r="145" spans="1:12" s="660" customFormat="1" ht="51.75" customHeight="1" x14ac:dyDescent="0.25">
      <c r="A145" s="24" t="s">
        <v>38</v>
      </c>
      <c r="B145" s="24" t="s">
        <v>81</v>
      </c>
      <c r="C145" s="24" t="s">
        <v>22</v>
      </c>
      <c r="D145" s="24" t="s">
        <v>2977</v>
      </c>
      <c r="E145" s="24" t="s">
        <v>143</v>
      </c>
      <c r="F145" s="24" t="s">
        <v>29</v>
      </c>
      <c r="G145" s="30" t="s">
        <v>3228</v>
      </c>
      <c r="H145" s="30" t="s">
        <v>84</v>
      </c>
      <c r="I145" s="19" t="s">
        <v>3229</v>
      </c>
      <c r="J145" s="39">
        <v>650000</v>
      </c>
      <c r="K145" s="39"/>
      <c r="L145" s="581">
        <f t="shared" si="2"/>
        <v>650000</v>
      </c>
    </row>
    <row r="146" spans="1:12" s="660" customFormat="1" ht="51.75" customHeight="1" x14ac:dyDescent="0.25">
      <c r="A146" s="24" t="s">
        <v>38</v>
      </c>
      <c r="B146" s="24" t="s">
        <v>81</v>
      </c>
      <c r="C146" s="24" t="s">
        <v>22</v>
      </c>
      <c r="D146" s="24" t="s">
        <v>2977</v>
      </c>
      <c r="E146" s="24" t="s">
        <v>143</v>
      </c>
      <c r="F146" s="24" t="s">
        <v>29</v>
      </c>
      <c r="G146" s="30" t="s">
        <v>3230</v>
      </c>
      <c r="H146" s="30" t="s">
        <v>84</v>
      </c>
      <c r="I146" s="19" t="s">
        <v>3231</v>
      </c>
      <c r="J146" s="39">
        <v>43054</v>
      </c>
      <c r="K146" s="39"/>
      <c r="L146" s="581">
        <f t="shared" si="2"/>
        <v>43054</v>
      </c>
    </row>
    <row r="147" spans="1:12" s="700" customFormat="1" ht="51.75" customHeight="1" x14ac:dyDescent="0.25">
      <c r="A147" s="24" t="s">
        <v>94</v>
      </c>
      <c r="B147" s="24" t="s">
        <v>81</v>
      </c>
      <c r="C147" s="24" t="s">
        <v>22</v>
      </c>
      <c r="D147" s="24" t="s">
        <v>2977</v>
      </c>
      <c r="E147" s="24" t="s">
        <v>143</v>
      </c>
      <c r="F147" s="24" t="s">
        <v>29</v>
      </c>
      <c r="G147" s="30" t="s">
        <v>3359</v>
      </c>
      <c r="H147" s="30" t="s">
        <v>84</v>
      </c>
      <c r="I147" s="19" t="s">
        <v>3360</v>
      </c>
      <c r="J147" s="39">
        <v>109030</v>
      </c>
      <c r="K147" s="39"/>
      <c r="L147" s="581">
        <f t="shared" si="2"/>
        <v>109030</v>
      </c>
    </row>
    <row r="148" spans="1:12" s="746" customFormat="1" ht="51.75" customHeight="1" x14ac:dyDescent="0.25">
      <c r="A148" s="24" t="s">
        <v>46</v>
      </c>
      <c r="B148" s="24" t="s">
        <v>81</v>
      </c>
      <c r="C148" s="24" t="s">
        <v>22</v>
      </c>
      <c r="D148" s="24" t="s">
        <v>2977</v>
      </c>
      <c r="E148" s="24" t="s">
        <v>143</v>
      </c>
      <c r="F148" s="24" t="s">
        <v>29</v>
      </c>
      <c r="G148" s="30" t="s">
        <v>3462</v>
      </c>
      <c r="H148" s="30" t="s">
        <v>84</v>
      </c>
      <c r="I148" s="19" t="s">
        <v>3463</v>
      </c>
      <c r="J148" s="39">
        <v>24048</v>
      </c>
      <c r="K148" s="39"/>
      <c r="L148" s="581">
        <f t="shared" si="2"/>
        <v>24048</v>
      </c>
    </row>
    <row r="149" spans="1:12" s="660" customFormat="1" ht="82.5" customHeight="1" x14ac:dyDescent="0.25">
      <c r="A149" s="24" t="s">
        <v>38</v>
      </c>
      <c r="B149" s="24" t="s">
        <v>81</v>
      </c>
      <c r="C149" s="24" t="s">
        <v>22</v>
      </c>
      <c r="D149" s="24" t="s">
        <v>2977</v>
      </c>
      <c r="E149" s="24" t="s">
        <v>143</v>
      </c>
      <c r="F149" s="24" t="s">
        <v>29</v>
      </c>
      <c r="G149" s="30" t="s">
        <v>3232</v>
      </c>
      <c r="H149" s="30" t="s">
        <v>84</v>
      </c>
      <c r="I149" s="19" t="s">
        <v>3233</v>
      </c>
      <c r="J149" s="39">
        <v>2000000</v>
      </c>
      <c r="K149" s="39"/>
      <c r="L149" s="581">
        <f t="shared" si="2"/>
        <v>2000000</v>
      </c>
    </row>
    <row r="150" spans="1:12" s="660" customFormat="1" ht="54.75" customHeight="1" x14ac:dyDescent="0.25">
      <c r="A150" s="24" t="s">
        <v>38</v>
      </c>
      <c r="B150" s="24" t="s">
        <v>81</v>
      </c>
      <c r="C150" s="24" t="s">
        <v>22</v>
      </c>
      <c r="D150" s="24" t="s">
        <v>2977</v>
      </c>
      <c r="E150" s="24" t="s">
        <v>143</v>
      </c>
      <c r="F150" s="24" t="s">
        <v>29</v>
      </c>
      <c r="G150" s="30" t="s">
        <v>3234</v>
      </c>
      <c r="H150" s="30" t="s">
        <v>84</v>
      </c>
      <c r="I150" s="19" t="s">
        <v>3235</v>
      </c>
      <c r="J150" s="39">
        <v>1376164</v>
      </c>
      <c r="K150" s="39">
        <v>-176164</v>
      </c>
      <c r="L150" s="581">
        <f t="shared" si="2"/>
        <v>1200000</v>
      </c>
    </row>
    <row r="151" spans="1:12" s="660" customFormat="1" ht="54.75" customHeight="1" x14ac:dyDescent="0.25">
      <c r="A151" s="24" t="s">
        <v>94</v>
      </c>
      <c r="B151" s="24" t="s">
        <v>81</v>
      </c>
      <c r="C151" s="24" t="s">
        <v>22</v>
      </c>
      <c r="D151" s="24" t="s">
        <v>2977</v>
      </c>
      <c r="E151" s="24" t="s">
        <v>143</v>
      </c>
      <c r="F151" s="24" t="s">
        <v>29</v>
      </c>
      <c r="G151" s="30" t="s">
        <v>3262</v>
      </c>
      <c r="H151" s="30" t="s">
        <v>84</v>
      </c>
      <c r="I151" s="19" t="s">
        <v>3263</v>
      </c>
      <c r="J151" s="39">
        <v>3054323</v>
      </c>
      <c r="K151" s="39">
        <f>(40000+100000)</f>
        <v>140000</v>
      </c>
      <c r="L151" s="581">
        <f t="shared" si="2"/>
        <v>3194323</v>
      </c>
    </row>
    <row r="152" spans="1:12" s="700" customFormat="1" ht="54.75" customHeight="1" x14ac:dyDescent="0.25">
      <c r="A152" s="24" t="s">
        <v>94</v>
      </c>
      <c r="B152" s="24" t="s">
        <v>81</v>
      </c>
      <c r="C152" s="24" t="s">
        <v>22</v>
      </c>
      <c r="D152" s="24" t="s">
        <v>2977</v>
      </c>
      <c r="E152" s="24" t="s">
        <v>143</v>
      </c>
      <c r="F152" s="24" t="s">
        <v>29</v>
      </c>
      <c r="G152" s="30" t="s">
        <v>3361</v>
      </c>
      <c r="H152" s="30" t="s">
        <v>84</v>
      </c>
      <c r="I152" s="19" t="s">
        <v>3362</v>
      </c>
      <c r="J152" s="39">
        <v>22987</v>
      </c>
      <c r="K152" s="39"/>
      <c r="L152" s="581">
        <f t="shared" si="2"/>
        <v>22987</v>
      </c>
    </row>
    <row r="153" spans="1:12" s="700" customFormat="1" ht="54.75" customHeight="1" x14ac:dyDescent="0.25">
      <c r="A153" s="24" t="s">
        <v>94</v>
      </c>
      <c r="B153" s="24" t="s">
        <v>81</v>
      </c>
      <c r="C153" s="24" t="s">
        <v>22</v>
      </c>
      <c r="D153" s="24" t="s">
        <v>2977</v>
      </c>
      <c r="E153" s="24" t="s">
        <v>143</v>
      </c>
      <c r="F153" s="24" t="s">
        <v>29</v>
      </c>
      <c r="G153" s="30" t="s">
        <v>3363</v>
      </c>
      <c r="H153" s="30" t="s">
        <v>84</v>
      </c>
      <c r="I153" s="19" t="s">
        <v>3364</v>
      </c>
      <c r="J153" s="39">
        <v>59734</v>
      </c>
      <c r="K153" s="39"/>
      <c r="L153" s="581">
        <f t="shared" si="2"/>
        <v>59734</v>
      </c>
    </row>
    <row r="154" spans="1:12" s="660" customFormat="1" ht="66.75" customHeight="1" x14ac:dyDescent="0.25">
      <c r="A154" s="24" t="s">
        <v>38</v>
      </c>
      <c r="B154" s="24" t="s">
        <v>81</v>
      </c>
      <c r="C154" s="24" t="s">
        <v>22</v>
      </c>
      <c r="D154" s="24" t="s">
        <v>2977</v>
      </c>
      <c r="E154" s="24" t="s">
        <v>143</v>
      </c>
      <c r="F154" s="24" t="s">
        <v>29</v>
      </c>
      <c r="G154" s="30" t="s">
        <v>3236</v>
      </c>
      <c r="H154" s="30" t="s">
        <v>84</v>
      </c>
      <c r="I154" s="19" t="s">
        <v>3237</v>
      </c>
      <c r="J154" s="39">
        <v>17071885</v>
      </c>
      <c r="K154" s="39">
        <v>-12715886</v>
      </c>
      <c r="L154" s="581">
        <f t="shared" si="2"/>
        <v>4355999</v>
      </c>
    </row>
    <row r="155" spans="1:12" s="660" customFormat="1" ht="60" customHeight="1" x14ac:dyDescent="0.25">
      <c r="A155" s="24" t="s">
        <v>38</v>
      </c>
      <c r="B155" s="24" t="s">
        <v>81</v>
      </c>
      <c r="C155" s="24" t="s">
        <v>22</v>
      </c>
      <c r="D155" s="24" t="s">
        <v>2977</v>
      </c>
      <c r="E155" s="24" t="s">
        <v>143</v>
      </c>
      <c r="F155" s="24" t="s">
        <v>29</v>
      </c>
      <c r="G155" s="30" t="s">
        <v>3238</v>
      </c>
      <c r="H155" s="30" t="s">
        <v>84</v>
      </c>
      <c r="I155" s="19" t="s">
        <v>3239</v>
      </c>
      <c r="J155" s="39">
        <v>12156204</v>
      </c>
      <c r="K155" s="39">
        <v>-3199450</v>
      </c>
      <c r="L155" s="581">
        <f t="shared" si="2"/>
        <v>8956754</v>
      </c>
    </row>
    <row r="156" spans="1:12" s="718" customFormat="1" ht="63" customHeight="1" x14ac:dyDescent="0.25">
      <c r="A156" s="24" t="s">
        <v>38</v>
      </c>
      <c r="B156" s="24" t="s">
        <v>81</v>
      </c>
      <c r="C156" s="24" t="s">
        <v>22</v>
      </c>
      <c r="D156" s="24" t="s">
        <v>2977</v>
      </c>
      <c r="E156" s="24" t="s">
        <v>143</v>
      </c>
      <c r="F156" s="24" t="s">
        <v>29</v>
      </c>
      <c r="G156" s="30" t="s">
        <v>3397</v>
      </c>
      <c r="H156" s="30" t="s">
        <v>84</v>
      </c>
      <c r="I156" s="727" t="s">
        <v>3398</v>
      </c>
      <c r="J156" s="39">
        <v>5071747</v>
      </c>
      <c r="K156" s="39">
        <v>-3856014</v>
      </c>
      <c r="L156" s="581">
        <f t="shared" si="2"/>
        <v>1215733</v>
      </c>
    </row>
    <row r="157" spans="1:12" s="660" customFormat="1" ht="49.5" customHeight="1" x14ac:dyDescent="0.25">
      <c r="A157" s="24" t="s">
        <v>98</v>
      </c>
      <c r="B157" s="24" t="s">
        <v>81</v>
      </c>
      <c r="C157" s="24" t="s">
        <v>22</v>
      </c>
      <c r="D157" s="24" t="s">
        <v>2977</v>
      </c>
      <c r="E157" s="24" t="s">
        <v>143</v>
      </c>
      <c r="F157" s="24" t="s">
        <v>29</v>
      </c>
      <c r="G157" s="30" t="s">
        <v>3252</v>
      </c>
      <c r="H157" s="30" t="s">
        <v>84</v>
      </c>
      <c r="I157" s="19" t="s">
        <v>3253</v>
      </c>
      <c r="J157" s="39">
        <v>280908</v>
      </c>
      <c r="K157" s="39">
        <v>-60000</v>
      </c>
      <c r="L157" s="581">
        <f t="shared" si="2"/>
        <v>220908</v>
      </c>
    </row>
    <row r="158" spans="1:12" s="700" customFormat="1" ht="49.5" customHeight="1" x14ac:dyDescent="0.25">
      <c r="A158" s="24" t="s">
        <v>38</v>
      </c>
      <c r="B158" s="24" t="s">
        <v>81</v>
      </c>
      <c r="C158" s="24" t="s">
        <v>22</v>
      </c>
      <c r="D158" s="24" t="s">
        <v>2977</v>
      </c>
      <c r="E158" s="24" t="s">
        <v>143</v>
      </c>
      <c r="F158" s="24" t="s">
        <v>29</v>
      </c>
      <c r="G158" s="30" t="s">
        <v>3350</v>
      </c>
      <c r="H158" s="30" t="s">
        <v>84</v>
      </c>
      <c r="I158" s="19" t="s">
        <v>3351</v>
      </c>
      <c r="J158" s="39">
        <v>5578657</v>
      </c>
      <c r="K158" s="39"/>
      <c r="L158" s="581">
        <f t="shared" si="2"/>
        <v>5578657</v>
      </c>
    </row>
    <row r="159" spans="1:12" s="700" customFormat="1" ht="49.5" customHeight="1" x14ac:dyDescent="0.25">
      <c r="A159" s="24" t="s">
        <v>94</v>
      </c>
      <c r="B159" s="24" t="s">
        <v>81</v>
      </c>
      <c r="C159" s="24" t="s">
        <v>22</v>
      </c>
      <c r="D159" s="24" t="s">
        <v>2977</v>
      </c>
      <c r="E159" s="24" t="s">
        <v>143</v>
      </c>
      <c r="F159" s="24" t="s">
        <v>29</v>
      </c>
      <c r="G159" s="30" t="s">
        <v>3365</v>
      </c>
      <c r="H159" s="30" t="s">
        <v>84</v>
      </c>
      <c r="I159" s="19" t="s">
        <v>3366</v>
      </c>
      <c r="J159" s="39">
        <v>3844753</v>
      </c>
      <c r="K159" s="39"/>
      <c r="L159" s="581">
        <f t="shared" si="2"/>
        <v>3844753</v>
      </c>
    </row>
    <row r="160" spans="1:12" s="730" customFormat="1" ht="49.5" customHeight="1" thickBot="1" x14ac:dyDescent="0.3">
      <c r="A160" s="24" t="s">
        <v>94</v>
      </c>
      <c r="B160" s="24" t="s">
        <v>81</v>
      </c>
      <c r="C160" s="24" t="s">
        <v>22</v>
      </c>
      <c r="D160" s="24" t="s">
        <v>2977</v>
      </c>
      <c r="E160" s="24" t="s">
        <v>143</v>
      </c>
      <c r="F160" s="24" t="s">
        <v>29</v>
      </c>
      <c r="G160" s="30" t="s">
        <v>3411</v>
      </c>
      <c r="H160" s="30" t="s">
        <v>84</v>
      </c>
      <c r="I160" s="735" t="s">
        <v>3412</v>
      </c>
      <c r="J160" s="39">
        <v>98900</v>
      </c>
      <c r="K160" s="39"/>
      <c r="L160" s="581">
        <f t="shared" si="2"/>
        <v>98900</v>
      </c>
    </row>
    <row r="161" spans="1:12" s="718" customFormat="1" ht="63" customHeight="1" x14ac:dyDescent="0.25">
      <c r="A161" s="24" t="s">
        <v>38</v>
      </c>
      <c r="B161" s="24" t="s">
        <v>81</v>
      </c>
      <c r="C161" s="24" t="s">
        <v>22</v>
      </c>
      <c r="D161" s="24" t="s">
        <v>2977</v>
      </c>
      <c r="E161" s="24" t="s">
        <v>143</v>
      </c>
      <c r="F161" s="24" t="s">
        <v>29</v>
      </c>
      <c r="G161" s="30" t="s">
        <v>3399</v>
      </c>
      <c r="H161" s="30" t="s">
        <v>84</v>
      </c>
      <c r="I161" s="728" t="s">
        <v>3400</v>
      </c>
      <c r="J161" s="39">
        <v>1389926.2599999998</v>
      </c>
      <c r="K161" s="39"/>
      <c r="L161" s="581">
        <f t="shared" si="2"/>
        <v>1389926.2599999998</v>
      </c>
    </row>
    <row r="162" spans="1:12" s="718" customFormat="1" ht="52.9" customHeight="1" x14ac:dyDescent="0.25">
      <c r="A162" s="24" t="s">
        <v>38</v>
      </c>
      <c r="B162" s="24" t="s">
        <v>81</v>
      </c>
      <c r="C162" s="24" t="s">
        <v>22</v>
      </c>
      <c r="D162" s="24" t="s">
        <v>2977</v>
      </c>
      <c r="E162" s="24" t="s">
        <v>143</v>
      </c>
      <c r="F162" s="24" t="s">
        <v>29</v>
      </c>
      <c r="G162" s="30" t="s">
        <v>3401</v>
      </c>
      <c r="H162" s="30" t="s">
        <v>84</v>
      </c>
      <c r="I162" s="729" t="s">
        <v>3402</v>
      </c>
      <c r="J162" s="39">
        <v>8647916.4499999993</v>
      </c>
      <c r="K162" s="39"/>
      <c r="L162" s="581">
        <f t="shared" si="2"/>
        <v>8647916.4499999993</v>
      </c>
    </row>
    <row r="163" spans="1:12" s="730" customFormat="1" ht="52.9" customHeight="1" x14ac:dyDescent="0.25">
      <c r="A163" s="24" t="s">
        <v>38</v>
      </c>
      <c r="B163" s="24" t="s">
        <v>81</v>
      </c>
      <c r="C163" s="24" t="s">
        <v>22</v>
      </c>
      <c r="D163" s="24" t="s">
        <v>2977</v>
      </c>
      <c r="E163" s="24" t="s">
        <v>143</v>
      </c>
      <c r="F163" s="24" t="s">
        <v>29</v>
      </c>
      <c r="G163" s="30" t="s">
        <v>3403</v>
      </c>
      <c r="H163" s="30" t="s">
        <v>84</v>
      </c>
      <c r="I163" s="731" t="s">
        <v>3404</v>
      </c>
      <c r="J163" s="39">
        <v>2368357.2200000002</v>
      </c>
      <c r="K163" s="39"/>
      <c r="L163" s="581">
        <f t="shared" si="2"/>
        <v>2368357.2200000002</v>
      </c>
    </row>
    <row r="164" spans="1:12" s="819" customFormat="1" ht="63" customHeight="1" x14ac:dyDescent="0.25">
      <c r="A164" s="24" t="s">
        <v>106</v>
      </c>
      <c r="B164" s="24" t="s">
        <v>81</v>
      </c>
      <c r="C164" s="24" t="s">
        <v>22</v>
      </c>
      <c r="D164" s="24" t="s">
        <v>2977</v>
      </c>
      <c r="E164" s="24" t="s">
        <v>143</v>
      </c>
      <c r="F164" s="24" t="s">
        <v>29</v>
      </c>
      <c r="G164" s="30" t="s">
        <v>3472</v>
      </c>
      <c r="H164" s="30" t="s">
        <v>84</v>
      </c>
      <c r="I164" s="731" t="s">
        <v>3473</v>
      </c>
      <c r="J164" s="39">
        <v>0</v>
      </c>
      <c r="K164" s="39">
        <v>116000</v>
      </c>
      <c r="L164" s="581">
        <f t="shared" si="2"/>
        <v>116000</v>
      </c>
    </row>
    <row r="165" spans="1:12" s="700" customFormat="1" ht="80.25" customHeight="1" x14ac:dyDescent="0.25">
      <c r="A165" s="24" t="s">
        <v>38</v>
      </c>
      <c r="B165" s="24" t="s">
        <v>81</v>
      </c>
      <c r="C165" s="24" t="s">
        <v>22</v>
      </c>
      <c r="D165" s="24" t="s">
        <v>3352</v>
      </c>
      <c r="E165" s="24" t="s">
        <v>99</v>
      </c>
      <c r="F165" s="24" t="s">
        <v>29</v>
      </c>
      <c r="G165" s="30" t="s">
        <v>3353</v>
      </c>
      <c r="H165" s="30" t="s">
        <v>84</v>
      </c>
      <c r="I165" s="19" t="s">
        <v>3354</v>
      </c>
      <c r="J165" s="39">
        <v>10000000</v>
      </c>
      <c r="K165" s="39"/>
      <c r="L165" s="581">
        <f t="shared" si="2"/>
        <v>10000000</v>
      </c>
    </row>
    <row r="166" spans="1:12" s="35" customFormat="1" ht="15.75" x14ac:dyDescent="0.25">
      <c r="A166" s="24"/>
      <c r="B166" s="24"/>
      <c r="C166" s="24"/>
      <c r="D166" s="24"/>
      <c r="E166" s="24"/>
      <c r="F166" s="24"/>
      <c r="G166" s="30"/>
      <c r="H166" s="30"/>
      <c r="I166" s="15" t="s">
        <v>177</v>
      </c>
      <c r="J166" s="23">
        <v>2208281687.8699999</v>
      </c>
      <c r="K166" s="23">
        <f>K11+K43</f>
        <v>-14471036</v>
      </c>
      <c r="L166" s="16">
        <f t="shared" si="2"/>
        <v>2193810651.8699999</v>
      </c>
    </row>
    <row r="167" spans="1:12" x14ac:dyDescent="0.2">
      <c r="A167" s="24"/>
    </row>
  </sheetData>
  <mergeCells count="10">
    <mergeCell ref="K9:K10"/>
    <mergeCell ref="L9:L10"/>
    <mergeCell ref="G1:L1"/>
    <mergeCell ref="G2:L2"/>
    <mergeCell ref="G3:L3"/>
    <mergeCell ref="G4:L4"/>
    <mergeCell ref="A6:L6"/>
    <mergeCell ref="J9:J10"/>
    <mergeCell ref="I9:I10"/>
    <mergeCell ref="A9:H9"/>
  </mergeCells>
  <printOptions gridLinesSet="0"/>
  <pageMargins left="1.1023622047244095" right="0.70866141732283472" top="0.74803149606299213" bottom="0.74803149606299213" header="0.51181102362204722" footer="0.51181102362204722"/>
  <pageSetup paperSize="9" scale="84"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view="pageBreakPreview" zoomScale="85" zoomScaleSheetLayoutView="85" workbookViewId="0">
      <selection activeCell="D18" sqref="D18:E18"/>
    </sheetView>
  </sheetViews>
  <sheetFormatPr defaultColWidth="9.140625" defaultRowHeight="12.75" x14ac:dyDescent="0.2"/>
  <cols>
    <col min="1" max="1" width="27.7109375" style="41" customWidth="1"/>
    <col min="2" max="2" width="17.140625" style="41" customWidth="1"/>
    <col min="3" max="3" width="10.85546875" style="41" customWidth="1"/>
    <col min="4" max="4" width="22.42578125" style="41" customWidth="1"/>
    <col min="5" max="5" width="9" style="41" bestFit="1" customWidth="1"/>
    <col min="6" max="7" width="9.140625" style="41"/>
    <col min="8" max="8" width="43.42578125" style="41" customWidth="1"/>
    <col min="9" max="16384" width="9.140625" style="41"/>
  </cols>
  <sheetData>
    <row r="1" spans="1:5" ht="15.75" x14ac:dyDescent="0.25">
      <c r="A1" s="868" t="s">
        <v>567</v>
      </c>
      <c r="B1" s="868"/>
      <c r="C1" s="868"/>
      <c r="D1" s="884"/>
      <c r="E1" s="884"/>
    </row>
    <row r="2" spans="1:5" ht="15.75" x14ac:dyDescent="0.25">
      <c r="A2" s="868" t="s">
        <v>1</v>
      </c>
      <c r="B2" s="868"/>
      <c r="C2" s="868"/>
      <c r="D2" s="884"/>
      <c r="E2" s="884"/>
    </row>
    <row r="3" spans="1:5" ht="15.75" x14ac:dyDescent="0.25">
      <c r="A3" s="868" t="s">
        <v>2</v>
      </c>
      <c r="B3" s="868"/>
      <c r="C3" s="868"/>
      <c r="D3" s="884"/>
      <c r="E3" s="884"/>
    </row>
    <row r="4" spans="1:5" ht="15.75" x14ac:dyDescent="0.25">
      <c r="A4" s="868" t="s">
        <v>3143</v>
      </c>
      <c r="B4" s="868"/>
      <c r="C4" s="868"/>
      <c r="D4" s="884"/>
      <c r="E4" s="884"/>
    </row>
    <row r="5" spans="1:5" ht="15.75" x14ac:dyDescent="0.25">
      <c r="A5" s="868"/>
      <c r="B5" s="884"/>
      <c r="C5" s="884"/>
      <c r="D5" s="884"/>
      <c r="E5" s="884"/>
    </row>
    <row r="6" spans="1:5" ht="15.75" x14ac:dyDescent="0.25">
      <c r="A6" s="885" t="s">
        <v>568</v>
      </c>
      <c r="B6" s="886"/>
      <c r="C6" s="886"/>
      <c r="D6" s="886"/>
      <c r="E6" s="886"/>
    </row>
    <row r="7" spans="1:5" ht="34.5" customHeight="1" x14ac:dyDescent="0.2">
      <c r="A7" s="887" t="s">
        <v>3144</v>
      </c>
      <c r="B7" s="888"/>
      <c r="C7" s="888"/>
      <c r="D7" s="888"/>
      <c r="E7" s="888"/>
    </row>
    <row r="8" spans="1:5" ht="15.75" x14ac:dyDescent="0.25">
      <c r="A8" s="5"/>
      <c r="B8" s="1"/>
      <c r="C8" s="1"/>
      <c r="D8" s="1"/>
      <c r="E8" s="1"/>
    </row>
    <row r="9" spans="1:5" ht="36" customHeight="1" x14ac:dyDescent="0.2">
      <c r="A9" s="890" t="s">
        <v>3145</v>
      </c>
      <c r="B9" s="888"/>
      <c r="C9" s="888"/>
      <c r="D9" s="888"/>
      <c r="E9" s="888"/>
    </row>
    <row r="10" spans="1:5" ht="15.75" x14ac:dyDescent="0.25">
      <c r="A10" s="891" t="s">
        <v>352</v>
      </c>
      <c r="B10" s="892"/>
      <c r="C10" s="892"/>
      <c r="D10" s="892"/>
      <c r="E10" s="892"/>
    </row>
    <row r="11" spans="1:5" ht="50.25" customHeight="1" x14ac:dyDescent="0.25">
      <c r="A11" s="89" t="s">
        <v>353</v>
      </c>
      <c r="B11" s="948" t="s">
        <v>569</v>
      </c>
      <c r="C11" s="949"/>
      <c r="D11" s="948" t="s">
        <v>3095</v>
      </c>
      <c r="E11" s="949"/>
    </row>
    <row r="12" spans="1:5" s="122" customFormat="1" ht="15.75" x14ac:dyDescent="0.25">
      <c r="A12" s="91">
        <v>1</v>
      </c>
      <c r="B12" s="950">
        <v>2</v>
      </c>
      <c r="C12" s="951"/>
      <c r="D12" s="951">
        <v>3</v>
      </c>
      <c r="E12" s="951"/>
    </row>
    <row r="13" spans="1:5" ht="31.5" x14ac:dyDescent="0.25">
      <c r="A13" s="92" t="s">
        <v>354</v>
      </c>
      <c r="B13" s="952">
        <f>B14-B15</f>
        <v>1250000</v>
      </c>
      <c r="C13" s="953"/>
      <c r="D13" s="952">
        <f>D14-D15</f>
        <v>0</v>
      </c>
      <c r="E13" s="953"/>
    </row>
    <row r="14" spans="1:5" ht="15.75" x14ac:dyDescent="0.25">
      <c r="A14" s="93" t="s">
        <v>355</v>
      </c>
      <c r="B14" s="954">
        <f>Пр6!C11</f>
        <v>15529000</v>
      </c>
      <c r="C14" s="953"/>
      <c r="D14" s="954">
        <f>Пр6!F12</f>
        <v>15529000</v>
      </c>
      <c r="E14" s="953"/>
    </row>
    <row r="15" spans="1:5" ht="15.75" x14ac:dyDescent="0.25">
      <c r="A15" s="93" t="s">
        <v>356</v>
      </c>
      <c r="B15" s="955">
        <f>-Пр6!C13</f>
        <v>14279000</v>
      </c>
      <c r="C15" s="953"/>
      <c r="D15" s="955">
        <f>-Пр6!F14</f>
        <v>15529000</v>
      </c>
      <c r="E15" s="953"/>
    </row>
    <row r="16" spans="1:5" ht="15.75" x14ac:dyDescent="0.25">
      <c r="A16" s="92" t="s">
        <v>357</v>
      </c>
      <c r="B16" s="956">
        <f>B17-B18</f>
        <v>-1250000</v>
      </c>
      <c r="C16" s="953"/>
      <c r="D16" s="956">
        <f>D17-D18</f>
        <v>0</v>
      </c>
      <c r="E16" s="953"/>
    </row>
    <row r="17" spans="1:5" ht="15.75" x14ac:dyDescent="0.25">
      <c r="A17" s="93" t="s">
        <v>355</v>
      </c>
      <c r="B17" s="955"/>
      <c r="C17" s="953"/>
      <c r="D17" s="953"/>
      <c r="E17" s="953"/>
    </row>
    <row r="18" spans="1:5" ht="15.75" x14ac:dyDescent="0.25">
      <c r="A18" s="93" t="s">
        <v>356</v>
      </c>
      <c r="B18" s="955">
        <f>-Пр6!C16</f>
        <v>1250000</v>
      </c>
      <c r="C18" s="953"/>
      <c r="D18" s="953">
        <f>-Пр6!F16</f>
        <v>0</v>
      </c>
      <c r="E18" s="953"/>
    </row>
    <row r="19" spans="1:5" ht="15.75" x14ac:dyDescent="0.25">
      <c r="A19" s="95" t="s">
        <v>359</v>
      </c>
      <c r="B19" s="956">
        <f>B20-B21</f>
        <v>0</v>
      </c>
      <c r="C19" s="953"/>
      <c r="D19" s="956">
        <f>D20-D21</f>
        <v>0</v>
      </c>
      <c r="E19" s="953"/>
    </row>
    <row r="20" spans="1:5" ht="15.75" x14ac:dyDescent="0.25">
      <c r="A20" s="96" t="s">
        <v>360</v>
      </c>
      <c r="B20" s="954">
        <f>B14+B17</f>
        <v>15529000</v>
      </c>
      <c r="C20" s="953"/>
      <c r="D20" s="954">
        <f>D14+D17</f>
        <v>15529000</v>
      </c>
      <c r="E20" s="953"/>
    </row>
    <row r="21" spans="1:5" ht="15.75" x14ac:dyDescent="0.25">
      <c r="A21" s="96" t="s">
        <v>361</v>
      </c>
      <c r="B21" s="955">
        <f>B15+B18</f>
        <v>15529000</v>
      </c>
      <c r="C21" s="953"/>
      <c r="D21" s="955">
        <f>D15+D18</f>
        <v>15529000</v>
      </c>
      <c r="E21" s="953"/>
    </row>
    <row r="22" spans="1:5" ht="63" x14ac:dyDescent="0.25">
      <c r="A22" s="97" t="s">
        <v>362</v>
      </c>
      <c r="B22" s="956">
        <f>B19</f>
        <v>0</v>
      </c>
      <c r="C22" s="953"/>
      <c r="D22" s="956">
        <f>D19</f>
        <v>0</v>
      </c>
      <c r="E22" s="953"/>
    </row>
    <row r="23" spans="1:5" ht="36" customHeight="1" x14ac:dyDescent="0.25">
      <c r="A23" s="889" t="s">
        <v>3146</v>
      </c>
      <c r="B23" s="886"/>
      <c r="C23" s="886"/>
      <c r="D23" s="886"/>
      <c r="E23" s="886"/>
    </row>
    <row r="24" spans="1:5" ht="15.75" x14ac:dyDescent="0.25">
      <c r="A24" s="868" t="s">
        <v>363</v>
      </c>
      <c r="B24" s="884"/>
      <c r="C24" s="884"/>
      <c r="D24" s="884"/>
      <c r="E24" s="884"/>
    </row>
    <row r="25" spans="1:5" ht="15.75" x14ac:dyDescent="0.25">
      <c r="A25" s="98" t="s">
        <v>364</v>
      </c>
      <c r="B25" s="957" t="s">
        <v>2926</v>
      </c>
      <c r="C25" s="958"/>
      <c r="D25" s="949" t="s">
        <v>3147</v>
      </c>
      <c r="E25" s="949"/>
    </row>
    <row r="26" spans="1:5" s="122" customFormat="1" ht="15.75" x14ac:dyDescent="0.25">
      <c r="A26" s="99">
        <v>1</v>
      </c>
      <c r="B26" s="950">
        <v>2</v>
      </c>
      <c r="C26" s="951"/>
      <c r="D26" s="951">
        <v>3</v>
      </c>
      <c r="E26" s="951"/>
    </row>
    <row r="27" spans="1:5" ht="31.5" x14ac:dyDescent="0.25">
      <c r="A27" s="123" t="s">
        <v>365</v>
      </c>
      <c r="B27" s="954">
        <f>Пр7!B28+B20-B21</f>
        <v>15529000</v>
      </c>
      <c r="C27" s="959"/>
      <c r="D27" s="954">
        <f>B27+D20-D21</f>
        <v>15529000</v>
      </c>
      <c r="E27" s="959"/>
    </row>
    <row r="28" spans="1:5" ht="63" x14ac:dyDescent="0.25">
      <c r="A28" s="124" t="s">
        <v>366</v>
      </c>
      <c r="B28" s="960">
        <v>0</v>
      </c>
      <c r="C28" s="961"/>
      <c r="D28" s="960">
        <v>0</v>
      </c>
      <c r="E28" s="961"/>
    </row>
    <row r="29" spans="1:5" ht="15.75" x14ac:dyDescent="0.2">
      <c r="A29" s="118"/>
      <c r="B29" s="941" t="s">
        <v>3214</v>
      </c>
      <c r="C29" s="962"/>
      <c r="D29" s="941" t="s">
        <v>3148</v>
      </c>
      <c r="E29" s="962"/>
    </row>
    <row r="30" spans="1:5" ht="31.5" x14ac:dyDescent="0.25">
      <c r="A30" s="123" t="s">
        <v>367</v>
      </c>
      <c r="B30" s="963">
        <v>76200000</v>
      </c>
      <c r="C30" s="964"/>
      <c r="D30" s="963">
        <v>80600000</v>
      </c>
      <c r="E30" s="964"/>
    </row>
    <row r="31" spans="1:5" ht="47.25" x14ac:dyDescent="0.25">
      <c r="A31" s="125" t="s">
        <v>368</v>
      </c>
      <c r="B31" s="954">
        <v>2000000</v>
      </c>
      <c r="C31" s="959"/>
      <c r="D31" s="954">
        <v>2000000</v>
      </c>
      <c r="E31" s="959"/>
    </row>
    <row r="32" spans="1:5" ht="47.25" x14ac:dyDescent="0.25">
      <c r="A32" s="125" t="s">
        <v>369</v>
      </c>
      <c r="B32" s="954">
        <f>B20</f>
        <v>15529000</v>
      </c>
      <c r="C32" s="959"/>
      <c r="D32" s="954">
        <f>D20</f>
        <v>15529000</v>
      </c>
      <c r="E32" s="959"/>
    </row>
    <row r="33" spans="1:5" ht="47.25" x14ac:dyDescent="0.25">
      <c r="A33" s="125" t="s">
        <v>570</v>
      </c>
      <c r="B33" s="954">
        <v>0</v>
      </c>
      <c r="C33" s="959"/>
      <c r="D33" s="954">
        <v>0</v>
      </c>
      <c r="E33" s="959"/>
    </row>
    <row r="34" spans="1:5" ht="15.75" x14ac:dyDescent="0.25">
      <c r="A34" s="5"/>
      <c r="B34" s="1"/>
      <c r="C34" s="1"/>
      <c r="D34" s="1"/>
      <c r="E34" s="1"/>
    </row>
    <row r="35" spans="1:5" ht="15.75" x14ac:dyDescent="0.25">
      <c r="A35" s="889"/>
      <c r="B35" s="886"/>
      <c r="C35" s="886"/>
      <c r="D35" s="886"/>
      <c r="E35" s="886"/>
    </row>
    <row r="36" spans="1:5" ht="36" customHeight="1" x14ac:dyDescent="0.2">
      <c r="A36" s="965" t="s">
        <v>371</v>
      </c>
      <c r="B36" s="966"/>
      <c r="C36" s="966"/>
      <c r="D36" s="966"/>
      <c r="E36" s="966"/>
    </row>
    <row r="37" spans="1:5" ht="15.75" x14ac:dyDescent="0.25">
      <c r="A37" s="924" t="s">
        <v>372</v>
      </c>
      <c r="B37" s="893" t="s">
        <v>373</v>
      </c>
      <c r="C37" s="894"/>
      <c r="D37" s="894"/>
      <c r="E37" s="895"/>
    </row>
    <row r="38" spans="1:5" x14ac:dyDescent="0.2">
      <c r="A38" s="925"/>
      <c r="B38" s="927" t="s">
        <v>3149</v>
      </c>
      <c r="C38" s="928"/>
      <c r="D38" s="927" t="s">
        <v>3150</v>
      </c>
      <c r="E38" s="928"/>
    </row>
    <row r="39" spans="1:5" ht="0.75" customHeight="1" x14ac:dyDescent="0.2">
      <c r="A39" s="925"/>
      <c r="B39" s="929"/>
      <c r="C39" s="930"/>
      <c r="D39" s="929"/>
      <c r="E39" s="930"/>
    </row>
    <row r="40" spans="1:5" ht="15.75" x14ac:dyDescent="0.25">
      <c r="A40" s="926"/>
      <c r="B40" s="104" t="s">
        <v>375</v>
      </c>
      <c r="C40" s="90" t="s">
        <v>376</v>
      </c>
      <c r="D40" s="104" t="s">
        <v>375</v>
      </c>
      <c r="E40" s="104" t="s">
        <v>376</v>
      </c>
    </row>
    <row r="41" spans="1:5" ht="15.75" x14ac:dyDescent="0.25">
      <c r="A41" s="91">
        <v>1</v>
      </c>
      <c r="B41" s="104">
        <v>2</v>
      </c>
      <c r="C41" s="104">
        <v>3</v>
      </c>
      <c r="D41" s="104">
        <v>4</v>
      </c>
      <c r="E41" s="104">
        <v>5</v>
      </c>
    </row>
    <row r="42" spans="1:5" ht="31.5" x14ac:dyDescent="0.25">
      <c r="A42" s="105" t="s">
        <v>377</v>
      </c>
      <c r="B42" s="106">
        <f>B45-B43</f>
        <v>15529000</v>
      </c>
      <c r="C42" s="107">
        <f>B42/B$45</f>
        <v>1</v>
      </c>
      <c r="D42" s="108">
        <f>B42+D13</f>
        <v>15529000</v>
      </c>
      <c r="E42" s="107">
        <f>D42/D$45</f>
        <v>1</v>
      </c>
    </row>
    <row r="43" spans="1:5" ht="15.75" x14ac:dyDescent="0.25">
      <c r="A43" s="105" t="s">
        <v>378</v>
      </c>
      <c r="B43" s="106">
        <f>Пр7!D43-B18</f>
        <v>0</v>
      </c>
      <c r="C43" s="107">
        <f>B43/B$45</f>
        <v>0</v>
      </c>
      <c r="D43" s="106">
        <f>B43-D18</f>
        <v>0</v>
      </c>
      <c r="E43" s="107">
        <f>D43/D$45</f>
        <v>0</v>
      </c>
    </row>
    <row r="44" spans="1:5" ht="31.5" x14ac:dyDescent="0.25">
      <c r="A44" s="105" t="s">
        <v>379</v>
      </c>
      <c r="B44" s="106">
        <v>0</v>
      </c>
      <c r="C44" s="107">
        <f>B44/B$45</f>
        <v>0</v>
      </c>
      <c r="D44" s="106">
        <v>0</v>
      </c>
      <c r="E44" s="107">
        <f>D44/D$45</f>
        <v>0</v>
      </c>
    </row>
    <row r="45" spans="1:5" ht="31.5" x14ac:dyDescent="0.25">
      <c r="A45" s="105" t="s">
        <v>380</v>
      </c>
      <c r="B45" s="108">
        <f>B27</f>
        <v>15529000</v>
      </c>
      <c r="C45" s="107">
        <f>B45/B$45</f>
        <v>1</v>
      </c>
      <c r="D45" s="108">
        <f>D42+D43+D44</f>
        <v>15529000</v>
      </c>
      <c r="E45" s="107">
        <f>D45/D$45</f>
        <v>1</v>
      </c>
    </row>
    <row r="46" spans="1:5" ht="15.75" x14ac:dyDescent="0.25">
      <c r="A46" s="922"/>
      <c r="B46" s="923"/>
      <c r="C46" s="923"/>
      <c r="D46" s="923"/>
      <c r="E46" s="923"/>
    </row>
    <row r="47" spans="1:5" x14ac:dyDescent="0.2">
      <c r="A47" s="109"/>
    </row>
    <row r="48" spans="1:5" ht="15.75" x14ac:dyDescent="0.25">
      <c r="A48" s="5"/>
    </row>
  </sheetData>
  <mergeCells count="60">
    <mergeCell ref="A46:E46"/>
    <mergeCell ref="B33:C33"/>
    <mergeCell ref="D33:E33"/>
    <mergeCell ref="A35:E35"/>
    <mergeCell ref="A36:E36"/>
    <mergeCell ref="A37:A40"/>
    <mergeCell ref="B37:E37"/>
    <mergeCell ref="B38:C39"/>
    <mergeCell ref="D38:E39"/>
    <mergeCell ref="B30:C30"/>
    <mergeCell ref="D30:E30"/>
    <mergeCell ref="B31:C31"/>
    <mergeCell ref="D31:E31"/>
    <mergeCell ref="B32:C32"/>
    <mergeCell ref="D32:E32"/>
    <mergeCell ref="B27:C27"/>
    <mergeCell ref="D27:E27"/>
    <mergeCell ref="B28:C28"/>
    <mergeCell ref="D28:E28"/>
    <mergeCell ref="B29:C29"/>
    <mergeCell ref="D29:E29"/>
    <mergeCell ref="A24:E24"/>
    <mergeCell ref="B25:C25"/>
    <mergeCell ref="D25:E25"/>
    <mergeCell ref="B26:C26"/>
    <mergeCell ref="D26:E26"/>
    <mergeCell ref="D21:E21"/>
    <mergeCell ref="B21:C21"/>
    <mergeCell ref="D22:E22"/>
    <mergeCell ref="B22:C22"/>
    <mergeCell ref="A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D13:E13"/>
    <mergeCell ref="B13:C13"/>
    <mergeCell ref="B14:C14"/>
    <mergeCell ref="D14:E14"/>
    <mergeCell ref="A6:E6"/>
    <mergeCell ref="A7:E7"/>
    <mergeCell ref="A9:E9"/>
    <mergeCell ref="A10:E10"/>
    <mergeCell ref="B11:C11"/>
    <mergeCell ref="D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4"/>
  <sheetViews>
    <sheetView showGridLines="0" view="pageBreakPreview" topLeftCell="A38" zoomScaleSheetLayoutView="100" workbookViewId="0">
      <selection activeCell="C150" sqref="C150"/>
    </sheetView>
  </sheetViews>
  <sheetFormatPr defaultColWidth="9.140625" defaultRowHeight="12.75" x14ac:dyDescent="0.2"/>
  <cols>
    <col min="1" max="1" width="5.140625" style="126" bestFit="1" customWidth="1"/>
    <col min="2" max="2" width="24.42578125" style="126" customWidth="1"/>
    <col min="3" max="3" width="59.140625" style="126" customWidth="1"/>
    <col min="4" max="16384" width="9.140625" style="126"/>
  </cols>
  <sheetData>
    <row r="1" spans="1:3" ht="15.75" customHeight="1" x14ac:dyDescent="0.25">
      <c r="A1" s="868" t="s">
        <v>381</v>
      </c>
      <c r="B1" s="868"/>
      <c r="C1" s="868"/>
    </row>
    <row r="2" spans="1:3" ht="15.75" x14ac:dyDescent="0.25">
      <c r="A2" s="868" t="s">
        <v>1</v>
      </c>
      <c r="B2" s="868"/>
      <c r="C2" s="868"/>
    </row>
    <row r="3" spans="1:3" ht="15.75" x14ac:dyDescent="0.25">
      <c r="A3" s="868" t="s">
        <v>2</v>
      </c>
      <c r="B3" s="868"/>
      <c r="C3" s="868"/>
    </row>
    <row r="4" spans="1:3" ht="15.75" x14ac:dyDescent="0.25">
      <c r="A4" s="868" t="s">
        <v>3151</v>
      </c>
      <c r="B4" s="868"/>
      <c r="C4" s="868"/>
    </row>
    <row r="5" spans="1:3" ht="15.75" x14ac:dyDescent="0.25">
      <c r="A5" s="35"/>
      <c r="B5" s="1"/>
      <c r="C5" s="1"/>
    </row>
    <row r="6" spans="1:3" ht="45.75" customHeight="1" x14ac:dyDescent="0.2">
      <c r="A6" s="869" t="s">
        <v>571</v>
      </c>
      <c r="B6" s="869"/>
      <c r="C6" s="869"/>
    </row>
    <row r="7" spans="1:3" ht="15.75" hidden="1" x14ac:dyDescent="0.25">
      <c r="A7" s="5"/>
    </row>
    <row r="8" spans="1:3" ht="15.75" x14ac:dyDescent="0.2">
      <c r="A8" s="941" t="s">
        <v>384</v>
      </c>
      <c r="B8" s="942"/>
      <c r="C8" s="943"/>
    </row>
    <row r="9" spans="1:3" ht="66" customHeight="1" x14ac:dyDescent="0.2">
      <c r="A9" s="19">
        <v>950</v>
      </c>
      <c r="B9" s="19" t="s">
        <v>385</v>
      </c>
      <c r="C9" s="19" t="s">
        <v>572</v>
      </c>
    </row>
    <row r="10" spans="1:3" ht="31.5" x14ac:dyDescent="0.25">
      <c r="A10" s="19">
        <v>950</v>
      </c>
      <c r="B10" s="19" t="s">
        <v>573</v>
      </c>
      <c r="C10" s="51" t="s">
        <v>574</v>
      </c>
    </row>
    <row r="11" spans="1:3" ht="47.25" x14ac:dyDescent="0.2">
      <c r="A11" s="19">
        <v>950</v>
      </c>
      <c r="B11" s="110" t="s">
        <v>387</v>
      </c>
      <c r="C11" s="19" t="s">
        <v>65</v>
      </c>
    </row>
    <row r="12" spans="1:3" ht="31.5" x14ac:dyDescent="0.2">
      <c r="A12" s="19">
        <v>950</v>
      </c>
      <c r="B12" s="110" t="s">
        <v>388</v>
      </c>
      <c r="C12" s="19" t="s">
        <v>389</v>
      </c>
    </row>
    <row r="13" spans="1:3" ht="78.75" x14ac:dyDescent="0.2">
      <c r="A13" s="111">
        <v>950</v>
      </c>
      <c r="B13" s="19" t="s">
        <v>390</v>
      </c>
      <c r="C13" s="19" t="s">
        <v>391</v>
      </c>
    </row>
    <row r="14" spans="1:3" ht="47.25" x14ac:dyDescent="0.2">
      <c r="A14" s="111">
        <v>950</v>
      </c>
      <c r="B14" s="19" t="s">
        <v>394</v>
      </c>
      <c r="C14" s="19" t="s">
        <v>395</v>
      </c>
    </row>
    <row r="15" spans="1:3" ht="31.5" x14ac:dyDescent="0.2">
      <c r="A15" s="111">
        <v>950</v>
      </c>
      <c r="B15" s="110" t="s">
        <v>396</v>
      </c>
      <c r="C15" s="19" t="s">
        <v>397</v>
      </c>
    </row>
    <row r="16" spans="1:3" ht="31.5" x14ac:dyDescent="0.2">
      <c r="A16" s="111">
        <v>950</v>
      </c>
      <c r="B16" s="19" t="s">
        <v>398</v>
      </c>
      <c r="C16" s="19" t="s">
        <v>399</v>
      </c>
    </row>
    <row r="17" spans="1:3" ht="66" customHeight="1" x14ac:dyDescent="0.2">
      <c r="A17" s="111">
        <v>950</v>
      </c>
      <c r="B17" s="19" t="s">
        <v>3102</v>
      </c>
      <c r="C17" s="19" t="s">
        <v>3110</v>
      </c>
    </row>
    <row r="18" spans="1:3" ht="31.5" x14ac:dyDescent="0.2">
      <c r="A18" s="19">
        <v>950</v>
      </c>
      <c r="B18" s="19" t="s">
        <v>2978</v>
      </c>
      <c r="C18" s="19" t="s">
        <v>458</v>
      </c>
    </row>
    <row r="19" spans="1:3" ht="47.25" x14ac:dyDescent="0.2">
      <c r="A19" s="19">
        <v>950</v>
      </c>
      <c r="B19" s="19" t="s">
        <v>3011</v>
      </c>
      <c r="C19" s="19" t="s">
        <v>533</v>
      </c>
    </row>
    <row r="20" spans="1:3" ht="99.75" customHeight="1" x14ac:dyDescent="0.2">
      <c r="A20" s="630">
        <v>950</v>
      </c>
      <c r="B20" s="565" t="s">
        <v>3012</v>
      </c>
      <c r="C20" s="606" t="s">
        <v>3111</v>
      </c>
    </row>
    <row r="21" spans="1:3" ht="126" x14ac:dyDescent="0.2">
      <c r="A21" s="111">
        <v>950</v>
      </c>
      <c r="B21" s="19" t="s">
        <v>3085</v>
      </c>
      <c r="C21" s="31" t="s">
        <v>3103</v>
      </c>
    </row>
    <row r="22" spans="1:3" ht="94.5" x14ac:dyDescent="0.2">
      <c r="A22" s="111">
        <v>950</v>
      </c>
      <c r="B22" s="19" t="s">
        <v>3084</v>
      </c>
      <c r="C22" s="31" t="s">
        <v>3104</v>
      </c>
    </row>
    <row r="23" spans="1:3" ht="84.75" customHeight="1" x14ac:dyDescent="0.2">
      <c r="A23" s="111">
        <v>950</v>
      </c>
      <c r="B23" s="19" t="s">
        <v>3105</v>
      </c>
      <c r="C23" s="31" t="s">
        <v>3108</v>
      </c>
    </row>
    <row r="24" spans="1:3" ht="63" x14ac:dyDescent="0.2">
      <c r="A24" s="111">
        <v>950</v>
      </c>
      <c r="B24" s="19" t="s">
        <v>3106</v>
      </c>
      <c r="C24" s="31" t="s">
        <v>3109</v>
      </c>
    </row>
    <row r="25" spans="1:3" ht="15.75" x14ac:dyDescent="0.2">
      <c r="A25" s="111">
        <v>950</v>
      </c>
      <c r="B25" s="19" t="s">
        <v>2979</v>
      </c>
      <c r="C25" s="31" t="s">
        <v>417</v>
      </c>
    </row>
    <row r="26" spans="1:3" ht="47.25" x14ac:dyDescent="0.2">
      <c r="A26" s="111">
        <v>950</v>
      </c>
      <c r="B26" s="19" t="s">
        <v>2982</v>
      </c>
      <c r="C26" s="19" t="s">
        <v>423</v>
      </c>
    </row>
    <row r="27" spans="1:3" ht="71.25" customHeight="1" x14ac:dyDescent="0.2">
      <c r="A27" s="111">
        <v>950</v>
      </c>
      <c r="B27" s="19" t="s">
        <v>2981</v>
      </c>
      <c r="C27" s="19" t="s">
        <v>2984</v>
      </c>
    </row>
    <row r="28" spans="1:3" ht="47.25" x14ac:dyDescent="0.2">
      <c r="A28" s="111">
        <v>950</v>
      </c>
      <c r="B28" s="19" t="s">
        <v>2980</v>
      </c>
      <c r="C28" s="19" t="s">
        <v>2983</v>
      </c>
    </row>
    <row r="29" spans="1:3" ht="78.75" x14ac:dyDescent="0.2">
      <c r="A29" s="110">
        <v>950</v>
      </c>
      <c r="B29" s="110" t="s">
        <v>2985</v>
      </c>
      <c r="C29" s="19" t="s">
        <v>425</v>
      </c>
    </row>
    <row r="30" spans="1:3" ht="31.5" x14ac:dyDescent="0.2">
      <c r="A30" s="110">
        <v>950</v>
      </c>
      <c r="B30" s="110" t="s">
        <v>2986</v>
      </c>
      <c r="C30" s="19" t="s">
        <v>427</v>
      </c>
    </row>
    <row r="31" spans="1:3" ht="63" x14ac:dyDescent="0.2">
      <c r="A31" s="111">
        <v>950</v>
      </c>
      <c r="B31" s="19" t="s">
        <v>3014</v>
      </c>
      <c r="C31" s="19" t="s">
        <v>3015</v>
      </c>
    </row>
    <row r="32" spans="1:3" ht="31.5" x14ac:dyDescent="0.2">
      <c r="A32" s="111">
        <v>950</v>
      </c>
      <c r="B32" s="19" t="s">
        <v>402</v>
      </c>
      <c r="C32" s="19" t="s">
        <v>403</v>
      </c>
    </row>
    <row r="33" spans="1:3" ht="78.75" x14ac:dyDescent="0.2">
      <c r="A33" s="111">
        <v>950</v>
      </c>
      <c r="B33" s="19" t="s">
        <v>3107</v>
      </c>
      <c r="C33" s="19" t="s">
        <v>3112</v>
      </c>
    </row>
    <row r="34" spans="1:3" ht="63" x14ac:dyDescent="0.2">
      <c r="A34" s="111">
        <v>950</v>
      </c>
      <c r="B34" s="19" t="s">
        <v>3114</v>
      </c>
      <c r="C34" s="19" t="s">
        <v>3113</v>
      </c>
    </row>
    <row r="35" spans="1:3" ht="110.25" x14ac:dyDescent="0.2">
      <c r="A35" s="111">
        <v>950</v>
      </c>
      <c r="B35" s="19" t="s">
        <v>3016</v>
      </c>
      <c r="C35" s="19" t="s">
        <v>3038</v>
      </c>
    </row>
    <row r="36" spans="1:3" ht="126" x14ac:dyDescent="0.2">
      <c r="A36" s="111">
        <v>950</v>
      </c>
      <c r="B36" s="19" t="s">
        <v>3018</v>
      </c>
      <c r="C36" s="19" t="s">
        <v>3017</v>
      </c>
    </row>
    <row r="37" spans="1:3" ht="94.5" x14ac:dyDescent="0.2">
      <c r="A37" s="111">
        <v>950</v>
      </c>
      <c r="B37" s="19" t="s">
        <v>3020</v>
      </c>
      <c r="C37" s="19" t="s">
        <v>3019</v>
      </c>
    </row>
    <row r="38" spans="1:3" ht="78.75" x14ac:dyDescent="0.2">
      <c r="A38" s="111">
        <v>950</v>
      </c>
      <c r="B38" s="19" t="s">
        <v>3022</v>
      </c>
      <c r="C38" s="19" t="s">
        <v>3021</v>
      </c>
    </row>
    <row r="39" spans="1:3" ht="78.75" x14ac:dyDescent="0.2">
      <c r="A39" s="111">
        <v>950</v>
      </c>
      <c r="B39" s="19" t="s">
        <v>3024</v>
      </c>
      <c r="C39" s="19" t="s">
        <v>3023</v>
      </c>
    </row>
    <row r="40" spans="1:3" ht="36" customHeight="1" x14ac:dyDescent="0.2">
      <c r="A40" s="941" t="s">
        <v>428</v>
      </c>
      <c r="B40" s="942"/>
      <c r="C40" s="943"/>
    </row>
    <row r="41" spans="1:3" ht="63" x14ac:dyDescent="0.2">
      <c r="A41" s="19">
        <v>952</v>
      </c>
      <c r="B41" s="19" t="s">
        <v>429</v>
      </c>
      <c r="C41" s="19" t="s">
        <v>430</v>
      </c>
    </row>
    <row r="42" spans="1:3" ht="110.25" x14ac:dyDescent="0.2">
      <c r="A42" s="19">
        <v>952</v>
      </c>
      <c r="B42" s="19" t="s">
        <v>3115</v>
      </c>
      <c r="C42" s="19" t="s">
        <v>3119</v>
      </c>
    </row>
    <row r="43" spans="1:3" ht="99.75" customHeight="1" x14ac:dyDescent="0.2">
      <c r="A43" s="19">
        <v>952</v>
      </c>
      <c r="B43" s="19" t="s">
        <v>431</v>
      </c>
      <c r="C43" s="19" t="s">
        <v>575</v>
      </c>
    </row>
    <row r="44" spans="1:3" ht="94.5" x14ac:dyDescent="0.2">
      <c r="A44" s="19">
        <v>952</v>
      </c>
      <c r="B44" s="19" t="s">
        <v>433</v>
      </c>
      <c r="C44" s="19" t="s">
        <v>434</v>
      </c>
    </row>
    <row r="45" spans="1:3" ht="47.25" x14ac:dyDescent="0.2">
      <c r="A45" s="19">
        <v>952</v>
      </c>
      <c r="B45" s="19" t="s">
        <v>437</v>
      </c>
      <c r="C45" s="19" t="s">
        <v>438</v>
      </c>
    </row>
    <row r="46" spans="1:3" ht="63" x14ac:dyDescent="0.2">
      <c r="A46" s="19">
        <v>952</v>
      </c>
      <c r="B46" s="19" t="s">
        <v>439</v>
      </c>
      <c r="C46" s="19" t="s">
        <v>440</v>
      </c>
    </row>
    <row r="47" spans="1:3" ht="94.5" x14ac:dyDescent="0.2">
      <c r="A47" s="19">
        <v>952</v>
      </c>
      <c r="B47" s="19" t="s">
        <v>441</v>
      </c>
      <c r="C47" s="19" t="s">
        <v>442</v>
      </c>
    </row>
    <row r="48" spans="1:3" ht="31.5" x14ac:dyDescent="0.2">
      <c r="A48" s="19">
        <v>952</v>
      </c>
      <c r="B48" s="19" t="s">
        <v>576</v>
      </c>
      <c r="C48" s="19" t="s">
        <v>389</v>
      </c>
    </row>
    <row r="49" spans="1:3" ht="110.25" x14ac:dyDescent="0.2">
      <c r="A49" s="19">
        <v>952</v>
      </c>
      <c r="B49" s="19" t="s">
        <v>445</v>
      </c>
      <c r="C49" s="19" t="s">
        <v>446</v>
      </c>
    </row>
    <row r="50" spans="1:3" ht="110.25" x14ac:dyDescent="0.2">
      <c r="A50" s="19">
        <v>952</v>
      </c>
      <c r="B50" s="19" t="s">
        <v>447</v>
      </c>
      <c r="C50" s="19" t="s">
        <v>448</v>
      </c>
    </row>
    <row r="51" spans="1:3" ht="63" x14ac:dyDescent="0.2">
      <c r="A51" s="19">
        <v>952</v>
      </c>
      <c r="B51" s="19" t="s">
        <v>3116</v>
      </c>
      <c r="C51" s="19" t="s">
        <v>3120</v>
      </c>
    </row>
    <row r="52" spans="1:3" ht="63.75" customHeight="1" x14ac:dyDescent="0.2">
      <c r="A52" s="19">
        <v>952</v>
      </c>
      <c r="B52" s="19" t="s">
        <v>577</v>
      </c>
      <c r="C52" s="19" t="s">
        <v>578</v>
      </c>
    </row>
    <row r="53" spans="1:3" ht="63" x14ac:dyDescent="0.2">
      <c r="A53" s="19">
        <v>952</v>
      </c>
      <c r="B53" s="19" t="s">
        <v>453</v>
      </c>
      <c r="C53" s="19" t="s">
        <v>76</v>
      </c>
    </row>
    <row r="54" spans="1:3" ht="78.75" x14ac:dyDescent="0.2">
      <c r="A54" s="111">
        <v>952</v>
      </c>
      <c r="B54" s="19" t="s">
        <v>390</v>
      </c>
      <c r="C54" s="19" t="s">
        <v>391</v>
      </c>
    </row>
    <row r="55" spans="1:3" ht="47.25" x14ac:dyDescent="0.2">
      <c r="A55" s="111">
        <v>952</v>
      </c>
      <c r="B55" s="19" t="s">
        <v>394</v>
      </c>
      <c r="C55" s="19" t="s">
        <v>395</v>
      </c>
    </row>
    <row r="56" spans="1:3" ht="15.75" customHeight="1" x14ac:dyDescent="0.2">
      <c r="A56" s="111">
        <v>952</v>
      </c>
      <c r="B56" s="110" t="s">
        <v>396</v>
      </c>
      <c r="C56" s="19" t="s">
        <v>397</v>
      </c>
    </row>
    <row r="57" spans="1:3" ht="31.5" x14ac:dyDescent="0.2">
      <c r="A57" s="111">
        <v>952</v>
      </c>
      <c r="B57" s="19" t="s">
        <v>398</v>
      </c>
      <c r="C57" s="19" t="s">
        <v>399</v>
      </c>
    </row>
    <row r="58" spans="1:3" ht="15.75" x14ac:dyDescent="0.2">
      <c r="A58" s="127">
        <v>952</v>
      </c>
      <c r="B58" s="19" t="s">
        <v>2987</v>
      </c>
      <c r="C58" s="19" t="s">
        <v>417</v>
      </c>
    </row>
    <row r="59" spans="1:3" ht="78.75" x14ac:dyDescent="0.2">
      <c r="A59" s="112">
        <v>952</v>
      </c>
      <c r="B59" s="19" t="s">
        <v>2985</v>
      </c>
      <c r="C59" s="31" t="s">
        <v>425</v>
      </c>
    </row>
    <row r="60" spans="1:3" ht="31.5" x14ac:dyDescent="0.2">
      <c r="A60" s="111">
        <v>952</v>
      </c>
      <c r="B60" s="19" t="s">
        <v>402</v>
      </c>
      <c r="C60" s="19" t="s">
        <v>403</v>
      </c>
    </row>
    <row r="61" spans="1:3" ht="78.75" x14ac:dyDescent="0.2">
      <c r="A61" s="111">
        <v>952</v>
      </c>
      <c r="B61" s="19" t="s">
        <v>3024</v>
      </c>
      <c r="C61" s="19" t="s">
        <v>3023</v>
      </c>
    </row>
    <row r="62" spans="1:3" ht="15.75" x14ac:dyDescent="0.2">
      <c r="A62" s="941" t="s">
        <v>456</v>
      </c>
      <c r="B62" s="942"/>
      <c r="C62" s="943"/>
    </row>
    <row r="63" spans="1:3" ht="47.25" x14ac:dyDescent="0.2">
      <c r="A63" s="15">
        <v>953</v>
      </c>
      <c r="B63" s="110" t="s">
        <v>387</v>
      </c>
      <c r="C63" s="19" t="s">
        <v>65</v>
      </c>
    </row>
    <row r="64" spans="1:3" ht="31.5" x14ac:dyDescent="0.2">
      <c r="A64" s="112">
        <v>953</v>
      </c>
      <c r="B64" s="110" t="s">
        <v>388</v>
      </c>
      <c r="C64" s="19" t="s">
        <v>389</v>
      </c>
    </row>
    <row r="65" spans="1:3" ht="78.75" x14ac:dyDescent="0.2">
      <c r="A65" s="111">
        <v>953</v>
      </c>
      <c r="B65" s="19" t="s">
        <v>390</v>
      </c>
      <c r="C65" s="19" t="s">
        <v>391</v>
      </c>
    </row>
    <row r="66" spans="1:3" ht="47.25" x14ac:dyDescent="0.2">
      <c r="A66" s="111">
        <v>953</v>
      </c>
      <c r="B66" s="19" t="s">
        <v>394</v>
      </c>
      <c r="C66" s="19" t="s">
        <v>395</v>
      </c>
    </row>
    <row r="67" spans="1:3" ht="31.5" x14ac:dyDescent="0.2">
      <c r="A67" s="111">
        <v>953</v>
      </c>
      <c r="B67" s="110" t="s">
        <v>396</v>
      </c>
      <c r="C67" s="19" t="s">
        <v>397</v>
      </c>
    </row>
    <row r="68" spans="1:3" ht="31.5" x14ac:dyDescent="0.2">
      <c r="A68" s="111">
        <v>953</v>
      </c>
      <c r="B68" s="19" t="s">
        <v>398</v>
      </c>
      <c r="C68" s="19" t="s">
        <v>399</v>
      </c>
    </row>
    <row r="69" spans="1:3" ht="31.5" x14ac:dyDescent="0.2">
      <c r="A69" s="111">
        <v>953</v>
      </c>
      <c r="B69" s="19" t="s">
        <v>2988</v>
      </c>
      <c r="C69" s="19" t="s">
        <v>458</v>
      </c>
    </row>
    <row r="70" spans="1:3" ht="63" x14ac:dyDescent="0.2">
      <c r="A70" s="111">
        <v>953</v>
      </c>
      <c r="B70" s="19" t="s">
        <v>3121</v>
      </c>
      <c r="C70" s="19" t="s">
        <v>3122</v>
      </c>
    </row>
    <row r="71" spans="1:3" ht="15.75" x14ac:dyDescent="0.2">
      <c r="A71" s="111">
        <v>953</v>
      </c>
      <c r="B71" s="19" t="s">
        <v>2979</v>
      </c>
      <c r="C71" s="31" t="s">
        <v>417</v>
      </c>
    </row>
    <row r="72" spans="1:3" ht="56.25" customHeight="1" x14ac:dyDescent="0.2">
      <c r="A72" s="111">
        <v>953</v>
      </c>
      <c r="B72" s="19" t="s">
        <v>2989</v>
      </c>
      <c r="C72" s="19" t="s">
        <v>466</v>
      </c>
    </row>
    <row r="73" spans="1:3" ht="47.25" x14ac:dyDescent="0.2">
      <c r="A73" s="111">
        <v>953</v>
      </c>
      <c r="B73" s="19" t="s">
        <v>2982</v>
      </c>
      <c r="C73" s="19" t="s">
        <v>423</v>
      </c>
    </row>
    <row r="74" spans="1:3" ht="78.75" x14ac:dyDescent="0.2">
      <c r="A74" s="111">
        <v>953</v>
      </c>
      <c r="B74" s="19" t="s">
        <v>2985</v>
      </c>
      <c r="C74" s="19" t="s">
        <v>425</v>
      </c>
    </row>
    <row r="75" spans="1:3" ht="63" x14ac:dyDescent="0.2">
      <c r="A75" s="111">
        <v>953</v>
      </c>
      <c r="B75" s="19" t="s">
        <v>2990</v>
      </c>
      <c r="C75" s="19" t="s">
        <v>579</v>
      </c>
    </row>
    <row r="76" spans="1:3" ht="31.5" x14ac:dyDescent="0.2">
      <c r="A76" s="110">
        <v>953</v>
      </c>
      <c r="B76" s="110" t="s">
        <v>2991</v>
      </c>
      <c r="C76" s="19" t="s">
        <v>427</v>
      </c>
    </row>
    <row r="77" spans="1:3" ht="47.25" x14ac:dyDescent="0.2">
      <c r="A77" s="111">
        <v>953</v>
      </c>
      <c r="B77" s="19" t="s">
        <v>400</v>
      </c>
      <c r="C77" s="19" t="s">
        <v>401</v>
      </c>
    </row>
    <row r="78" spans="1:3" ht="94.5" x14ac:dyDescent="0.2">
      <c r="A78" s="111">
        <v>953</v>
      </c>
      <c r="B78" s="19" t="s">
        <v>3027</v>
      </c>
      <c r="C78" s="19" t="s">
        <v>3026</v>
      </c>
    </row>
    <row r="79" spans="1:3" ht="63" x14ac:dyDescent="0.2">
      <c r="A79" s="111">
        <v>953</v>
      </c>
      <c r="B79" s="19" t="s">
        <v>3024</v>
      </c>
      <c r="C79" s="19" t="s">
        <v>3025</v>
      </c>
    </row>
    <row r="80" spans="1:3" ht="33.75" customHeight="1" x14ac:dyDescent="0.2">
      <c r="A80" s="944" t="s">
        <v>476</v>
      </c>
      <c r="B80" s="945"/>
      <c r="C80" s="946"/>
    </row>
    <row r="81" spans="1:3" ht="47.25" x14ac:dyDescent="0.2">
      <c r="A81" s="111">
        <v>954</v>
      </c>
      <c r="B81" s="110" t="s">
        <v>387</v>
      </c>
      <c r="C81" s="19" t="s">
        <v>65</v>
      </c>
    </row>
    <row r="82" spans="1:3" ht="31.5" x14ac:dyDescent="0.2">
      <c r="A82" s="111">
        <v>954</v>
      </c>
      <c r="B82" s="110" t="s">
        <v>388</v>
      </c>
      <c r="C82" s="19" t="s">
        <v>389</v>
      </c>
    </row>
    <row r="83" spans="1:3" ht="78.75" x14ac:dyDescent="0.2">
      <c r="A83" s="111">
        <v>954</v>
      </c>
      <c r="B83" s="19" t="s">
        <v>390</v>
      </c>
      <c r="C83" s="19" t="s">
        <v>391</v>
      </c>
    </row>
    <row r="84" spans="1:3" ht="47.25" x14ac:dyDescent="0.2">
      <c r="A84" s="111">
        <v>954</v>
      </c>
      <c r="B84" s="19" t="s">
        <v>394</v>
      </c>
      <c r="C84" s="19" t="s">
        <v>395</v>
      </c>
    </row>
    <row r="85" spans="1:3" ht="31.5" x14ac:dyDescent="0.2">
      <c r="A85" s="111">
        <v>954</v>
      </c>
      <c r="B85" s="110" t="s">
        <v>396</v>
      </c>
      <c r="C85" s="19" t="s">
        <v>397</v>
      </c>
    </row>
    <row r="86" spans="1:3" ht="31.5" x14ac:dyDescent="0.2">
      <c r="A86" s="111">
        <v>954</v>
      </c>
      <c r="B86" s="19" t="s">
        <v>398</v>
      </c>
      <c r="C86" s="19" t="s">
        <v>399</v>
      </c>
    </row>
    <row r="87" spans="1:3" ht="31.5" x14ac:dyDescent="0.2">
      <c r="A87" s="111">
        <v>954</v>
      </c>
      <c r="B87" s="19" t="s">
        <v>2978</v>
      </c>
      <c r="C87" s="19" t="s">
        <v>458</v>
      </c>
    </row>
    <row r="88" spans="1:3" ht="63" x14ac:dyDescent="0.2">
      <c r="A88" s="111">
        <v>954</v>
      </c>
      <c r="B88" s="19" t="s">
        <v>2992</v>
      </c>
      <c r="C88" s="19" t="s">
        <v>580</v>
      </c>
    </row>
    <row r="89" spans="1:3" ht="15.75" x14ac:dyDescent="0.2">
      <c r="A89" s="111">
        <v>954</v>
      </c>
      <c r="B89" s="19" t="s">
        <v>2987</v>
      </c>
      <c r="C89" s="19" t="s">
        <v>417</v>
      </c>
    </row>
    <row r="90" spans="1:3" ht="47.25" x14ac:dyDescent="0.2">
      <c r="A90" s="111">
        <v>954</v>
      </c>
      <c r="B90" s="19" t="s">
        <v>2982</v>
      </c>
      <c r="C90" s="19" t="s">
        <v>423</v>
      </c>
    </row>
    <row r="91" spans="1:3" ht="78.75" x14ac:dyDescent="0.2">
      <c r="A91" s="111">
        <v>954</v>
      </c>
      <c r="B91" s="19" t="s">
        <v>2998</v>
      </c>
      <c r="C91" s="19" t="s">
        <v>490</v>
      </c>
    </row>
    <row r="92" spans="1:3" ht="78.75" x14ac:dyDescent="0.2">
      <c r="A92" s="111">
        <v>954</v>
      </c>
      <c r="B92" s="19" t="s">
        <v>3000</v>
      </c>
      <c r="C92" s="19" t="s">
        <v>582</v>
      </c>
    </row>
    <row r="93" spans="1:3" ht="84" customHeight="1" x14ac:dyDescent="0.2">
      <c r="A93" s="111">
        <v>954</v>
      </c>
      <c r="B93" s="19" t="s">
        <v>2994</v>
      </c>
      <c r="C93" s="19" t="s">
        <v>2995</v>
      </c>
    </row>
    <row r="94" spans="1:3" ht="70.5" customHeight="1" x14ac:dyDescent="0.2">
      <c r="A94" s="111">
        <v>954</v>
      </c>
      <c r="B94" s="19" t="s">
        <v>2996</v>
      </c>
      <c r="C94" s="19" t="s">
        <v>581</v>
      </c>
    </row>
    <row r="95" spans="1:3" ht="47.25" x14ac:dyDescent="0.2">
      <c r="A95" s="111">
        <v>954</v>
      </c>
      <c r="B95" s="19" t="s">
        <v>2993</v>
      </c>
      <c r="C95" s="19" t="s">
        <v>478</v>
      </c>
    </row>
    <row r="96" spans="1:3" ht="94.5" x14ac:dyDescent="0.2">
      <c r="A96" s="111">
        <v>954</v>
      </c>
      <c r="B96" s="19" t="s">
        <v>2997</v>
      </c>
      <c r="C96" s="19" t="s">
        <v>488</v>
      </c>
    </row>
    <row r="97" spans="1:3" ht="115.5" customHeight="1" x14ac:dyDescent="0.2">
      <c r="A97" s="111">
        <v>954</v>
      </c>
      <c r="B97" s="19" t="s">
        <v>2999</v>
      </c>
      <c r="C97" s="19" t="s">
        <v>482</v>
      </c>
    </row>
    <row r="98" spans="1:3" ht="66.75" customHeight="1" x14ac:dyDescent="0.2">
      <c r="A98" s="111">
        <v>954</v>
      </c>
      <c r="B98" s="19" t="s">
        <v>3044</v>
      </c>
      <c r="C98" s="19" t="s">
        <v>3045</v>
      </c>
    </row>
    <row r="99" spans="1:3" ht="31.5" x14ac:dyDescent="0.2">
      <c r="A99" s="111">
        <v>954</v>
      </c>
      <c r="B99" s="110" t="s">
        <v>2991</v>
      </c>
      <c r="C99" s="19" t="s">
        <v>427</v>
      </c>
    </row>
    <row r="100" spans="1:3" ht="47.25" x14ac:dyDescent="0.2">
      <c r="A100" s="111">
        <v>954</v>
      </c>
      <c r="B100" s="19" t="s">
        <v>400</v>
      </c>
      <c r="C100" s="19" t="s">
        <v>401</v>
      </c>
    </row>
    <row r="101" spans="1:3" ht="70.5" customHeight="1" x14ac:dyDescent="0.2">
      <c r="A101" s="111">
        <v>954</v>
      </c>
      <c r="B101" s="19" t="s">
        <v>3029</v>
      </c>
      <c r="C101" s="19" t="s">
        <v>3028</v>
      </c>
    </row>
    <row r="102" spans="1:3" ht="63" x14ac:dyDescent="0.2">
      <c r="A102" s="111">
        <v>954</v>
      </c>
      <c r="B102" s="19" t="s">
        <v>3024</v>
      </c>
      <c r="C102" s="19" t="s">
        <v>3025</v>
      </c>
    </row>
    <row r="103" spans="1:3" ht="15.75" x14ac:dyDescent="0.2">
      <c r="A103" s="941" t="s">
        <v>493</v>
      </c>
      <c r="B103" s="942"/>
      <c r="C103" s="943"/>
    </row>
    <row r="104" spans="1:3" ht="31.5" x14ac:dyDescent="0.2">
      <c r="A104" s="19">
        <v>955</v>
      </c>
      <c r="B104" s="110" t="s">
        <v>388</v>
      </c>
      <c r="C104" s="19" t="s">
        <v>389</v>
      </c>
    </row>
    <row r="105" spans="1:3" ht="47.25" x14ac:dyDescent="0.2">
      <c r="A105" s="19">
        <v>955</v>
      </c>
      <c r="B105" s="110" t="s">
        <v>496</v>
      </c>
      <c r="C105" s="19" t="s">
        <v>497</v>
      </c>
    </row>
    <row r="106" spans="1:3" ht="63" x14ac:dyDescent="0.2">
      <c r="A106" s="19">
        <v>955</v>
      </c>
      <c r="B106" s="19" t="s">
        <v>498</v>
      </c>
      <c r="C106" s="19" t="s">
        <v>499</v>
      </c>
    </row>
    <row r="107" spans="1:3" ht="47.25" x14ac:dyDescent="0.2">
      <c r="A107" s="111">
        <v>955</v>
      </c>
      <c r="B107" s="19" t="s">
        <v>394</v>
      </c>
      <c r="C107" s="19" t="s">
        <v>395</v>
      </c>
    </row>
    <row r="108" spans="1:3" ht="31.5" x14ac:dyDescent="0.2">
      <c r="A108" s="19">
        <v>955</v>
      </c>
      <c r="B108" s="110" t="s">
        <v>396</v>
      </c>
      <c r="C108" s="19" t="s">
        <v>397</v>
      </c>
    </row>
    <row r="109" spans="1:3" ht="31.5" x14ac:dyDescent="0.2">
      <c r="A109" s="19">
        <v>955</v>
      </c>
      <c r="B109" s="110" t="s">
        <v>583</v>
      </c>
      <c r="C109" s="19" t="s">
        <v>584</v>
      </c>
    </row>
    <row r="110" spans="1:3" ht="31.5" x14ac:dyDescent="0.2">
      <c r="A110" s="111">
        <v>955</v>
      </c>
      <c r="B110" s="19" t="s">
        <v>398</v>
      </c>
      <c r="C110" s="19" t="s">
        <v>399</v>
      </c>
    </row>
    <row r="111" spans="1:3" ht="31.5" x14ac:dyDescent="0.2">
      <c r="A111" s="19">
        <v>955</v>
      </c>
      <c r="B111" s="19" t="s">
        <v>3001</v>
      </c>
      <c r="C111" s="19" t="s">
        <v>3090</v>
      </c>
    </row>
    <row r="112" spans="1:3" ht="31.5" x14ac:dyDescent="0.2">
      <c r="A112" s="19">
        <v>955</v>
      </c>
      <c r="B112" s="19" t="s">
        <v>3002</v>
      </c>
      <c r="C112" s="19" t="s">
        <v>585</v>
      </c>
    </row>
    <row r="113" spans="1:3" ht="33.75" customHeight="1" x14ac:dyDescent="0.2">
      <c r="A113" s="19">
        <v>955</v>
      </c>
      <c r="B113" s="19" t="s">
        <v>3003</v>
      </c>
      <c r="C113" s="19" t="s">
        <v>505</v>
      </c>
    </row>
    <row r="114" spans="1:3" ht="24" customHeight="1" x14ac:dyDescent="0.2">
      <c r="A114" s="19">
        <v>955</v>
      </c>
      <c r="B114" s="19" t="s">
        <v>3004</v>
      </c>
      <c r="C114" s="19" t="s">
        <v>586</v>
      </c>
    </row>
    <row r="115" spans="1:3" ht="24" customHeight="1" x14ac:dyDescent="0.2">
      <c r="A115" s="19">
        <v>955</v>
      </c>
      <c r="B115" s="19" t="s">
        <v>3005</v>
      </c>
      <c r="C115" s="19" t="s">
        <v>587</v>
      </c>
    </row>
    <row r="116" spans="1:3" ht="15.75" x14ac:dyDescent="0.2">
      <c r="A116" s="19">
        <v>955</v>
      </c>
      <c r="B116" s="19" t="s">
        <v>2979</v>
      </c>
      <c r="C116" s="31" t="s">
        <v>417</v>
      </c>
    </row>
    <row r="117" spans="1:3" ht="47.25" x14ac:dyDescent="0.2">
      <c r="A117" s="19">
        <v>955</v>
      </c>
      <c r="B117" s="19" t="s">
        <v>2982</v>
      </c>
      <c r="C117" s="19" t="s">
        <v>508</v>
      </c>
    </row>
    <row r="118" spans="1:3" ht="52.5" customHeight="1" x14ac:dyDescent="0.2">
      <c r="A118" s="19">
        <v>955</v>
      </c>
      <c r="B118" s="19" t="s">
        <v>3006</v>
      </c>
      <c r="C118" s="19" t="s">
        <v>507</v>
      </c>
    </row>
    <row r="119" spans="1:3" ht="78.75" x14ac:dyDescent="0.2">
      <c r="A119" s="19">
        <v>955</v>
      </c>
      <c r="B119" s="19" t="s">
        <v>2985</v>
      </c>
      <c r="C119" s="19" t="s">
        <v>425</v>
      </c>
    </row>
    <row r="120" spans="1:3" ht="31.5" x14ac:dyDescent="0.2">
      <c r="A120" s="19">
        <v>955</v>
      </c>
      <c r="B120" s="19" t="s">
        <v>2991</v>
      </c>
      <c r="C120" s="19" t="s">
        <v>427</v>
      </c>
    </row>
    <row r="121" spans="1:3" ht="110.25" x14ac:dyDescent="0.2">
      <c r="A121" s="19">
        <v>955</v>
      </c>
      <c r="B121" s="19" t="s">
        <v>512</v>
      </c>
      <c r="C121" s="19" t="s">
        <v>513</v>
      </c>
    </row>
    <row r="122" spans="1:3" ht="110.25" x14ac:dyDescent="0.2">
      <c r="A122" s="19">
        <v>955</v>
      </c>
      <c r="B122" s="19" t="s">
        <v>588</v>
      </c>
      <c r="C122" s="19" t="s">
        <v>589</v>
      </c>
    </row>
    <row r="123" spans="1:3" ht="63" x14ac:dyDescent="0.2">
      <c r="A123" s="19">
        <v>955</v>
      </c>
      <c r="B123" s="19" t="s">
        <v>3014</v>
      </c>
      <c r="C123" s="19" t="s">
        <v>3015</v>
      </c>
    </row>
    <row r="124" spans="1:3" ht="63" x14ac:dyDescent="0.2">
      <c r="A124" s="19">
        <v>955</v>
      </c>
      <c r="B124" s="19" t="s">
        <v>3024</v>
      </c>
      <c r="C124" s="19" t="s">
        <v>3025</v>
      </c>
    </row>
    <row r="125" spans="1:3" ht="33" customHeight="1" x14ac:dyDescent="0.2">
      <c r="A125" s="941" t="s">
        <v>514</v>
      </c>
      <c r="B125" s="942"/>
      <c r="C125" s="943"/>
    </row>
    <row r="126" spans="1:3" ht="47.25" x14ac:dyDescent="0.2">
      <c r="A126" s="114">
        <v>956</v>
      </c>
      <c r="B126" s="110" t="s">
        <v>387</v>
      </c>
      <c r="C126" s="19" t="s">
        <v>65</v>
      </c>
    </row>
    <row r="127" spans="1:3" ht="31.5" x14ac:dyDescent="0.2">
      <c r="A127" s="114">
        <v>956</v>
      </c>
      <c r="B127" s="110" t="s">
        <v>388</v>
      </c>
      <c r="C127" s="19" t="s">
        <v>389</v>
      </c>
    </row>
    <row r="128" spans="1:3" ht="78.75" x14ac:dyDescent="0.2">
      <c r="A128" s="111">
        <v>956</v>
      </c>
      <c r="B128" s="19" t="s">
        <v>390</v>
      </c>
      <c r="C128" s="19" t="s">
        <v>391</v>
      </c>
    </row>
    <row r="129" spans="1:3" ht="47.25" x14ac:dyDescent="0.2">
      <c r="A129" s="111">
        <v>956</v>
      </c>
      <c r="B129" s="19" t="s">
        <v>394</v>
      </c>
      <c r="C129" s="19" t="s">
        <v>395</v>
      </c>
    </row>
    <row r="130" spans="1:3" ht="31.5" x14ac:dyDescent="0.2">
      <c r="A130" s="111">
        <v>956</v>
      </c>
      <c r="B130" s="110" t="s">
        <v>396</v>
      </c>
      <c r="C130" s="19" t="s">
        <v>397</v>
      </c>
    </row>
    <row r="131" spans="1:3" ht="31.5" x14ac:dyDescent="0.2">
      <c r="A131" s="111">
        <v>956</v>
      </c>
      <c r="B131" s="19" t="s">
        <v>398</v>
      </c>
      <c r="C131" s="19" t="s">
        <v>399</v>
      </c>
    </row>
    <row r="132" spans="1:3" ht="31.5" x14ac:dyDescent="0.2">
      <c r="A132" s="111">
        <v>956</v>
      </c>
      <c r="B132" s="19" t="s">
        <v>3117</v>
      </c>
      <c r="C132" s="19" t="s">
        <v>3118</v>
      </c>
    </row>
    <row r="133" spans="1:3" ht="15.75" customHeight="1" x14ac:dyDescent="0.2">
      <c r="A133" s="19">
        <v>956</v>
      </c>
      <c r="B133" s="19" t="s">
        <v>2979</v>
      </c>
      <c r="C133" s="31" t="s">
        <v>417</v>
      </c>
    </row>
    <row r="134" spans="1:3" ht="78.75" x14ac:dyDescent="0.2">
      <c r="A134" s="19">
        <v>956</v>
      </c>
      <c r="B134" s="19" t="s">
        <v>2985</v>
      </c>
      <c r="C134" s="31" t="s">
        <v>425</v>
      </c>
    </row>
    <row r="135" spans="1:3" ht="47.25" x14ac:dyDescent="0.2">
      <c r="A135" s="111">
        <v>956</v>
      </c>
      <c r="B135" s="19" t="s">
        <v>3010</v>
      </c>
      <c r="C135" s="31" t="s">
        <v>523</v>
      </c>
    </row>
    <row r="136" spans="1:3" ht="94.5" x14ac:dyDescent="0.2">
      <c r="A136" s="19">
        <v>956</v>
      </c>
      <c r="B136" s="19" t="s">
        <v>3007</v>
      </c>
      <c r="C136" s="31" t="s">
        <v>517</v>
      </c>
    </row>
    <row r="137" spans="1:3" ht="63" x14ac:dyDescent="0.2">
      <c r="A137" s="19">
        <v>956</v>
      </c>
      <c r="B137" s="19" t="s">
        <v>3008</v>
      </c>
      <c r="C137" s="31" t="s">
        <v>3082</v>
      </c>
    </row>
    <row r="138" spans="1:3" ht="69" customHeight="1" x14ac:dyDescent="0.2">
      <c r="A138" s="19">
        <v>956</v>
      </c>
      <c r="B138" s="19" t="s">
        <v>3009</v>
      </c>
      <c r="C138" s="31" t="s">
        <v>3083</v>
      </c>
    </row>
    <row r="139" spans="1:3" ht="31.5" x14ac:dyDescent="0.2">
      <c r="A139" s="110">
        <v>956</v>
      </c>
      <c r="B139" s="19" t="s">
        <v>2991</v>
      </c>
      <c r="C139" s="19" t="s">
        <v>427</v>
      </c>
    </row>
    <row r="140" spans="1:3" ht="63" x14ac:dyDescent="0.2">
      <c r="A140" s="111">
        <v>956</v>
      </c>
      <c r="B140" s="19" t="s">
        <v>3014</v>
      </c>
      <c r="C140" s="19" t="s">
        <v>3015</v>
      </c>
    </row>
    <row r="141" spans="1:3" ht="47.25" x14ac:dyDescent="0.2">
      <c r="A141" s="111">
        <v>956</v>
      </c>
      <c r="B141" s="19" t="s">
        <v>400</v>
      </c>
      <c r="C141" s="19" t="s">
        <v>401</v>
      </c>
    </row>
    <row r="142" spans="1:3" ht="110.25" x14ac:dyDescent="0.2">
      <c r="A142" s="111">
        <v>956</v>
      </c>
      <c r="B142" s="19" t="s">
        <v>3031</v>
      </c>
      <c r="C142" s="19" t="s">
        <v>3030</v>
      </c>
    </row>
    <row r="143" spans="1:3" ht="78.75" x14ac:dyDescent="0.2">
      <c r="A143" s="111">
        <v>956</v>
      </c>
      <c r="B143" s="19" t="s">
        <v>3033</v>
      </c>
      <c r="C143" s="19" t="s">
        <v>3032</v>
      </c>
    </row>
    <row r="144" spans="1:3" ht="94.5" x14ac:dyDescent="0.2">
      <c r="A144" s="111">
        <v>956</v>
      </c>
      <c r="B144" s="19" t="s">
        <v>3035</v>
      </c>
      <c r="C144" s="19" t="s">
        <v>3034</v>
      </c>
    </row>
    <row r="145" spans="1:3" ht="63" x14ac:dyDescent="0.2">
      <c r="A145" s="111">
        <v>956</v>
      </c>
      <c r="B145" s="19" t="s">
        <v>3024</v>
      </c>
      <c r="C145" s="19" t="s">
        <v>3025</v>
      </c>
    </row>
    <row r="146" spans="1:3" ht="36" customHeight="1" x14ac:dyDescent="0.25">
      <c r="A146" s="934" t="s">
        <v>3218</v>
      </c>
      <c r="B146" s="935"/>
      <c r="C146" s="936"/>
    </row>
    <row r="147" spans="1:3" ht="37.5" customHeight="1" x14ac:dyDescent="0.2">
      <c r="A147" s="112">
        <v>958</v>
      </c>
      <c r="B147" s="110" t="s">
        <v>387</v>
      </c>
      <c r="C147" s="19" t="s">
        <v>65</v>
      </c>
    </row>
    <row r="148" spans="1:3" ht="31.5" x14ac:dyDescent="0.2">
      <c r="A148" s="112">
        <v>958</v>
      </c>
      <c r="B148" s="110" t="s">
        <v>388</v>
      </c>
      <c r="C148" s="19" t="s">
        <v>389</v>
      </c>
    </row>
    <row r="149" spans="1:3" ht="78.75" x14ac:dyDescent="0.2">
      <c r="A149" s="111">
        <v>958</v>
      </c>
      <c r="B149" s="19" t="s">
        <v>390</v>
      </c>
      <c r="C149" s="19" t="s">
        <v>391</v>
      </c>
    </row>
    <row r="150" spans="1:3" ht="63" x14ac:dyDescent="0.2">
      <c r="A150" s="111">
        <v>958</v>
      </c>
      <c r="B150" s="19" t="s">
        <v>498</v>
      </c>
      <c r="C150" s="19" t="s">
        <v>499</v>
      </c>
    </row>
    <row r="151" spans="1:3" ht="110.25" x14ac:dyDescent="0.2">
      <c r="A151" s="111">
        <v>958</v>
      </c>
      <c r="B151" s="19" t="s">
        <v>525</v>
      </c>
      <c r="C151" s="19" t="s">
        <v>526</v>
      </c>
    </row>
    <row r="152" spans="1:3" ht="47.25" x14ac:dyDescent="0.2">
      <c r="A152" s="111">
        <v>958</v>
      </c>
      <c r="B152" s="19" t="s">
        <v>394</v>
      </c>
      <c r="C152" s="19" t="s">
        <v>395</v>
      </c>
    </row>
    <row r="153" spans="1:3" ht="31.5" x14ac:dyDescent="0.2">
      <c r="A153" s="111">
        <v>958</v>
      </c>
      <c r="B153" s="110" t="s">
        <v>396</v>
      </c>
      <c r="C153" s="19" t="s">
        <v>397</v>
      </c>
    </row>
    <row r="154" spans="1:3" ht="31.5" x14ac:dyDescent="0.2">
      <c r="A154" s="111">
        <v>958</v>
      </c>
      <c r="B154" s="19" t="s">
        <v>398</v>
      </c>
      <c r="C154" s="19" t="s">
        <v>399</v>
      </c>
    </row>
    <row r="155" spans="1:3" ht="72" customHeight="1" x14ac:dyDescent="0.2">
      <c r="A155" s="111">
        <v>958</v>
      </c>
      <c r="B155" s="19" t="s">
        <v>3014</v>
      </c>
      <c r="C155" s="19" t="s">
        <v>3015</v>
      </c>
    </row>
    <row r="156" spans="1:3" ht="47.25" x14ac:dyDescent="0.2">
      <c r="A156" s="111">
        <v>958</v>
      </c>
      <c r="B156" s="19" t="s">
        <v>400</v>
      </c>
      <c r="C156" s="19" t="s">
        <v>401</v>
      </c>
    </row>
    <row r="157" spans="1:3" ht="31.5" x14ac:dyDescent="0.2">
      <c r="A157" s="111">
        <v>958</v>
      </c>
      <c r="B157" s="19" t="s">
        <v>402</v>
      </c>
      <c r="C157" s="19" t="s">
        <v>403</v>
      </c>
    </row>
    <row r="158" spans="1:3" ht="68.25" customHeight="1" x14ac:dyDescent="0.2">
      <c r="A158" s="111">
        <v>958</v>
      </c>
      <c r="B158" s="19" t="s">
        <v>3037</v>
      </c>
      <c r="C158" s="19" t="s">
        <v>3036</v>
      </c>
    </row>
    <row r="159" spans="1:3" ht="63" x14ac:dyDescent="0.2">
      <c r="A159" s="111">
        <v>958</v>
      </c>
      <c r="B159" s="19" t="s">
        <v>3024</v>
      </c>
      <c r="C159" s="19" t="s">
        <v>3025</v>
      </c>
    </row>
    <row r="160" spans="1:3" ht="31.5" x14ac:dyDescent="0.2">
      <c r="A160" s="111">
        <v>958</v>
      </c>
      <c r="B160" s="19" t="s">
        <v>2988</v>
      </c>
      <c r="C160" s="19" t="s">
        <v>458</v>
      </c>
    </row>
    <row r="161" spans="1:3" ht="47.25" x14ac:dyDescent="0.2">
      <c r="A161" s="111">
        <v>958</v>
      </c>
      <c r="B161" s="19" t="s">
        <v>3011</v>
      </c>
      <c r="C161" s="19" t="s">
        <v>533</v>
      </c>
    </row>
    <row r="162" spans="1:3" ht="15.75" x14ac:dyDescent="0.2">
      <c r="A162" s="111">
        <v>958</v>
      </c>
      <c r="B162" s="19" t="s">
        <v>2979</v>
      </c>
      <c r="C162" s="19" t="s">
        <v>417</v>
      </c>
    </row>
    <row r="163" spans="1:3" ht="78.75" x14ac:dyDescent="0.2">
      <c r="A163" s="111">
        <v>958</v>
      </c>
      <c r="B163" s="19" t="s">
        <v>3013</v>
      </c>
      <c r="C163" s="19" t="s">
        <v>425</v>
      </c>
    </row>
    <row r="164" spans="1:3" ht="31.5" x14ac:dyDescent="0.2">
      <c r="A164" s="111">
        <v>958</v>
      </c>
      <c r="B164" s="19" t="s">
        <v>2991</v>
      </c>
      <c r="C164" s="19" t="s">
        <v>427</v>
      </c>
    </row>
  </sheetData>
  <mergeCells count="12">
    <mergeCell ref="A125:C125"/>
    <mergeCell ref="A146:C146"/>
    <mergeCell ref="A8:C8"/>
    <mergeCell ref="A40:C40"/>
    <mergeCell ref="A62:C62"/>
    <mergeCell ref="A80:C80"/>
    <mergeCell ref="A103:C103"/>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view="pageBreakPreview" zoomScaleSheetLayoutView="100" workbookViewId="0">
      <selection activeCell="A7" sqref="A7:D7"/>
    </sheetView>
  </sheetViews>
  <sheetFormatPr defaultColWidth="9.140625" defaultRowHeight="12.75" x14ac:dyDescent="0.2"/>
  <cols>
    <col min="1" max="1" width="36.5703125" style="128" customWidth="1"/>
    <col min="2" max="2" width="16.85546875" style="128" customWidth="1"/>
    <col min="3" max="3" width="16.42578125" style="128" customWidth="1"/>
    <col min="4" max="4" width="15" style="128" customWidth="1"/>
    <col min="5" max="5" width="0" style="128" hidden="1" customWidth="1"/>
    <col min="6" max="16384" width="9.140625" style="128"/>
  </cols>
  <sheetData>
    <row r="1" spans="1:5" ht="15.75" x14ac:dyDescent="0.25">
      <c r="A1" s="968" t="s">
        <v>546</v>
      </c>
      <c r="B1" s="968"/>
      <c r="C1" s="968"/>
      <c r="D1" s="969"/>
      <c r="E1" s="969"/>
    </row>
    <row r="2" spans="1:5" ht="15.75" x14ac:dyDescent="0.25">
      <c r="A2" s="968" t="s">
        <v>1</v>
      </c>
      <c r="B2" s="968"/>
      <c r="C2" s="968"/>
      <c r="D2" s="969"/>
      <c r="E2" s="969"/>
    </row>
    <row r="3" spans="1:5" ht="15.75" x14ac:dyDescent="0.25">
      <c r="A3" s="968" t="s">
        <v>2</v>
      </c>
      <c r="B3" s="968"/>
      <c r="C3" s="968"/>
      <c r="D3" s="969"/>
      <c r="E3" s="969"/>
    </row>
    <row r="4" spans="1:5" ht="15.75" x14ac:dyDescent="0.25">
      <c r="A4" s="968" t="s">
        <v>3143</v>
      </c>
      <c r="B4" s="968"/>
      <c r="C4" s="968"/>
      <c r="D4" s="969"/>
      <c r="E4" s="969"/>
    </row>
    <row r="5" spans="1:5" ht="9" customHeight="1" x14ac:dyDescent="0.25">
      <c r="A5" s="968"/>
      <c r="B5" s="969"/>
      <c r="C5" s="969"/>
      <c r="D5" s="969"/>
      <c r="E5" s="969"/>
    </row>
    <row r="6" spans="1:5" ht="0.75" customHeight="1" x14ac:dyDescent="0.2">
      <c r="A6" s="129"/>
      <c r="B6" s="129"/>
      <c r="C6" s="129"/>
      <c r="D6" s="129"/>
    </row>
    <row r="7" spans="1:5" ht="84.75" customHeight="1" x14ac:dyDescent="0.2">
      <c r="A7" s="967" t="s">
        <v>3152</v>
      </c>
      <c r="B7" s="967"/>
      <c r="C7" s="967"/>
      <c r="D7" s="967"/>
    </row>
    <row r="8" spans="1:5" ht="47.25" x14ac:dyDescent="0.25">
      <c r="A8" s="130" t="s">
        <v>590</v>
      </c>
      <c r="B8" s="131" t="s">
        <v>591</v>
      </c>
      <c r="C8" s="131" t="s">
        <v>592</v>
      </c>
      <c r="D8" s="131" t="s">
        <v>593</v>
      </c>
    </row>
    <row r="9" spans="1:5" ht="63" x14ac:dyDescent="0.25">
      <c r="A9" s="575" t="s">
        <v>594</v>
      </c>
      <c r="B9" s="130"/>
      <c r="C9" s="130"/>
      <c r="D9" s="130"/>
    </row>
    <row r="10" spans="1:5" ht="47.25" x14ac:dyDescent="0.25">
      <c r="A10" s="120" t="s">
        <v>595</v>
      </c>
      <c r="B10" s="130">
        <v>100</v>
      </c>
      <c r="C10" s="130"/>
      <c r="D10" s="130"/>
    </row>
    <row r="11" spans="1:5" ht="126" x14ac:dyDescent="0.25">
      <c r="A11" s="120" t="s">
        <v>596</v>
      </c>
      <c r="B11" s="130">
        <v>100</v>
      </c>
      <c r="C11" s="130"/>
      <c r="D11" s="130"/>
    </row>
    <row r="12" spans="1:5" ht="47.25" x14ac:dyDescent="0.25">
      <c r="A12" s="120" t="s">
        <v>597</v>
      </c>
      <c r="B12" s="130">
        <v>100</v>
      </c>
      <c r="C12" s="130"/>
      <c r="D12" s="130"/>
    </row>
    <row r="13" spans="1:5" ht="47.25" x14ac:dyDescent="0.25">
      <c r="A13" s="132" t="s">
        <v>598</v>
      </c>
      <c r="B13" s="130"/>
      <c r="C13" s="130"/>
      <c r="D13" s="130"/>
    </row>
    <row r="14" spans="1:5" ht="53.25" customHeight="1" x14ac:dyDescent="0.2">
      <c r="A14" s="118" t="s">
        <v>599</v>
      </c>
      <c r="B14" s="130">
        <v>100</v>
      </c>
      <c r="C14" s="130"/>
      <c r="D14" s="130"/>
    </row>
    <row r="15" spans="1:5" ht="47.25" x14ac:dyDescent="0.25">
      <c r="A15" s="576" t="s">
        <v>600</v>
      </c>
      <c r="B15" s="130">
        <v>100</v>
      </c>
      <c r="C15" s="130"/>
      <c r="D15" s="130"/>
    </row>
    <row r="16" spans="1:5" ht="48" customHeight="1" x14ac:dyDescent="0.25">
      <c r="A16" s="120" t="s">
        <v>601</v>
      </c>
      <c r="B16" s="130"/>
      <c r="C16" s="130">
        <v>100</v>
      </c>
      <c r="D16" s="130"/>
    </row>
    <row r="17" spans="1:4" ht="47.25" x14ac:dyDescent="0.25">
      <c r="A17" s="120" t="s">
        <v>602</v>
      </c>
      <c r="B17" s="130"/>
      <c r="C17" s="130">
        <v>100</v>
      </c>
      <c r="D17" s="130"/>
    </row>
    <row r="18" spans="1:4" ht="51.75" customHeight="1" x14ac:dyDescent="0.2">
      <c r="A18" s="118" t="s">
        <v>603</v>
      </c>
      <c r="B18" s="130"/>
      <c r="C18" s="130"/>
      <c r="D18" s="130">
        <v>100</v>
      </c>
    </row>
    <row r="19" spans="1:4" ht="47.25" x14ac:dyDescent="0.2">
      <c r="A19" s="118" t="s">
        <v>604</v>
      </c>
      <c r="B19" s="130"/>
      <c r="C19" s="130"/>
      <c r="D19" s="130">
        <v>100</v>
      </c>
    </row>
    <row r="20" spans="1:4" ht="63" x14ac:dyDescent="0.25">
      <c r="A20" s="120" t="s">
        <v>605</v>
      </c>
      <c r="B20" s="130">
        <v>100</v>
      </c>
      <c r="C20" s="130"/>
      <c r="D20" s="130"/>
    </row>
    <row r="21" spans="1:4" ht="31.5" x14ac:dyDescent="0.25">
      <c r="A21" s="132" t="s">
        <v>606</v>
      </c>
      <c r="B21" s="130"/>
      <c r="C21" s="130"/>
      <c r="D21" s="130"/>
    </row>
    <row r="22" spans="1:4" ht="109.5" customHeight="1" x14ac:dyDescent="0.2">
      <c r="A22" s="577" t="s">
        <v>607</v>
      </c>
      <c r="B22" s="130">
        <v>100</v>
      </c>
      <c r="C22" s="130"/>
      <c r="D22" s="130"/>
    </row>
    <row r="23" spans="1:4" ht="93.75" customHeight="1" x14ac:dyDescent="0.2">
      <c r="A23" s="118" t="s">
        <v>608</v>
      </c>
      <c r="B23" s="130">
        <v>100</v>
      </c>
      <c r="C23" s="130"/>
      <c r="D23" s="130"/>
    </row>
    <row r="24" spans="1:4" ht="111.75" customHeight="1" x14ac:dyDescent="0.2">
      <c r="A24" s="118" t="s">
        <v>609</v>
      </c>
      <c r="B24" s="130"/>
      <c r="C24" s="130">
        <v>100</v>
      </c>
      <c r="D24" s="130"/>
    </row>
    <row r="25" spans="1:4" ht="94.5" x14ac:dyDescent="0.2">
      <c r="A25" s="118" t="s">
        <v>610</v>
      </c>
      <c r="B25" s="130"/>
      <c r="C25" s="130">
        <v>100</v>
      </c>
      <c r="D25" s="130"/>
    </row>
    <row r="26" spans="1:4" ht="110.25" customHeight="1" x14ac:dyDescent="0.2">
      <c r="A26" s="118" t="s">
        <v>611</v>
      </c>
      <c r="B26" s="130"/>
      <c r="C26" s="130"/>
      <c r="D26" s="130">
        <v>100</v>
      </c>
    </row>
    <row r="27" spans="1:4" ht="94.5" x14ac:dyDescent="0.2">
      <c r="A27" s="118" t="s">
        <v>3053</v>
      </c>
      <c r="B27" s="133"/>
      <c r="C27" s="133"/>
      <c r="D27" s="133">
        <v>100</v>
      </c>
    </row>
    <row r="28" spans="1:4" ht="141.75" x14ac:dyDescent="0.2">
      <c r="A28" s="118" t="s">
        <v>3123</v>
      </c>
      <c r="B28" s="133">
        <v>100</v>
      </c>
      <c r="C28" s="133"/>
      <c r="D28" s="133"/>
    </row>
    <row r="29" spans="1:4" ht="141.75" x14ac:dyDescent="0.2">
      <c r="A29" s="118" t="s">
        <v>3124</v>
      </c>
      <c r="B29" s="133"/>
      <c r="C29" s="133">
        <v>100</v>
      </c>
      <c r="D29" s="133"/>
    </row>
    <row r="30" spans="1:4" ht="141.75" x14ac:dyDescent="0.2">
      <c r="A30" s="118" t="s">
        <v>3125</v>
      </c>
      <c r="B30" s="133"/>
      <c r="C30" s="133"/>
      <c r="D30" s="133">
        <v>100</v>
      </c>
    </row>
    <row r="31" spans="1:4" ht="31.5" x14ac:dyDescent="0.25">
      <c r="A31" s="575" t="s">
        <v>612</v>
      </c>
      <c r="B31" s="134"/>
      <c r="C31" s="134"/>
      <c r="D31" s="134"/>
    </row>
    <row r="32" spans="1:4" ht="47.25" x14ac:dyDescent="0.25">
      <c r="A32" s="120" t="s">
        <v>397</v>
      </c>
      <c r="B32" s="130">
        <v>100</v>
      </c>
      <c r="C32" s="130"/>
      <c r="D32" s="130"/>
    </row>
    <row r="33" spans="1:4" ht="47.25" x14ac:dyDescent="0.25">
      <c r="A33" s="120" t="s">
        <v>584</v>
      </c>
      <c r="B33" s="130"/>
      <c r="C33" s="130">
        <v>100</v>
      </c>
      <c r="D33" s="130"/>
    </row>
    <row r="34" spans="1:4" ht="47.25" x14ac:dyDescent="0.25">
      <c r="A34" s="120" t="s">
        <v>613</v>
      </c>
      <c r="B34" s="130"/>
      <c r="C34" s="130"/>
      <c r="D34" s="130">
        <v>100</v>
      </c>
    </row>
    <row r="35" spans="1:4" ht="33" customHeight="1" x14ac:dyDescent="0.2">
      <c r="A35" s="118" t="s">
        <v>399</v>
      </c>
      <c r="B35" s="130">
        <v>100</v>
      </c>
      <c r="C35" s="130"/>
      <c r="D35" s="130"/>
    </row>
    <row r="36" spans="1:4" ht="31.5" x14ac:dyDescent="0.2">
      <c r="A36" s="118" t="s">
        <v>614</v>
      </c>
      <c r="B36" s="134"/>
      <c r="C36" s="130">
        <v>100</v>
      </c>
      <c r="D36" s="130"/>
    </row>
    <row r="37" spans="1:4" ht="31.5" x14ac:dyDescent="0.2">
      <c r="A37" s="118" t="s">
        <v>615</v>
      </c>
      <c r="B37" s="134"/>
      <c r="C37" s="130"/>
      <c r="D37" s="130">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view="pageBreakPreview" zoomScaleSheetLayoutView="100" workbookViewId="0">
      <selection activeCell="H16" sqref="G16:H17"/>
    </sheetView>
  </sheetViews>
  <sheetFormatPr defaultColWidth="9.140625" defaultRowHeight="12.75" x14ac:dyDescent="0.2"/>
  <cols>
    <col min="1" max="1" width="9.140625" style="126"/>
    <col min="2" max="2" width="28.5703125" style="126" customWidth="1"/>
    <col min="3" max="3" width="47.5703125" style="126" customWidth="1"/>
    <col min="4" max="16384" width="9.140625" style="126"/>
  </cols>
  <sheetData>
    <row r="1" spans="1:3" ht="15.75" x14ac:dyDescent="0.25">
      <c r="A1" s="868" t="s">
        <v>616</v>
      </c>
      <c r="B1" s="868"/>
      <c r="C1" s="868"/>
    </row>
    <row r="2" spans="1:3" ht="15.75" x14ac:dyDescent="0.25">
      <c r="A2" s="868" t="s">
        <v>1</v>
      </c>
      <c r="B2" s="868"/>
      <c r="C2" s="868"/>
    </row>
    <row r="3" spans="1:3" ht="15.75" x14ac:dyDescent="0.25">
      <c r="A3" s="868" t="s">
        <v>2</v>
      </c>
      <c r="B3" s="868"/>
      <c r="C3" s="868"/>
    </row>
    <row r="4" spans="1:3" ht="15.75" x14ac:dyDescent="0.25">
      <c r="A4" s="868" t="s">
        <v>3093</v>
      </c>
      <c r="B4" s="868"/>
      <c r="C4" s="868"/>
    </row>
    <row r="5" spans="1:3" ht="15.75" x14ac:dyDescent="0.25">
      <c r="A5" s="35"/>
      <c r="B5" s="1"/>
      <c r="C5" s="1"/>
    </row>
    <row r="6" spans="1:3" ht="48" customHeight="1" x14ac:dyDescent="0.2">
      <c r="A6" s="869" t="s">
        <v>548</v>
      </c>
      <c r="B6" s="869"/>
      <c r="C6" s="869"/>
    </row>
    <row r="7" spans="1:3" ht="18.75" x14ac:dyDescent="0.3">
      <c r="A7" s="947"/>
      <c r="B7" s="947"/>
      <c r="C7" s="947"/>
    </row>
    <row r="8" spans="1:3" ht="15.75" x14ac:dyDescent="0.2">
      <c r="A8" s="940" t="s">
        <v>493</v>
      </c>
      <c r="B8" s="940"/>
      <c r="C8" s="940"/>
    </row>
    <row r="9" spans="1:3" ht="47.25" x14ac:dyDescent="0.2">
      <c r="A9" s="116">
        <v>955</v>
      </c>
      <c r="B9" s="116" t="s">
        <v>549</v>
      </c>
      <c r="C9" s="118" t="s">
        <v>343</v>
      </c>
    </row>
    <row r="10" spans="1:3" ht="47.25" x14ac:dyDescent="0.2">
      <c r="A10" s="116">
        <v>955</v>
      </c>
      <c r="B10" s="116" t="s">
        <v>550</v>
      </c>
      <c r="C10" s="118" t="s">
        <v>344</v>
      </c>
    </row>
    <row r="11" spans="1:3" ht="63" x14ac:dyDescent="0.2">
      <c r="A11" s="116">
        <v>955</v>
      </c>
      <c r="B11" s="116" t="s">
        <v>551</v>
      </c>
      <c r="C11" s="118" t="s">
        <v>552</v>
      </c>
    </row>
    <row r="12" spans="1:3" ht="63" x14ac:dyDescent="0.2">
      <c r="A12" s="116">
        <v>955</v>
      </c>
      <c r="B12" s="116" t="s">
        <v>553</v>
      </c>
      <c r="C12" s="118" t="s">
        <v>554</v>
      </c>
    </row>
    <row r="13" spans="1:3" ht="31.5" x14ac:dyDescent="0.2">
      <c r="A13" s="116">
        <v>955</v>
      </c>
      <c r="B13" s="116" t="s">
        <v>555</v>
      </c>
      <c r="C13" s="118" t="s">
        <v>348</v>
      </c>
    </row>
    <row r="14" spans="1:3" ht="31.5" x14ac:dyDescent="0.2">
      <c r="A14" s="116">
        <v>955</v>
      </c>
      <c r="B14" s="116" t="s">
        <v>556</v>
      </c>
      <c r="C14" s="118" t="s">
        <v>349</v>
      </c>
    </row>
    <row r="15" spans="1:3" ht="63" x14ac:dyDescent="0.2">
      <c r="A15" s="116">
        <v>955</v>
      </c>
      <c r="B15" s="116" t="s">
        <v>559</v>
      </c>
      <c r="C15" s="118" t="s">
        <v>560</v>
      </c>
    </row>
    <row r="16" spans="1:3" ht="78.75" x14ac:dyDescent="0.2">
      <c r="A16" s="116">
        <v>955</v>
      </c>
      <c r="B16" s="116" t="s">
        <v>561</v>
      </c>
      <c r="C16" s="118" t="s">
        <v>562</v>
      </c>
    </row>
    <row r="17" spans="1:3" ht="63" x14ac:dyDescent="0.25">
      <c r="A17" s="119">
        <v>955</v>
      </c>
      <c r="B17" s="119" t="s">
        <v>563</v>
      </c>
      <c r="C17" s="120" t="s">
        <v>564</v>
      </c>
    </row>
    <row r="18" spans="1:3" ht="63" x14ac:dyDescent="0.25">
      <c r="A18" s="119">
        <v>955</v>
      </c>
      <c r="B18" s="119" t="s">
        <v>565</v>
      </c>
      <c r="C18" s="120" t="s">
        <v>566</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26"/>
  <sheetViews>
    <sheetView showGridLines="0" view="pageBreakPreview" topLeftCell="A1219" zoomScale="85" zoomScaleSheetLayoutView="85" workbookViewId="0">
      <selection activeCell="I11" sqref="I11"/>
    </sheetView>
  </sheetViews>
  <sheetFormatPr defaultColWidth="9.140625" defaultRowHeight="15.75" x14ac:dyDescent="0.25"/>
  <cols>
    <col min="1" max="1" width="43.5703125" style="136" customWidth="1"/>
    <col min="2" max="2" width="9.5703125" style="137" customWidth="1"/>
    <col min="3" max="3" width="7.28515625" style="137" customWidth="1"/>
    <col min="4" max="4" width="10.140625" style="138" customWidth="1"/>
    <col min="5" max="5" width="10.28515625" style="139" customWidth="1"/>
    <col min="6" max="6" width="10.42578125" style="137" customWidth="1"/>
    <col min="7" max="7" width="17.5703125" style="135" hidden="1" customWidth="1"/>
    <col min="8" max="8" width="14.28515625" style="135" hidden="1" customWidth="1"/>
    <col min="9" max="9" width="17.85546875" style="135" customWidth="1"/>
    <col min="10" max="10" width="11.5703125" style="135" customWidth="1"/>
    <col min="11" max="16384" width="9.140625" style="135"/>
  </cols>
  <sheetData>
    <row r="1" spans="1:9" x14ac:dyDescent="0.25">
      <c r="A1" s="868" t="s">
        <v>3457</v>
      </c>
      <c r="B1" s="868"/>
      <c r="C1" s="868"/>
      <c r="D1" s="868"/>
      <c r="E1" s="868"/>
      <c r="F1" s="868"/>
      <c r="G1" s="868"/>
      <c r="H1" s="868"/>
      <c r="I1" s="868"/>
    </row>
    <row r="2" spans="1:9" x14ac:dyDescent="0.25">
      <c r="A2" s="868" t="s">
        <v>1</v>
      </c>
      <c r="B2" s="868"/>
      <c r="C2" s="868"/>
      <c r="D2" s="868"/>
      <c r="E2" s="868"/>
      <c r="F2" s="868"/>
      <c r="G2" s="868"/>
      <c r="H2" s="868"/>
      <c r="I2" s="868"/>
    </row>
    <row r="3" spans="1:9" x14ac:dyDescent="0.25">
      <c r="A3" s="868" t="s">
        <v>2</v>
      </c>
      <c r="B3" s="868"/>
      <c r="C3" s="868"/>
      <c r="D3" s="868"/>
      <c r="E3" s="868"/>
      <c r="F3" s="868"/>
      <c r="G3" s="868"/>
      <c r="H3" s="868"/>
      <c r="I3" s="868"/>
    </row>
    <row r="4" spans="1:9" x14ac:dyDescent="0.25">
      <c r="A4" s="868" t="s">
        <v>3478</v>
      </c>
      <c r="B4" s="868"/>
      <c r="C4" s="868"/>
      <c r="D4" s="868"/>
      <c r="E4" s="868"/>
      <c r="F4" s="868"/>
      <c r="G4" s="868"/>
      <c r="H4" s="868"/>
      <c r="I4" s="868"/>
    </row>
    <row r="5" spans="1:9" x14ac:dyDescent="0.25">
      <c r="A5" s="140"/>
      <c r="B5" s="141"/>
      <c r="C5" s="141"/>
      <c r="D5" s="142"/>
      <c r="E5" s="143"/>
      <c r="F5" s="141"/>
    </row>
    <row r="6" spans="1:9" x14ac:dyDescent="0.25">
      <c r="A6" s="972" t="s">
        <v>3153</v>
      </c>
      <c r="B6" s="972"/>
      <c r="C6" s="972"/>
      <c r="D6" s="972"/>
      <c r="E6" s="972"/>
      <c r="F6" s="972"/>
      <c r="G6" s="972"/>
      <c r="H6" s="972"/>
      <c r="I6" s="972"/>
    </row>
    <row r="7" spans="1:9" ht="18.75" x14ac:dyDescent="0.3">
      <c r="A7" s="144"/>
      <c r="B7" s="144"/>
      <c r="C7" s="144"/>
      <c r="D7" s="144"/>
      <c r="E7" s="144"/>
      <c r="F7" s="144"/>
    </row>
    <row r="8" spans="1:9" x14ac:dyDescent="0.25">
      <c r="A8" s="970" t="s">
        <v>191</v>
      </c>
      <c r="B8" s="973" t="s">
        <v>618</v>
      </c>
      <c r="C8" s="973" t="s">
        <v>619</v>
      </c>
      <c r="D8" s="974" t="s">
        <v>620</v>
      </c>
      <c r="E8" s="974"/>
      <c r="F8" s="973" t="s">
        <v>621</v>
      </c>
      <c r="G8" s="971" t="s">
        <v>192</v>
      </c>
      <c r="H8" s="970" t="s">
        <v>997</v>
      </c>
      <c r="I8" s="971" t="s">
        <v>192</v>
      </c>
    </row>
    <row r="9" spans="1:9" s="147" customFormat="1" x14ac:dyDescent="0.2">
      <c r="A9" s="970"/>
      <c r="B9" s="973"/>
      <c r="C9" s="973"/>
      <c r="D9" s="148" t="s">
        <v>622</v>
      </c>
      <c r="E9" s="149" t="s">
        <v>623</v>
      </c>
      <c r="F9" s="973"/>
      <c r="G9" s="971"/>
      <c r="H9" s="971"/>
      <c r="I9" s="971"/>
    </row>
    <row r="10" spans="1:9" s="150" customFormat="1" ht="31.5" x14ac:dyDescent="0.25">
      <c r="A10" s="151"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52">
        <v>950</v>
      </c>
      <c r="C10" s="153"/>
      <c r="D10" s="154"/>
      <c r="E10" s="153"/>
      <c r="F10" s="155"/>
      <c r="G10" s="610">
        <v>438249780.31</v>
      </c>
      <c r="H10" s="610">
        <f>H11+H15+H31+H35+H39+H133+H217+H244+H301+H292+H119+H157+H319+H129+H153+H297+H311+H240</f>
        <v>-18702815.259999998</v>
      </c>
      <c r="I10" s="625">
        <f>SUM(G10:H10)+1</f>
        <v>419546966.05000001</v>
      </c>
    </row>
    <row r="11" spans="1:9" s="150" customFormat="1" ht="63" x14ac:dyDescent="0.25">
      <c r="A11" s="157"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8"/>
      <c r="C11" s="153">
        <v>102</v>
      </c>
      <c r="D11" s="154"/>
      <c r="E11" s="153"/>
      <c r="F11" s="155"/>
      <c r="G11" s="504">
        <v>1511279</v>
      </c>
      <c r="H11" s="159">
        <f>H12</f>
        <v>3702</v>
      </c>
      <c r="I11" s="161">
        <f t="shared" ref="I11:I80" si="0">SUM(G11:H11)</f>
        <v>1514981</v>
      </c>
    </row>
    <row r="12" spans="1:9" s="150" customFormat="1" x14ac:dyDescent="0.25">
      <c r="A12" s="157" t="str">
        <f>IF(B12&gt;0,VLOOKUP(B12,КВСР!A3:B1168,2),IF(C12&gt;0,VLOOKUP(C12,КФСР!A3:B1515,2),IF(D12&gt;0,VLOOKUP(D12,Программа!A$1:B$5100,2),IF(F12&gt;0,VLOOKUP(F12,КВР!A$1:B$5001,2),IF(E12&gt;0,VLOOKUP(E12,Направление!A$1:B$4830,2))))))</f>
        <v>Непрограммные расходы бюджета</v>
      </c>
      <c r="B12" s="158"/>
      <c r="C12" s="153"/>
      <c r="D12" s="154" t="s">
        <v>626</v>
      </c>
      <c r="E12" s="153"/>
      <c r="F12" s="155"/>
      <c r="G12" s="504">
        <v>1511279</v>
      </c>
      <c r="H12" s="159">
        <f>H13</f>
        <v>3702</v>
      </c>
      <c r="I12" s="161">
        <f t="shared" si="0"/>
        <v>1514981</v>
      </c>
    </row>
    <row r="13" spans="1:9" s="150" customFormat="1" ht="31.5" x14ac:dyDescent="0.25">
      <c r="A13" s="157"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8"/>
      <c r="C13" s="153"/>
      <c r="D13" s="154"/>
      <c r="E13" s="153">
        <v>12020</v>
      </c>
      <c r="F13" s="155"/>
      <c r="G13" s="504">
        <v>1511279</v>
      </c>
      <c r="H13" s="159">
        <f>H14</f>
        <v>3702</v>
      </c>
      <c r="I13" s="161">
        <f t="shared" si="0"/>
        <v>1514981</v>
      </c>
    </row>
    <row r="14" spans="1:9" s="150" customFormat="1" ht="126" x14ac:dyDescent="0.25">
      <c r="A14" s="157"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8"/>
      <c r="C14" s="153"/>
      <c r="D14" s="155"/>
      <c r="E14" s="153"/>
      <c r="F14" s="155">
        <v>100</v>
      </c>
      <c r="G14" s="160">
        <v>1511279</v>
      </c>
      <c r="H14" s="160">
        <v>3702</v>
      </c>
      <c r="I14" s="161">
        <f t="shared" si="0"/>
        <v>1514981</v>
      </c>
    </row>
    <row r="15" spans="1:9" s="150" customFormat="1" ht="94.5" x14ac:dyDescent="0.25">
      <c r="A15" s="157"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8"/>
      <c r="C15" s="153">
        <v>104</v>
      </c>
      <c r="D15" s="154"/>
      <c r="E15" s="153"/>
      <c r="F15" s="155"/>
      <c r="G15" s="611">
        <v>36110165</v>
      </c>
      <c r="H15" s="161">
        <f>H20+H16</f>
        <v>-79633.680000000022</v>
      </c>
      <c r="I15" s="161">
        <f t="shared" si="0"/>
        <v>36030531.32</v>
      </c>
    </row>
    <row r="16" spans="1:9" s="150" customFormat="1" ht="47.25" x14ac:dyDescent="0.25">
      <c r="A16" s="157" t="str">
        <f>IF(B16&gt;0,VLOOKUP(B16,КВСР!A8:B1173,2),IF(C16&gt;0,VLOOKUP(C16,КФСР!A8:B1520,2),IF(D16&gt;0,VLOOKUP(D16,Программа!A$1:B$5100,2),IF(F16&gt;0,VLOOKUP(F16,КВР!A$1:B$5001,2),IF(E16&gt;0,VLOOKUP(E16,Направление!A$1:B$4830,2))))))</f>
        <v>Муниципальная программа "Обеспечение муниципальных закупок в Тутаевском муниципальном районе"</v>
      </c>
      <c r="B16" s="158"/>
      <c r="C16" s="153"/>
      <c r="D16" s="154" t="s">
        <v>2930</v>
      </c>
      <c r="E16" s="153"/>
      <c r="F16" s="155"/>
      <c r="G16" s="611">
        <v>125000</v>
      </c>
      <c r="H16" s="611">
        <f>H17</f>
        <v>-35188</v>
      </c>
      <c r="I16" s="161">
        <f t="shared" si="0"/>
        <v>89812</v>
      </c>
    </row>
    <row r="17" spans="1:9" s="150" customFormat="1" ht="63" x14ac:dyDescent="0.25">
      <c r="A17" s="157" t="str">
        <f>IF(B17&gt;0,VLOOKUP(B17,КВСР!A9:B1174,2),IF(C17&gt;0,VLOOKUP(C17,КФСР!A9:B1521,2),IF(D17&gt;0,VLOOKUP(D17,Программа!A$1:B$5100,2),IF(F17&gt;0,VLOOKUP(F17,КВР!A$1:B$5001,2),IF(E17&gt;0,VLOOKUP(E17,Направление!A$1:B$4830,2))))))</f>
        <v>Организация системы подготовки, планирования, информационного сопровождения и осуществления муниципальных закупок</v>
      </c>
      <c r="B17" s="158"/>
      <c r="C17" s="153"/>
      <c r="D17" s="154" t="s">
        <v>2932</v>
      </c>
      <c r="E17" s="153"/>
      <c r="F17" s="155"/>
      <c r="G17" s="611">
        <v>125000</v>
      </c>
      <c r="H17" s="611">
        <f>H18</f>
        <v>-35188</v>
      </c>
      <c r="I17" s="161">
        <f t="shared" si="0"/>
        <v>89812</v>
      </c>
    </row>
    <row r="18" spans="1:9" s="150" customFormat="1" ht="47.25" x14ac:dyDescent="0.25">
      <c r="A18" s="157" t="str">
        <f>IF(B18&gt;0,VLOOKUP(B18,КВСР!A10:B1175,2),IF(C18&gt;0,VLOOKUP(C18,КФСР!A10:B1522,2),IF(D18&gt;0,VLOOKUP(D18,Программа!A$1:B$5100,2),IF(F18&gt;0,VLOOKUP(F18,КВР!A$1:B$5001,2),IF(E18&gt;0,VLOOKUP(E18,Направление!A$1:B$4830,2))))))</f>
        <v>Содержание органов местного самоуправления за счет средств поселений</v>
      </c>
      <c r="B18" s="158"/>
      <c r="C18" s="153"/>
      <c r="D18" s="154"/>
      <c r="E18" s="153">
        <v>29016</v>
      </c>
      <c r="F18" s="155"/>
      <c r="G18" s="611">
        <v>125000</v>
      </c>
      <c r="H18" s="611">
        <f>H19</f>
        <v>-35188</v>
      </c>
      <c r="I18" s="161">
        <f t="shared" si="0"/>
        <v>89812</v>
      </c>
    </row>
    <row r="19" spans="1:9" s="150" customFormat="1" ht="63" x14ac:dyDescent="0.25">
      <c r="A19" s="157" t="str">
        <f>IF(B19&gt;0,VLOOKUP(B19,КВСР!A11:B1176,2),IF(C19&gt;0,VLOOKUP(C19,КФСР!A11:B1523,2),IF(D19&gt;0,VLOOKUP(D19,Программа!A$1:B$5100,2),IF(F19&gt;0,VLOOKUP(F19,КВР!A$1:B$5001,2),IF(E19&gt;0,VLOOKUP(E19,Направление!A$1:B$4830,2))))))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8"/>
      <c r="C19" s="153"/>
      <c r="D19" s="154"/>
      <c r="E19" s="153"/>
      <c r="F19" s="155">
        <v>200</v>
      </c>
      <c r="G19" s="611">
        <v>125000</v>
      </c>
      <c r="H19" s="161">
        <v>-35188</v>
      </c>
      <c r="I19" s="161">
        <f t="shared" si="0"/>
        <v>89812</v>
      </c>
    </row>
    <row r="20" spans="1:9" s="150" customFormat="1" x14ac:dyDescent="0.25">
      <c r="A20" s="157" t="str">
        <f>IF(B20&gt;0,VLOOKUP(B20,КВСР!A8:B1173,2),IF(C20&gt;0,VLOOKUP(C20,КФСР!A8:B1520,2),IF(D20&gt;0,VLOOKUP(D20,Программа!A$1:B$5100,2),IF(F20&gt;0,VLOOKUP(F20,КВР!A$1:B$5001,2),IF(E20&gt;0,VLOOKUP(E20,Направление!A$1:B$4830,2))))))</f>
        <v>Непрограммные расходы бюджета</v>
      </c>
      <c r="B20" s="158"/>
      <c r="C20" s="153"/>
      <c r="D20" s="154" t="s">
        <v>626</v>
      </c>
      <c r="E20" s="153"/>
      <c r="F20" s="155"/>
      <c r="G20" s="611">
        <v>35985165</v>
      </c>
      <c r="H20" s="161">
        <f>H21+H28+H26</f>
        <v>-44445.680000000022</v>
      </c>
      <c r="I20" s="161">
        <f t="shared" si="0"/>
        <v>35940719.32</v>
      </c>
    </row>
    <row r="21" spans="1:9" s="150" customFormat="1" x14ac:dyDescent="0.25">
      <c r="A21" s="157" t="str">
        <f>IF(B21&gt;0,VLOOKUP(B21,КВСР!A9:B1174,2),IF(C21&gt;0,VLOOKUP(C21,КФСР!A9:B1521,2),IF(D21&gt;0,VLOOKUP(D21,Программа!A$1:B$5100,2),IF(F21&gt;0,VLOOKUP(F21,КВР!A$1:B$5001,2),IF(E21&gt;0,VLOOKUP(E21,Направление!A$1:B$4830,2))))))</f>
        <v>Содержание центрального аппарата</v>
      </c>
      <c r="B21" s="158"/>
      <c r="C21" s="153"/>
      <c r="D21" s="154"/>
      <c r="E21" s="153">
        <v>12010</v>
      </c>
      <c r="F21" s="155"/>
      <c r="G21" s="611">
        <v>27666326</v>
      </c>
      <c r="H21" s="161">
        <f>H22+H23+H25+H24</f>
        <v>-79633.680000000022</v>
      </c>
      <c r="I21" s="161">
        <f t="shared" si="0"/>
        <v>27586692.32</v>
      </c>
    </row>
    <row r="22" spans="1:9" s="150" customFormat="1" ht="126" x14ac:dyDescent="0.25">
      <c r="A22" s="157" t="str">
        <f>IF(B22&gt;0,VLOOKUP(B22,КВСР!A10:B1175,2),IF(C22&gt;0,VLOOKUP(C22,КФСР!A10:B1522,2),IF(D22&gt;0,VLOOKUP(D22,Программа!A$1:B$5100,2),IF(F22&gt;0,VLOOKUP(F22,КВР!A$1:B$5001,2),IF(E22&gt;0,VLOOKUP(E22,Направление!A$1:B$4830,2))))))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 s="158"/>
      <c r="C22" s="153"/>
      <c r="D22" s="155"/>
      <c r="E22" s="153"/>
      <c r="F22" s="155">
        <v>100</v>
      </c>
      <c r="G22" s="502">
        <v>24524385</v>
      </c>
      <c r="H22" s="160">
        <f>-249452.25+11649.49+173739.08-1+1103</f>
        <v>-62961.680000000022</v>
      </c>
      <c r="I22" s="161">
        <f t="shared" si="0"/>
        <v>24461423.32</v>
      </c>
    </row>
    <row r="23" spans="1:9" s="150" customFormat="1" ht="63" x14ac:dyDescent="0.25">
      <c r="A23" s="157" t="str">
        <f>IF(B23&gt;0,VLOOKUP(B23,КВСР!A11:B1176,2),IF(C23&gt;0,VLOOKUP(C23,КФСР!A11:B1523,2),IF(D23&gt;0,VLOOKUP(D23,Программа!A$1:B$5100,2),IF(F23&gt;0,VLOOKUP(F23,КВР!A$1:B$5001,2),IF(E23&gt;0,VLOOKUP(E23,Направление!A$1:B$4830,2))))))</f>
        <v xml:space="preserve">Закупка товаров, работ и услуг для обеспечения государственных (муниципальных) нужд
</v>
      </c>
      <c r="B23" s="158"/>
      <c r="C23" s="153"/>
      <c r="D23" s="155"/>
      <c r="E23" s="153"/>
      <c r="F23" s="155">
        <v>200</v>
      </c>
      <c r="G23" s="502">
        <v>2515779</v>
      </c>
      <c r="H23" s="160"/>
      <c r="I23" s="161">
        <f t="shared" si="0"/>
        <v>2515779</v>
      </c>
    </row>
    <row r="24" spans="1:9" s="150" customFormat="1" ht="31.5" x14ac:dyDescent="0.25">
      <c r="A24" s="157" t="str">
        <f>IF(B24&gt;0,VLOOKUP(B24,КВСР!A12:B1177,2),IF(C24&gt;0,VLOOKUP(C24,КФСР!A12:B1524,2),IF(D24&gt;0,VLOOKUP(D24,Программа!A$1:B$5100,2),IF(F24&gt;0,VLOOKUP(F24,КВР!A$1:B$5001,2),IF(E24&gt;0,VLOOKUP(E24,Направление!A$1:B$4830,2))))))</f>
        <v>Социальное обеспечение и иные выплаты населению</v>
      </c>
      <c r="B24" s="158"/>
      <c r="C24" s="153"/>
      <c r="D24" s="155"/>
      <c r="E24" s="153"/>
      <c r="F24" s="155">
        <v>300</v>
      </c>
      <c r="G24" s="502">
        <v>179106</v>
      </c>
      <c r="H24" s="160"/>
      <c r="I24" s="161">
        <f t="shared" si="0"/>
        <v>179106</v>
      </c>
    </row>
    <row r="25" spans="1:9" s="150" customFormat="1" x14ac:dyDescent="0.25">
      <c r="A25" s="157" t="str">
        <f>IF(B25&gt;0,VLOOKUP(B25,КВСР!A12:B1177,2),IF(C25&gt;0,VLOOKUP(C25,КФСР!A12:B1524,2),IF(D25&gt;0,VLOOKUP(D25,Программа!A$1:B$5100,2),IF(F25&gt;0,VLOOKUP(F25,КВР!A$1:B$5001,2),IF(E25&gt;0,VLOOKUP(E25,Направление!A$1:B$4830,2))))))</f>
        <v>Иные бюджетные ассигнования</v>
      </c>
      <c r="B25" s="158"/>
      <c r="C25" s="153"/>
      <c r="D25" s="155"/>
      <c r="E25" s="153"/>
      <c r="F25" s="155">
        <v>800</v>
      </c>
      <c r="G25" s="502">
        <v>447056</v>
      </c>
      <c r="H25" s="160">
        <f>-2932-15200+1459+1</f>
        <v>-16672</v>
      </c>
      <c r="I25" s="161">
        <f t="shared" si="0"/>
        <v>430384</v>
      </c>
    </row>
    <row r="26" spans="1:9" s="150" customFormat="1" ht="31.5" hidden="1" x14ac:dyDescent="0.25">
      <c r="A26" s="157" t="str">
        <f>IF(B26&gt;0,VLOOKUP(B26,КВСР!A13:B1178,2),IF(C26&gt;0,VLOOKUP(C26,КФСР!A13:B1525,2),IF(D26&gt;0,VLOOKUP(D26,Программа!A$1:B$5100,2),IF(F26&gt;0,VLOOKUP(F26,КВР!A$1:B$5001,2),IF(E26&gt;0,VLOOKUP(E26,Направление!A$1:B$4830,2))))))</f>
        <v>Содержание Главы местной админситрации</v>
      </c>
      <c r="B26" s="158"/>
      <c r="C26" s="153"/>
      <c r="D26" s="155"/>
      <c r="E26" s="153">
        <v>12040</v>
      </c>
      <c r="F26" s="155"/>
      <c r="G26" s="504">
        <v>0</v>
      </c>
      <c r="H26" s="538">
        <f>H27</f>
        <v>0</v>
      </c>
      <c r="I26" s="161">
        <f t="shared" si="0"/>
        <v>0</v>
      </c>
    </row>
    <row r="27" spans="1:9" s="150" customFormat="1" ht="126" hidden="1" x14ac:dyDescent="0.25">
      <c r="A27" s="157" t="str">
        <f>IF(B27&gt;0,VLOOKUP(B27,КВСР!A14:B1179,2),IF(C27&gt;0,VLOOKUP(C27,КФСР!A14:B1526,2),IF(D27&gt;0,VLOOKUP(D27,Программа!A$1:B$5100,2),IF(F27&gt;0,VLOOKUP(F27,КВР!A$1:B$5001,2),IF(E27&gt;0,VLOOKUP(E27,Направление!A$1:B$4830,2))))))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 s="158"/>
      <c r="C27" s="153"/>
      <c r="D27" s="155"/>
      <c r="E27" s="153"/>
      <c r="F27" s="155">
        <v>100</v>
      </c>
      <c r="G27" s="502">
        <v>0</v>
      </c>
      <c r="H27" s="160"/>
      <c r="I27" s="161">
        <f t="shared" si="0"/>
        <v>0</v>
      </c>
    </row>
    <row r="28" spans="1:9" s="150" customFormat="1" ht="47.25" x14ac:dyDescent="0.25">
      <c r="A28" s="157" t="str">
        <f>IF(B28&gt;0,VLOOKUP(B28,КВСР!A13:B1178,2),IF(C28&gt;0,VLOOKUP(C28,КФСР!A13:B1525,2),IF(D28&gt;0,VLOOKUP(D28,Программа!A$1:B$5100,2),IF(F28&gt;0,VLOOKUP(F28,КВР!A$1:B$5001,2),IF(E28&gt;0,VLOOKUP(E28,Направление!A$1:B$4830,2))))))</f>
        <v>Содержание органов местного самоуправления за счет средств поселений</v>
      </c>
      <c r="B28" s="158"/>
      <c r="C28" s="153"/>
      <c r="D28" s="154"/>
      <c r="E28" s="153">
        <v>29016</v>
      </c>
      <c r="F28" s="155"/>
      <c r="G28" s="504">
        <v>8318839</v>
      </c>
      <c r="H28" s="159">
        <f>H29+H30</f>
        <v>35188</v>
      </c>
      <c r="I28" s="161">
        <f t="shared" si="0"/>
        <v>8354027</v>
      </c>
    </row>
    <row r="29" spans="1:9" s="150" customFormat="1" ht="126" x14ac:dyDescent="0.25">
      <c r="A29" s="157" t="str">
        <f>IF(B29&gt;0,VLOOKUP(B29,КВСР!A14:B1179,2),IF(C29&gt;0,VLOOKUP(C29,КФСР!A14:B1526,2),IF(D29&gt;0,VLOOKUP(D29,Программа!A$1:B$5100,2),IF(F29&gt;0,VLOOKUP(F29,КВР!A$1:B$5001,2),IF(E29&gt;0,VLOOKUP(E29,Направление!A$1:B$4830,2))))))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 s="158"/>
      <c r="C29" s="153"/>
      <c r="D29" s="155"/>
      <c r="E29" s="153"/>
      <c r="F29" s="155">
        <v>100</v>
      </c>
      <c r="G29" s="502">
        <v>7532286</v>
      </c>
      <c r="H29" s="160">
        <v>35188</v>
      </c>
      <c r="I29" s="161">
        <f t="shared" si="0"/>
        <v>7567474</v>
      </c>
    </row>
    <row r="30" spans="1:9" s="150" customFormat="1" ht="63" x14ac:dyDescent="0.25">
      <c r="A30" s="157" t="str">
        <f>IF(B30&gt;0,VLOOKUP(B30,КВСР!A15:B1180,2),IF(C30&gt;0,VLOOKUP(C30,КФСР!A15:B1527,2),IF(D30&gt;0,VLOOKUP(D30,Программа!A$1:B$5100,2),IF(F30&gt;0,VLOOKUP(F30,КВР!A$1:B$5001,2),IF(E30&gt;0,VLOOKUP(E30,Направление!A$1:B$4830,2))))))</f>
        <v xml:space="preserve">Закупка товаров, работ и услуг для обеспечения государственных (муниципальных) нужд
</v>
      </c>
      <c r="B30" s="158"/>
      <c r="C30" s="153"/>
      <c r="D30" s="155"/>
      <c r="E30" s="153"/>
      <c r="F30" s="155">
        <v>200</v>
      </c>
      <c r="G30" s="502">
        <v>786553</v>
      </c>
      <c r="H30" s="160"/>
      <c r="I30" s="161">
        <f t="shared" si="0"/>
        <v>786553</v>
      </c>
    </row>
    <row r="31" spans="1:9" s="150" customFormat="1" x14ac:dyDescent="0.25">
      <c r="A31" s="157" t="str">
        <f>IF(B31&gt;0,VLOOKUP(B31,КВСР!A16:B1181,2),IF(C31&gt;0,VLOOKUP(C31,КФСР!A16:B1528,2),IF(D31&gt;0,VLOOKUP(D31,Программа!A$1:B$5100,2),IF(F31&gt;0,VLOOKUP(F31,КВР!A$1:B$5001,2),IF(E31&gt;0,VLOOKUP(E31,Направление!A$1:B$4830,2))))))</f>
        <v>Судебная система</v>
      </c>
      <c r="B31" s="158"/>
      <c r="C31" s="153">
        <v>105</v>
      </c>
      <c r="D31" s="155"/>
      <c r="E31" s="153"/>
      <c r="F31" s="155"/>
      <c r="G31" s="504">
        <v>50977</v>
      </c>
      <c r="H31" s="159">
        <f>H32</f>
        <v>0</v>
      </c>
      <c r="I31" s="161">
        <f t="shared" si="0"/>
        <v>50977</v>
      </c>
    </row>
    <row r="32" spans="1:9" s="150" customFormat="1" x14ac:dyDescent="0.25">
      <c r="A32" s="157" t="str">
        <f>IF(B32&gt;0,VLOOKUP(B32,КВСР!A17:B1182,2),IF(C32&gt;0,VLOOKUP(C32,КФСР!A17:B1529,2),IF(D32&gt;0,VLOOKUP(D32,Программа!A$1:B$5100,2),IF(F32&gt;0,VLOOKUP(F32,КВР!A$1:B$5001,2),IF(E32&gt;0,VLOOKUP(E32,Направление!A$1:B$4830,2))))))</f>
        <v>Непрограммные расходы бюджета</v>
      </c>
      <c r="B32" s="158"/>
      <c r="C32" s="153"/>
      <c r="D32" s="155" t="s">
        <v>626</v>
      </c>
      <c r="E32" s="153"/>
      <c r="F32" s="155"/>
      <c r="G32" s="504">
        <v>50977</v>
      </c>
      <c r="H32" s="159">
        <f>H33</f>
        <v>0</v>
      </c>
      <c r="I32" s="161">
        <f t="shared" si="0"/>
        <v>50977</v>
      </c>
    </row>
    <row r="33" spans="1:9" s="150" customFormat="1" ht="94.5" x14ac:dyDescent="0.25">
      <c r="A33" s="157" t="str">
        <f>IF(B33&gt;0,VLOOKUP(B33,КВСР!A18:B1183,2),IF(C33&gt;0,VLOOKUP(C33,КФСР!A18:B1530,2),IF(D33&gt;0,VLOOKUP(D33,Программа!A$1:B$5100,2),IF(F33&gt;0,VLOOKUP(F33,КВР!A$1:B$5001,2),IF(E33&gt;0,VLOOKUP(E33,Направление!A$1:B$4830,2))))))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3" s="158"/>
      <c r="C33" s="153"/>
      <c r="D33" s="155"/>
      <c r="E33" s="153">
        <v>51200</v>
      </c>
      <c r="F33" s="155"/>
      <c r="G33" s="504">
        <v>50977</v>
      </c>
      <c r="H33" s="159">
        <f>H34</f>
        <v>0</v>
      </c>
      <c r="I33" s="161">
        <f t="shared" si="0"/>
        <v>50977</v>
      </c>
    </row>
    <row r="34" spans="1:9" s="150" customFormat="1" ht="63" x14ac:dyDescent="0.25">
      <c r="A34" s="157" t="str">
        <f>IF(B34&gt;0,VLOOKUP(B34,КВСР!A19:B1184,2),IF(C34&gt;0,VLOOKUP(C34,КФСР!A19:B1531,2),IF(D34&gt;0,VLOOKUP(D34,Программа!A$1:B$5100,2),IF(F34&gt;0,VLOOKUP(F34,КВР!A$1:B$5001,2),IF(E34&gt;0,VLOOKUP(E34,Направление!A$1:B$4830,2))))))</f>
        <v xml:space="preserve">Закупка товаров, работ и услуг для обеспечения государственных (муниципальных) нужд
</v>
      </c>
      <c r="B34" s="158"/>
      <c r="C34" s="153"/>
      <c r="D34" s="155"/>
      <c r="E34" s="153"/>
      <c r="F34" s="155">
        <v>200</v>
      </c>
      <c r="G34" s="502">
        <v>50977</v>
      </c>
      <c r="H34" s="160"/>
      <c r="I34" s="161">
        <f t="shared" si="0"/>
        <v>50977</v>
      </c>
    </row>
    <row r="35" spans="1:9" s="150" customFormat="1" hidden="1" x14ac:dyDescent="0.25">
      <c r="A35" s="157" t="str">
        <f>IF(B35&gt;0,VLOOKUP(B35,КВСР!A21:B1186,2),IF(C35&gt;0,VLOOKUP(C35,КФСР!A21:B1533,2),IF(D35&gt;0,VLOOKUP(D35,Программа!A$1:B$5100,2),IF(F35&gt;0,VLOOKUP(F35,КВР!A$1:B$5001,2),IF(E35&gt;0,VLOOKUP(E35,Направление!A$1:B$4830,2))))))</f>
        <v>Резервные фонды</v>
      </c>
      <c r="B35" s="158"/>
      <c r="C35" s="153">
        <v>111</v>
      </c>
      <c r="D35" s="154"/>
      <c r="E35" s="153"/>
      <c r="F35" s="155"/>
      <c r="G35" s="611">
        <v>471469</v>
      </c>
      <c r="H35" s="161">
        <f>H36</f>
        <v>-471469</v>
      </c>
      <c r="I35" s="161">
        <f t="shared" si="0"/>
        <v>0</v>
      </c>
    </row>
    <row r="36" spans="1:9" s="150" customFormat="1" hidden="1" x14ac:dyDescent="0.25">
      <c r="A36" s="157" t="str">
        <f>IF(B36&gt;0,VLOOKUP(B36,КВСР!A22:B1187,2),IF(C36&gt;0,VLOOKUP(C36,КФСР!A22:B1534,2),IF(D36&gt;0,VLOOKUP(D36,Программа!A$1:B$5100,2),IF(F36&gt;0,VLOOKUP(F36,КВР!A$1:B$5001,2),IF(E36&gt;0,VLOOKUP(E36,Направление!A$1:B$4830,2))))))</f>
        <v>Непрограммные расходы бюджета</v>
      </c>
      <c r="B36" s="158"/>
      <c r="C36" s="153"/>
      <c r="D36" s="154" t="s">
        <v>626</v>
      </c>
      <c r="E36" s="153"/>
      <c r="F36" s="155"/>
      <c r="G36" s="611">
        <v>471469</v>
      </c>
      <c r="H36" s="161">
        <f>H37</f>
        <v>-471469</v>
      </c>
      <c r="I36" s="161">
        <f t="shared" si="0"/>
        <v>0</v>
      </c>
    </row>
    <row r="37" spans="1:9" s="150" customFormat="1" ht="31.5" hidden="1" x14ac:dyDescent="0.25">
      <c r="A37" s="157" t="str">
        <f>IF(B37&gt;0,VLOOKUP(B37,КВСР!A23:B1188,2),IF(C37&gt;0,VLOOKUP(C37,КФСР!A23:B1535,2),IF(D37&gt;0,VLOOKUP(D37,Программа!A$1:B$5100,2),IF(F37&gt;0,VLOOKUP(F37,КВР!A$1:B$5001,2),IF(E37&gt;0,VLOOKUP(E37,Направление!A$1:B$4830,2))))))</f>
        <v>Резервные фонды местных администраций</v>
      </c>
      <c r="B37" s="158"/>
      <c r="C37" s="153"/>
      <c r="D37" s="154"/>
      <c r="E37" s="153">
        <v>12900</v>
      </c>
      <c r="F37" s="155"/>
      <c r="G37" s="611">
        <v>471469</v>
      </c>
      <c r="H37" s="161">
        <f>H38</f>
        <v>-471469</v>
      </c>
      <c r="I37" s="161">
        <f t="shared" si="0"/>
        <v>0</v>
      </c>
    </row>
    <row r="38" spans="1:9" s="150" customFormat="1" hidden="1" x14ac:dyDescent="0.25">
      <c r="A38" s="157" t="str">
        <f>IF(B38&gt;0,VLOOKUP(B38,КВСР!A24:B1189,2),IF(C38&gt;0,VLOOKUP(C38,КФСР!A24:B1536,2),IF(D38&gt;0,VLOOKUP(D38,Программа!A$1:B$5100,2),IF(F38&gt;0,VLOOKUP(F38,КВР!A$1:B$5001,2),IF(E38&gt;0,VLOOKUP(E38,Направление!A$1:B$4830,2))))))</f>
        <v>Иные бюджетные ассигнования</v>
      </c>
      <c r="B38" s="158"/>
      <c r="C38" s="153"/>
      <c r="D38" s="155"/>
      <c r="E38" s="153"/>
      <c r="F38" s="155">
        <v>800</v>
      </c>
      <c r="G38" s="502">
        <v>471469</v>
      </c>
      <c r="H38" s="160">
        <v>-471469</v>
      </c>
      <c r="I38" s="161">
        <f t="shared" si="0"/>
        <v>0</v>
      </c>
    </row>
    <row r="39" spans="1:9" s="150" customFormat="1" x14ac:dyDescent="0.25">
      <c r="A39" s="157" t="str">
        <f>IF(B39&gt;0,VLOOKUP(B39,КВСР!A25:B1190,2),IF(C39&gt;0,VLOOKUP(C39,КФСР!A25:B1537,2),IF(D39&gt;0,VLOOKUP(D39,Программа!A$1:B$5100,2),IF(F39&gt;0,VLOOKUP(F39,КВР!A$1:B$5001,2),IF(E39&gt;0,VLOOKUP(E39,Направление!A$1:B$4830,2))))))</f>
        <v>Другие общегосударственные вопросы</v>
      </c>
      <c r="B39" s="158"/>
      <c r="C39" s="153">
        <v>113</v>
      </c>
      <c r="D39" s="154"/>
      <c r="E39" s="153"/>
      <c r="F39" s="155"/>
      <c r="G39" s="611">
        <v>57121596</v>
      </c>
      <c r="H39" s="611">
        <f>H40+H45+H49+H84+H56+H80+H69+H74+H114</f>
        <v>731941.42</v>
      </c>
      <c r="I39" s="611">
        <f>I40+I45+I49+I84+I56+I80+I69+I74+I114</f>
        <v>57853537.420000002</v>
      </c>
    </row>
    <row r="40" spans="1:9" s="150" customFormat="1" ht="63" hidden="1" x14ac:dyDescent="0.25">
      <c r="A40" s="157" t="str">
        <f>IF(B40&gt;0,VLOOKUP(B40,КВСР!A26:B1191,2),IF(C40&gt;0,VLOOKUP(C40,КФСР!A26:B1538,2),IF(D40&gt;0,VLOOKUP(D40,Программа!A$1:B$5100,2),IF(F40&gt;0,VLOOKUP(F40,КВР!A$1:B$5001,2),IF(E40&gt;0,VLOOKUP(E40,Направление!A$1:B$4830,2))))))</f>
        <v>Муниципальная программа "Повышение эффективности управления муниципальными финансами"</v>
      </c>
      <c r="B40" s="158"/>
      <c r="C40" s="153"/>
      <c r="D40" s="154" t="s">
        <v>634</v>
      </c>
      <c r="E40" s="153"/>
      <c r="F40" s="155"/>
      <c r="G40" s="611">
        <v>0</v>
      </c>
      <c r="H40" s="161">
        <f>H41</f>
        <v>0</v>
      </c>
      <c r="I40" s="161">
        <f t="shared" si="0"/>
        <v>0</v>
      </c>
    </row>
    <row r="41" spans="1:9" s="150" customFormat="1" ht="31.5" hidden="1" x14ac:dyDescent="0.25">
      <c r="A41" s="157" t="str">
        <f>IF(B41&gt;0,VLOOKUP(B41,КВСР!A27:B1192,2),IF(C41&gt;0,VLOOKUP(C41,КФСР!A27:B1539,2),IF(D41&gt;0,VLOOKUP(D41,Программа!A$1:B$5100,2),IF(F41&gt;0,VLOOKUP(F41,КВР!A$1:B$5001,2),IF(E41&gt;0,VLOOKUP(E41,Направление!A$1:B$4830,2))))))</f>
        <v>Обеспечение деятельности финансового органа</v>
      </c>
      <c r="B41" s="158"/>
      <c r="C41" s="153"/>
      <c r="D41" s="154" t="s">
        <v>635</v>
      </c>
      <c r="E41" s="153"/>
      <c r="F41" s="155"/>
      <c r="G41" s="611">
        <v>0</v>
      </c>
      <c r="H41" s="161">
        <f>H43</f>
        <v>0</v>
      </c>
      <c r="I41" s="161">
        <f t="shared" si="0"/>
        <v>0</v>
      </c>
    </row>
    <row r="42" spans="1:9" s="150" customFormat="1" ht="31.5" hidden="1" x14ac:dyDescent="0.25">
      <c r="A42" s="157" t="str">
        <f>IF(B42&gt;0,VLOOKUP(B42,КВСР!A28:B1193,2),IF(C42&gt;0,VLOOKUP(C42,КФСР!A28:B1540,2),IF(D42&gt;0,VLOOKUP(D42,Программа!A$1:B$5100,2),IF(F42&gt;0,VLOOKUP(F42,КВР!A$1:B$5001,2),IF(E42&gt;0,VLOOKUP(E42,Направление!A$1:B$4830,2))))))</f>
        <v>Обеспечение деятельности финансового органа</v>
      </c>
      <c r="B42" s="158"/>
      <c r="C42" s="153"/>
      <c r="D42" s="154" t="s">
        <v>636</v>
      </c>
      <c r="E42" s="153"/>
      <c r="F42" s="155"/>
      <c r="G42" s="611">
        <v>0</v>
      </c>
      <c r="H42" s="161">
        <f>H41</f>
        <v>0</v>
      </c>
      <c r="I42" s="161">
        <f t="shared" si="0"/>
        <v>0</v>
      </c>
    </row>
    <row r="43" spans="1:9" s="150" customFormat="1" ht="31.5" hidden="1" x14ac:dyDescent="0.25">
      <c r="A43" s="157" t="str">
        <f>IF(B43&gt;0,VLOOKUP(B43,КВСР!A28:B1193,2),IF(C43&gt;0,VLOOKUP(C43,КФСР!A28:B1540,2),IF(D43&gt;0,VLOOKUP(D43,Программа!A$1:B$5100,2),IF(F43&gt;0,VLOOKUP(F43,КВР!A$1:B$5001,2),IF(E43&gt;0,VLOOKUP(E43,Направление!A$1:B$4830,2))))))</f>
        <v>Расходы на развитие системы муниципального заказа</v>
      </c>
      <c r="B43" s="158"/>
      <c r="C43" s="153"/>
      <c r="D43" s="154"/>
      <c r="E43" s="153">
        <v>12220</v>
      </c>
      <c r="F43" s="155"/>
      <c r="G43" s="611">
        <v>0</v>
      </c>
      <c r="H43" s="161">
        <f>H44</f>
        <v>0</v>
      </c>
      <c r="I43" s="161">
        <f t="shared" si="0"/>
        <v>0</v>
      </c>
    </row>
    <row r="44" spans="1:9" s="150" customFormat="1" ht="63" hidden="1" x14ac:dyDescent="0.25">
      <c r="A44" s="157" t="str">
        <f>IF(B44&gt;0,VLOOKUP(B44,КВСР!A29:B1194,2),IF(C44&gt;0,VLOOKUP(C44,КФСР!A29:B1541,2),IF(D44&gt;0,VLOOKUP(D44,Программа!A$1:B$5100,2),IF(F44&gt;0,VLOOKUP(F44,КВР!A$1:B$5001,2),IF(E44&gt;0,VLOOKUP(E44,Направление!A$1:B$4830,2))))))</f>
        <v xml:space="preserve">Закупка товаров, работ и услуг для обеспечения государственных (муниципальных) нужд
</v>
      </c>
      <c r="B44" s="158"/>
      <c r="C44" s="153"/>
      <c r="D44" s="155"/>
      <c r="E44" s="153"/>
      <c r="F44" s="155">
        <v>200</v>
      </c>
      <c r="G44" s="521">
        <v>0</v>
      </c>
      <c r="H44" s="162"/>
      <c r="I44" s="161">
        <f t="shared" si="0"/>
        <v>0</v>
      </c>
    </row>
    <row r="45" spans="1:9" s="150" customFormat="1" ht="78.75" x14ac:dyDescent="0.25">
      <c r="A45" s="157" t="str">
        <f>IF(B45&gt;0,VLOOKUP(B45,КВСР!A26:B1191,2),IF(C45&gt;0,VLOOKUP(C45,КФСР!A26:B1538,2),IF(D45&gt;0,VLOOKUP(D45,Программа!A$1:B$5100,2),IF(F45&gt;0,VLOOKUP(F45,КВР!A$1:B$5001,2),IF(E45&gt;0,VLOOKUP(E45,Направление!A$1:B$4830,2))))))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45" s="158"/>
      <c r="C45" s="153"/>
      <c r="D45" s="154" t="s">
        <v>638</v>
      </c>
      <c r="E45" s="153"/>
      <c r="F45" s="155"/>
      <c r="G45" s="611">
        <v>215000</v>
      </c>
      <c r="H45" s="161">
        <f>H46</f>
        <v>-23100</v>
      </c>
      <c r="I45" s="161">
        <f t="shared" si="0"/>
        <v>191900</v>
      </c>
    </row>
    <row r="46" spans="1:9" s="150" customFormat="1" ht="78.75" x14ac:dyDescent="0.25">
      <c r="A46" s="157" t="str">
        <f>IF(B46&gt;0,VLOOKUP(B46,КВСР!A27:B1192,2),IF(C46&gt;0,VLOOKUP(C46,КФСР!A27:B1539,2),IF(D46&gt;0,VLOOKUP(D46,Программа!A$1:B$5100,2),IF(F46&gt;0,VLOOKUP(F46,КВР!A$1:B$5001,2),IF(E46&gt;0,VLOOKUP(E46,Направление!A$1:B$4830,2))))))</f>
        <v xml:space="preserve">Профессиональное развитие  муниципальных служащих и повышение квалификации руководителей муниципальных учреждений </v>
      </c>
      <c r="B46" s="158"/>
      <c r="C46" s="153"/>
      <c r="D46" s="154" t="s">
        <v>639</v>
      </c>
      <c r="E46" s="153"/>
      <c r="F46" s="155"/>
      <c r="G46" s="611">
        <v>215000</v>
      </c>
      <c r="H46" s="161">
        <f>H47</f>
        <v>-23100</v>
      </c>
      <c r="I46" s="161">
        <f t="shared" si="0"/>
        <v>191900</v>
      </c>
    </row>
    <row r="47" spans="1:9" s="150" customFormat="1" ht="31.5" x14ac:dyDescent="0.25">
      <c r="A47" s="157" t="str">
        <f>IF(B47&gt;0,VLOOKUP(B47,КВСР!A28:B1193,2),IF(C47&gt;0,VLOOKUP(C47,КФСР!A28:B1540,2),IF(D47&gt;0,VLOOKUP(D47,Программа!A$1:B$5100,2),IF(F47&gt;0,VLOOKUP(F47,КВР!A$1:B$5001,2),IF(E47&gt;0,VLOOKUP(E47,Направление!A$1:B$4830,2))))))</f>
        <v>Расходы на развитие муниципальной службы</v>
      </c>
      <c r="B47" s="158"/>
      <c r="C47" s="153"/>
      <c r="D47" s="154"/>
      <c r="E47" s="153">
        <v>12200</v>
      </c>
      <c r="F47" s="155"/>
      <c r="G47" s="611">
        <v>215000</v>
      </c>
      <c r="H47" s="161">
        <f>H48</f>
        <v>-23100</v>
      </c>
      <c r="I47" s="161">
        <f t="shared" si="0"/>
        <v>191900</v>
      </c>
    </row>
    <row r="48" spans="1:9" s="150" customFormat="1" ht="63" x14ac:dyDescent="0.25">
      <c r="A48" s="157" t="str">
        <f>IF(B48&gt;0,VLOOKUP(B48,КВСР!A29:B1194,2),IF(C48&gt;0,VLOOKUP(C48,КФСР!A29:B1541,2),IF(D48&gt;0,VLOOKUP(D48,Программа!A$1:B$5100,2),IF(F48&gt;0,VLOOKUP(F48,КВР!A$1:B$5001,2),IF(E48&gt;0,VLOOKUP(E48,Направление!A$1:B$4830,2))))))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8"/>
      <c r="C48" s="153"/>
      <c r="D48" s="155"/>
      <c r="E48" s="153"/>
      <c r="F48" s="155">
        <v>200</v>
      </c>
      <c r="G48" s="521">
        <v>215000</v>
      </c>
      <c r="H48" s="162">
        <v>-23100</v>
      </c>
      <c r="I48" s="161">
        <f t="shared" si="0"/>
        <v>191900</v>
      </c>
    </row>
    <row r="49" spans="1:9" s="150" customFormat="1" ht="63" x14ac:dyDescent="0.25">
      <c r="A49" s="157" t="str">
        <f>IF(B49&gt;0,VLOOKUP(B49,КВСР!A30:B1195,2),IF(C49&gt;0,VLOOKUP(C49,КФСР!A30:B1542,2),IF(D49&gt;0,VLOOKUP(D49,Программа!A$1:B$5100,2),IF(F49&gt;0,VLOOKUP(F49,КВР!A$1:B$5001,2),IF(E49&gt;0,VLOOKUP(E49,Направление!A$1:B$4830,2))))))</f>
        <v>Муниципальная программа "Информатизация управленческой деятельности Администрации Тутаевского муниципального района"</v>
      </c>
      <c r="B49" s="158"/>
      <c r="C49" s="153"/>
      <c r="D49" s="155" t="s">
        <v>642</v>
      </c>
      <c r="E49" s="153"/>
      <c r="F49" s="155"/>
      <c r="G49" s="611">
        <v>600000</v>
      </c>
      <c r="H49" s="161">
        <f>H53+H50</f>
        <v>-108627</v>
      </c>
      <c r="I49" s="161">
        <f t="shared" si="0"/>
        <v>491373</v>
      </c>
    </row>
    <row r="50" spans="1:9" s="150" customFormat="1" ht="31.5" x14ac:dyDescent="0.25">
      <c r="A50" s="157" t="str">
        <f>IF(B50&gt;0,VLOOKUP(B50,КВСР!A31:B1196,2),IF(C50&gt;0,VLOOKUP(C50,КФСР!A31:B1543,2),IF(D50&gt;0,VLOOKUP(D50,Программа!A$1:B$5100,2),IF(F50&gt;0,VLOOKUP(F50,КВР!A$1:B$5001,2),IF(E50&gt;0,VLOOKUP(E50,Направление!A$1:B$4830,2))))))</f>
        <v>Бесперебойное функционирование информационных систем</v>
      </c>
      <c r="B50" s="158"/>
      <c r="C50" s="153"/>
      <c r="D50" s="155" t="s">
        <v>679</v>
      </c>
      <c r="E50" s="153"/>
      <c r="F50" s="155"/>
      <c r="G50" s="611">
        <v>300000</v>
      </c>
      <c r="H50" s="161">
        <f>H51</f>
        <v>-34599</v>
      </c>
      <c r="I50" s="161">
        <f t="shared" si="0"/>
        <v>265401</v>
      </c>
    </row>
    <row r="51" spans="1:9" s="150" customFormat="1" ht="31.5" x14ac:dyDescent="0.25">
      <c r="A51" s="157" t="str">
        <f>IF(B51&gt;0,VLOOKUP(B51,КВСР!A32:B1197,2),IF(C51&gt;0,VLOOKUP(C51,КФСР!A32:B1544,2),IF(D51&gt;0,VLOOKUP(D51,Программа!A$1:B$5100,2),IF(F51&gt;0,VLOOKUP(F51,КВР!A$1:B$5001,2),IF(E51&gt;0,VLOOKUP(E51,Направление!A$1:B$4830,2))))))</f>
        <v>Расходы на проведение мероприятий по информатизации</v>
      </c>
      <c r="B51" s="158"/>
      <c r="C51" s="153"/>
      <c r="D51" s="155"/>
      <c r="E51" s="153">
        <v>12210</v>
      </c>
      <c r="F51" s="155"/>
      <c r="G51" s="611">
        <v>300000</v>
      </c>
      <c r="H51" s="161">
        <f>H52</f>
        <v>-34599</v>
      </c>
      <c r="I51" s="161">
        <f t="shared" si="0"/>
        <v>265401</v>
      </c>
    </row>
    <row r="52" spans="1:9" s="150" customFormat="1" ht="63" x14ac:dyDescent="0.25">
      <c r="A52" s="157" t="str">
        <f>IF(B52&gt;0,VLOOKUP(B52,КВСР!A33:B1198,2),IF(C52&gt;0,VLOOKUP(C52,КФСР!A33:B1545,2),IF(D52&gt;0,VLOOKUP(D52,Программа!A$1:B$5100,2),IF(F52&gt;0,VLOOKUP(F52,КВР!A$1:B$5001,2),IF(E52&gt;0,VLOOKUP(E52,Направление!A$1:B$4830,2))))))</f>
        <v xml:space="preserve">Закупка товаров, работ и услуг для обеспечения государственных (муниципальных) нужд
</v>
      </c>
      <c r="B52" s="158"/>
      <c r="C52" s="153"/>
      <c r="D52" s="155"/>
      <c r="E52" s="153"/>
      <c r="F52" s="155">
        <v>200</v>
      </c>
      <c r="G52" s="554">
        <v>300000</v>
      </c>
      <c r="H52" s="161">
        <v>-34599</v>
      </c>
      <c r="I52" s="161">
        <f t="shared" si="0"/>
        <v>265401</v>
      </c>
    </row>
    <row r="53" spans="1:9" s="150" customFormat="1" ht="63" x14ac:dyDescent="0.25">
      <c r="A53" s="157" t="str">
        <f>IF(B53&gt;0,VLOOKUP(B53,КВСР!A31:B1196,2),IF(C53&gt;0,VLOOKUP(C53,КФСР!A31:B1543,2),IF(D53&gt;0,VLOOKUP(D53,Программа!A$1:B$5100,2),IF(F53&gt;0,VLOOKUP(F53,КВР!A$1:B$5001,2),IF(E53&gt;0,VLOOKUP(E53,Направление!A$1:B$4830,2))))))</f>
        <v>Закупка компьютерного оборудования  и оргтехники для бесперебойного обеспечения деятельности органов местного самоуправления</v>
      </c>
      <c r="B53" s="158"/>
      <c r="C53" s="153"/>
      <c r="D53" s="155" t="s">
        <v>644</v>
      </c>
      <c r="E53" s="153"/>
      <c r="F53" s="155"/>
      <c r="G53" s="611">
        <v>300000</v>
      </c>
      <c r="H53" s="161">
        <f>H54</f>
        <v>-74028</v>
      </c>
      <c r="I53" s="161">
        <f t="shared" si="0"/>
        <v>225972</v>
      </c>
    </row>
    <row r="54" spans="1:9" s="150" customFormat="1" ht="31.5" x14ac:dyDescent="0.25">
      <c r="A54" s="157" t="str">
        <f>IF(B54&gt;0,VLOOKUP(B54,КВСР!A32:B1197,2),IF(C54&gt;0,VLOOKUP(C54,КФСР!A32:B1544,2),IF(D54&gt;0,VLOOKUP(D54,Программа!A$1:B$5100,2),IF(F54&gt;0,VLOOKUP(F54,КВР!A$1:B$5001,2),IF(E54&gt;0,VLOOKUP(E54,Направление!A$1:B$4830,2))))))</f>
        <v>Расходы на проведение мероприятий по информатизации</v>
      </c>
      <c r="B54" s="158"/>
      <c r="C54" s="153"/>
      <c r="D54" s="155"/>
      <c r="E54" s="153">
        <v>12210</v>
      </c>
      <c r="F54" s="155"/>
      <c r="G54" s="611">
        <v>300000</v>
      </c>
      <c r="H54" s="161">
        <f>H55</f>
        <v>-74028</v>
      </c>
      <c r="I54" s="161">
        <f t="shared" si="0"/>
        <v>225972</v>
      </c>
    </row>
    <row r="55" spans="1:9" s="150" customFormat="1" ht="63" x14ac:dyDescent="0.25">
      <c r="A55" s="157" t="str">
        <f>IF(B55&gt;0,VLOOKUP(B55,КВСР!A33:B1198,2),IF(C55&gt;0,VLOOKUP(C55,КФСР!A33:B1545,2),IF(D55&gt;0,VLOOKUP(D55,Программа!A$1:B$5100,2),IF(F55&gt;0,VLOOKUP(F55,КВР!A$1:B$5001,2),IF(E55&gt;0,VLOOKUP(E55,Направление!A$1:B$4830,2))))))</f>
        <v xml:space="preserve">Закупка товаров, работ и услуг для обеспечения государственных (муниципальных) нужд
</v>
      </c>
      <c r="B55" s="158"/>
      <c r="C55" s="153"/>
      <c r="D55" s="155"/>
      <c r="E55" s="153"/>
      <c r="F55" s="155">
        <v>200</v>
      </c>
      <c r="G55" s="162">
        <v>300000</v>
      </c>
      <c r="H55" s="162">
        <v>-74028</v>
      </c>
      <c r="I55" s="161">
        <f t="shared" si="0"/>
        <v>225972</v>
      </c>
    </row>
    <row r="56" spans="1:9" s="150" customFormat="1" ht="110.25" x14ac:dyDescent="0.25">
      <c r="A56" s="157" t="str">
        <f>IF(B56&gt;0,VLOOKUP(B56,КВСР!A38:B1203,2),IF(C56&gt;0,VLOOKUP(C56,КФСР!A38:B1550,2),IF(D56&gt;0,VLOOKUP(D56,Программа!A$1:B$5100,2),IF(F56&gt;0,VLOOKUP(F56,КВР!A$1:B$5001,2),IF(E56&gt;0,VLOOKUP(E56,Направление!A$1:B$4830,2))))))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56" s="158"/>
      <c r="C56" s="153"/>
      <c r="D56" s="154" t="s">
        <v>646</v>
      </c>
      <c r="E56" s="153"/>
      <c r="F56" s="155"/>
      <c r="G56" s="611">
        <v>1418352</v>
      </c>
      <c r="H56" s="161">
        <f>H57+H66</f>
        <v>660</v>
      </c>
      <c r="I56" s="161">
        <f t="shared" si="0"/>
        <v>1419012</v>
      </c>
    </row>
    <row r="57" spans="1:9" s="150" customFormat="1" ht="94.5" x14ac:dyDescent="0.25">
      <c r="A57" s="157" t="str">
        <f>IF(B57&gt;0,VLOOKUP(B57,КВСР!A31:B1196,2),IF(C57&gt;0,VLOOKUP(C57,КФСР!A31:B1543,2),IF(D57&gt;0,VLOOKUP(D57,Программа!A$1:B$5100,2),IF(F57&gt;0,VLOOKUP(F57,КВР!A$1:B$5001,2),IF(E57&gt;0,VLOOKUP(E57,Направление!A$1:B$4830,2))))))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57" s="158"/>
      <c r="C57" s="153"/>
      <c r="D57" s="154" t="s">
        <v>647</v>
      </c>
      <c r="E57" s="153"/>
      <c r="F57" s="155"/>
      <c r="G57" s="611">
        <v>1418352</v>
      </c>
      <c r="H57" s="611">
        <f>H60+H63+H58</f>
        <v>660</v>
      </c>
      <c r="I57" s="161">
        <f t="shared" si="0"/>
        <v>1419012</v>
      </c>
    </row>
    <row r="58" spans="1:9" s="150" customFormat="1" ht="47.25" x14ac:dyDescent="0.25">
      <c r="A58" s="157" t="str">
        <f>IF(B58&gt;0,VLOOKUP(B58,КВСР!A32:B1197,2),IF(C58&gt;0,VLOOKUP(C58,КФСР!A32:B1544,2),IF(D58&gt;0,VLOOKUP(D58,Программа!A$1:B$5100,2),IF(F58&gt;0,VLOOKUP(F58,КВР!A$1:B$5001,2),IF(E58&gt;0,VLOOKUP(E58,Направление!A$1:B$4830,2))))))</f>
        <v>Предоставление субсидий социально ориентированным некомерческим организациям на конкурсной основе</v>
      </c>
      <c r="B58" s="158"/>
      <c r="C58" s="153"/>
      <c r="D58" s="154"/>
      <c r="E58" s="153">
        <v>73140</v>
      </c>
      <c r="F58" s="155"/>
      <c r="G58" s="611">
        <v>568352</v>
      </c>
      <c r="H58" s="611">
        <f>H59</f>
        <v>0</v>
      </c>
      <c r="I58" s="611">
        <f>I59</f>
        <v>568352</v>
      </c>
    </row>
    <row r="59" spans="1:9" s="150" customFormat="1" ht="63" x14ac:dyDescent="0.25">
      <c r="A59" s="157" t="str">
        <f>IF(B59&gt;0,VLOOKUP(B59,КВСР!A33:B1198,2),IF(C59&gt;0,VLOOKUP(C59,КФСР!A33:B1545,2),IF(D59&gt;0,VLOOKUP(D59,Программа!A$1:B$5100,2),IF(F59&gt;0,VLOOKUP(F59,КВР!A$1:B$5001,2),IF(E59&gt;0,VLOOKUP(E59,Направление!A$1:B$4830,2))))))</f>
        <v>Предоставление субсидий бюджетным, автономным учреждениям и иным некоммерческим организациям</v>
      </c>
      <c r="B59" s="158"/>
      <c r="C59" s="153"/>
      <c r="D59" s="154"/>
      <c r="E59" s="153"/>
      <c r="F59" s="155">
        <v>600</v>
      </c>
      <c r="G59" s="611">
        <v>568352</v>
      </c>
      <c r="H59" s="611"/>
      <c r="I59" s="161">
        <f>G59+H59</f>
        <v>568352</v>
      </c>
    </row>
    <row r="60" spans="1:9" s="150" customFormat="1" ht="47.25" x14ac:dyDescent="0.25">
      <c r="A60" s="157" t="str">
        <f>IF(B60&gt;0,VLOOKUP(B60,КВСР!A32:B1197,2),IF(C60&gt;0,VLOOKUP(C60,КФСР!A32:B1544,2),IF(D60&gt;0,VLOOKUP(D60,Программа!A$1:B$5100,2),IF(F60&gt;0,VLOOKUP(F60,КВР!A$1:B$5001,2),IF(E60&gt;0,VLOOKUP(E60,Направление!A$1:B$4830,2))))))</f>
        <v>Предоставление субсидий социально ориентированным некомерческим организациям на конкурсной основе</v>
      </c>
      <c r="B60" s="158"/>
      <c r="C60" s="153"/>
      <c r="D60" s="154"/>
      <c r="E60" s="153">
        <v>13140</v>
      </c>
      <c r="F60" s="155"/>
      <c r="G60" s="611">
        <v>200000</v>
      </c>
      <c r="H60" s="161">
        <f>H62+H61</f>
        <v>660</v>
      </c>
      <c r="I60" s="161">
        <f t="shared" si="0"/>
        <v>200660</v>
      </c>
    </row>
    <row r="61" spans="1:9" s="150" customFormat="1" ht="31.5" x14ac:dyDescent="0.25">
      <c r="A61" s="157" t="str">
        <f>IF(B61&gt;0,VLOOKUP(B61,КВСР!A33:B1198,2),IF(C61&gt;0,VLOOKUP(C61,КФСР!A33:B1545,2),IF(D61&gt;0,VLOOKUP(D61,Программа!A$1:B$5100,2),IF(F61&gt;0,VLOOKUP(F61,КВР!A$1:B$5001,2),IF(E61&gt;0,VLOOKUP(E61,Направление!A$1:B$4830,2))))))</f>
        <v>Социальное обеспечение и иные выплаты населению</v>
      </c>
      <c r="B61" s="158"/>
      <c r="C61" s="153"/>
      <c r="D61" s="154"/>
      <c r="E61" s="153"/>
      <c r="F61" s="155">
        <v>300</v>
      </c>
      <c r="G61" s="611">
        <v>40000</v>
      </c>
      <c r="H61" s="161">
        <v>160660</v>
      </c>
      <c r="I61" s="161">
        <f t="shared" si="0"/>
        <v>200660</v>
      </c>
    </row>
    <row r="62" spans="1:9" s="150" customFormat="1" ht="63" hidden="1" x14ac:dyDescent="0.25">
      <c r="A62" s="157" t="str">
        <f>IF(B62&gt;0,VLOOKUP(B62,КВСР!A33:B1198,2),IF(C62&gt;0,VLOOKUP(C62,КФСР!A33:B1545,2),IF(D62&gt;0,VLOOKUP(D62,Программа!A$1:B$5100,2),IF(F62&gt;0,VLOOKUP(F62,КВР!A$1:B$5001,2),IF(E62&gt;0,VLOOKUP(E62,Направление!A$1:B$4830,2))))))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8"/>
      <c r="C62" s="153"/>
      <c r="D62" s="155"/>
      <c r="E62" s="153"/>
      <c r="F62" s="155">
        <v>600</v>
      </c>
      <c r="G62" s="162">
        <v>160000</v>
      </c>
      <c r="H62" s="162">
        <v>-160000</v>
      </c>
      <c r="I62" s="161">
        <f t="shared" si="0"/>
        <v>0</v>
      </c>
    </row>
    <row r="63" spans="1:9" s="150" customFormat="1" ht="47.25" x14ac:dyDescent="0.25">
      <c r="A63" s="157" t="str">
        <f>IF(B63&gt;0,VLOOKUP(B63,КВСР!A34:B1199,2),IF(C63&gt;0,VLOOKUP(C63,КФСР!A34:B1546,2),IF(D63&gt;0,VLOOKUP(D63,Программа!A$1:B$5100,2),IF(F63&gt;0,VLOOKUP(F63,КВР!A$1:B$5001,2),IF(E63&gt;0,VLOOKUP(E63,Направление!A$1:B$4830,2))))))</f>
        <v>Поддержки деятельности социально-ориентированных некоммерческих организаций</v>
      </c>
      <c r="B63" s="158"/>
      <c r="C63" s="153"/>
      <c r="D63" s="155"/>
      <c r="E63" s="153">
        <v>29516</v>
      </c>
      <c r="F63" s="155"/>
      <c r="G63" s="521">
        <v>650000</v>
      </c>
      <c r="H63" s="521">
        <f>H65+H64</f>
        <v>0</v>
      </c>
      <c r="I63" s="521">
        <f>I65+I64</f>
        <v>650000</v>
      </c>
    </row>
    <row r="64" spans="1:9" s="150" customFormat="1" ht="31.5" x14ac:dyDescent="0.25">
      <c r="A64" s="157" t="str">
        <f>IF(B64&gt;0,VLOOKUP(B64,КВСР!A35:B1200,2),IF(C64&gt;0,VLOOKUP(C64,КФСР!A35:B1547,2),IF(D64&gt;0,VLOOKUP(D64,Программа!A$1:B$5100,2),IF(F64&gt;0,VLOOKUP(F64,КВР!A$1:B$5001,2),IF(E64&gt;0,VLOOKUP(E64,Направление!A$1:B$4830,2))))))</f>
        <v>Социальное обеспечение и иные выплаты населению</v>
      </c>
      <c r="B64" s="158"/>
      <c r="C64" s="153"/>
      <c r="D64" s="155"/>
      <c r="E64" s="153"/>
      <c r="F64" s="155">
        <v>300</v>
      </c>
      <c r="G64" s="521"/>
      <c r="H64" s="521">
        <v>142940</v>
      </c>
      <c r="I64" s="161">
        <f t="shared" si="0"/>
        <v>142940</v>
      </c>
    </row>
    <row r="65" spans="1:9" s="150" customFormat="1" ht="63" x14ac:dyDescent="0.25">
      <c r="A65" s="157" t="str">
        <f>IF(B65&gt;0,VLOOKUP(B65,КВСР!A35:B1200,2),IF(C65&gt;0,VLOOKUP(C65,КФСР!A35:B1547,2),IF(D65&gt;0,VLOOKUP(D65,Программа!A$1:B$5100,2),IF(F65&gt;0,VLOOKUP(F65,КВР!A$1:B$5001,2),IF(E65&gt;0,VLOOKUP(E65,Направление!A$1:B$4830,2))))))</f>
        <v>Предоставление субсидий бюджетным, автономным учреждениям и иным некоммерческим организациям</v>
      </c>
      <c r="B65" s="158"/>
      <c r="C65" s="153"/>
      <c r="D65" s="155"/>
      <c r="E65" s="153"/>
      <c r="F65" s="155">
        <v>600</v>
      </c>
      <c r="G65" s="162">
        <v>650000</v>
      </c>
      <c r="H65" s="162">
        <v>-142940</v>
      </c>
      <c r="I65" s="161">
        <f t="shared" si="0"/>
        <v>507060</v>
      </c>
    </row>
    <row r="66" spans="1:9" s="150" customFormat="1" ht="63" hidden="1" x14ac:dyDescent="0.25">
      <c r="A66" s="157" t="str">
        <f>IF(B66&gt;0,VLOOKUP(B66,КВСР!A34:B1199,2),IF(C66&gt;0,VLOOKUP(C66,КФСР!A34:B1546,2),IF(D66&gt;0,VLOOKUP(D66,Программа!A$1:B$5100,2),IF(F66&gt;0,VLOOKUP(F66,КВР!A$1:B$5001,2),IF(E66&gt;0,VLOOKUP(E66,Направление!A$1:B$4830,2))))))</f>
        <v>Развитие взаимодействия органов местного самоуправления Тутаевского муниципального района, СОНКО и ТОС</v>
      </c>
      <c r="B66" s="158"/>
      <c r="C66" s="153"/>
      <c r="D66" s="155" t="s">
        <v>948</v>
      </c>
      <c r="E66" s="153"/>
      <c r="F66" s="155"/>
      <c r="G66" s="521">
        <v>0</v>
      </c>
      <c r="H66" s="521">
        <f>H67</f>
        <v>0</v>
      </c>
      <c r="I66" s="161">
        <f t="shared" si="0"/>
        <v>0</v>
      </c>
    </row>
    <row r="67" spans="1:9" s="150" customFormat="1" ht="47.25" hidden="1" x14ac:dyDescent="0.25">
      <c r="A67" s="157" t="str">
        <f>IF(B67&gt;0,VLOOKUP(B67,КВСР!A34:B1199,2),IF(C67&gt;0,VLOOKUP(C67,КФСР!A34:B1546,2),IF(D67&gt;0,VLOOKUP(D67,Программа!A$1:B$5100,2),IF(F67&gt;0,VLOOKUP(F67,КВР!A$1:B$5001,2),IF(E67&gt;0,VLOOKUP(E67,Направление!A$1:B$4830,2))))))</f>
        <v>Расходы на поддержку общественного самоуправления и некоммерческих организаций</v>
      </c>
      <c r="B67" s="158"/>
      <c r="C67" s="153"/>
      <c r="D67" s="155"/>
      <c r="E67" s="153">
        <v>12240</v>
      </c>
      <c r="F67" s="155"/>
      <c r="G67" s="521">
        <v>0</v>
      </c>
      <c r="H67" s="521">
        <f>H68</f>
        <v>0</v>
      </c>
      <c r="I67" s="161">
        <f t="shared" si="0"/>
        <v>0</v>
      </c>
    </row>
    <row r="68" spans="1:9" s="150" customFormat="1" ht="63" hidden="1" x14ac:dyDescent="0.25">
      <c r="A68" s="157" t="str">
        <f>IF(B68&gt;0,VLOOKUP(B68,КВСР!A35:B1200,2),IF(C68&gt;0,VLOOKUP(C68,КФСР!A35:B1547,2),IF(D68&gt;0,VLOOKUP(D68,Программа!A$1:B$5100,2),IF(F68&gt;0,VLOOKUP(F68,КВР!A$1:B$5001,2),IF(E68&gt;0,VLOOKUP(E68,Направление!A$1:B$4830,2))))))</f>
        <v xml:space="preserve">Закупка товаров, работ и услуг для обеспечения государственных (муниципальных) нужд
</v>
      </c>
      <c r="B68" s="158"/>
      <c r="C68" s="153"/>
      <c r="D68" s="155"/>
      <c r="E68" s="153"/>
      <c r="F68" s="155">
        <v>200</v>
      </c>
      <c r="G68" s="162">
        <v>0</v>
      </c>
      <c r="H68" s="162"/>
      <c r="I68" s="161">
        <f t="shared" si="0"/>
        <v>0</v>
      </c>
    </row>
    <row r="69" spans="1:9" s="150" customFormat="1" ht="63" x14ac:dyDescent="0.25">
      <c r="A69" s="157" t="str">
        <f>IF(B69&gt;0,VLOOKUP(B69,КВСР!A34:B1199,2),IF(C69&gt;0,VLOOKUP(C69,КФСР!A34:B1546,2),IF(D69&gt;0,VLOOKUP(D69,Программа!A$1:B$5100,2),IF(F69&gt;0,VLOOKUP(F69,КВР!A$1:B$5001,2),IF(E69&gt;0,VLOOKUP(E69,Направление!A$1:B$4830,2))))))</f>
        <v>Муниципальная программа "Профилактика правонарушений и усиление борьбы с преступностью в Тутаевском муниципальном районе"</v>
      </c>
      <c r="B69" s="158"/>
      <c r="C69" s="153"/>
      <c r="D69" s="155" t="s">
        <v>748</v>
      </c>
      <c r="E69" s="153"/>
      <c r="F69" s="155"/>
      <c r="G69" s="611">
        <v>15000</v>
      </c>
      <c r="H69" s="491">
        <f>H70</f>
        <v>0</v>
      </c>
      <c r="I69" s="161">
        <f t="shared" si="0"/>
        <v>15000</v>
      </c>
    </row>
    <row r="70" spans="1:9" s="150" customFormat="1" ht="31.5" x14ac:dyDescent="0.25">
      <c r="A70" s="157" t="str">
        <f>IF(B70&gt;0,VLOOKUP(B70,КВСР!A35:B1200,2),IF(C70&gt;0,VLOOKUP(C70,КФСР!A35:B1547,2),IF(D70&gt;0,VLOOKUP(D70,Программа!A$1:B$5100,2),IF(F70&gt;0,VLOOKUP(F70,КВР!A$1:B$5001,2),IF(E70&gt;0,VLOOKUP(E70,Направление!A$1:B$4830,2))))))</f>
        <v>Реализация мероприятий по профилактике правонарушений</v>
      </c>
      <c r="B70" s="158"/>
      <c r="C70" s="153"/>
      <c r="D70" s="155" t="s">
        <v>750</v>
      </c>
      <c r="E70" s="153"/>
      <c r="F70" s="155"/>
      <c r="G70" s="611">
        <v>15000</v>
      </c>
      <c r="H70" s="491">
        <f>H71</f>
        <v>0</v>
      </c>
      <c r="I70" s="161">
        <f t="shared" si="0"/>
        <v>15000</v>
      </c>
    </row>
    <row r="71" spans="1:9" s="150" customFormat="1" ht="47.25" x14ac:dyDescent="0.25">
      <c r="A71" s="157" t="str">
        <f>IF(B71&gt;0,VLOOKUP(B71,КВСР!A36:B1201,2),IF(C71&gt;0,VLOOKUP(C71,КФСР!A36:B1548,2),IF(D71&gt;0,VLOOKUP(D71,Программа!A$1:B$5100,2),IF(F71&gt;0,VLOOKUP(F71,КВР!A$1:B$5001,2),IF(E71&gt;0,VLOOKUP(E71,Направление!A$1:B$4830,2))))))</f>
        <v>Расходы на профилактику правонарушений и усиления борьбы с преступностью</v>
      </c>
      <c r="B71" s="158"/>
      <c r="C71" s="153"/>
      <c r="D71" s="155"/>
      <c r="E71" s="153">
        <v>12250</v>
      </c>
      <c r="F71" s="155"/>
      <c r="G71" s="611">
        <v>15000</v>
      </c>
      <c r="H71" s="491">
        <f>H72+H73</f>
        <v>0</v>
      </c>
      <c r="I71" s="161">
        <f t="shared" si="0"/>
        <v>15000</v>
      </c>
    </row>
    <row r="72" spans="1:9" s="150" customFormat="1" ht="63" x14ac:dyDescent="0.25">
      <c r="A72" s="157" t="str">
        <f>IF(B72&gt;0,VLOOKUP(B72,КВСР!A37:B1202,2),IF(C72&gt;0,VLOOKUP(C72,КФСР!A37:B1549,2),IF(D72&gt;0,VLOOKUP(D72,Программа!A$1:B$5100,2),IF(F72&gt;0,VLOOKUP(F72,КВР!A$1:B$5001,2),IF(E72&gt;0,VLOOKUP(E72,Направление!A$1:B$4830,2))))))</f>
        <v xml:space="preserve">Закупка товаров, работ и услуг для обеспечения государственных (муниципальных) нужд
</v>
      </c>
      <c r="B72" s="158"/>
      <c r="C72" s="153"/>
      <c r="D72" s="155"/>
      <c r="E72" s="153"/>
      <c r="F72" s="155">
        <v>200</v>
      </c>
      <c r="G72" s="162">
        <v>15000</v>
      </c>
      <c r="H72" s="162"/>
      <c r="I72" s="161">
        <f t="shared" si="0"/>
        <v>15000</v>
      </c>
    </row>
    <row r="73" spans="1:9" s="150" customFormat="1" hidden="1" x14ac:dyDescent="0.25">
      <c r="A73" s="157" t="str">
        <f>IF(B73&gt;0,VLOOKUP(B73,КВСР!A37:B1202,2),IF(C73&gt;0,VLOOKUP(C73,КФСР!A37:B1549,2),IF(D73&gt;0,VLOOKUP(D73,Программа!A$1:B$5100,2),IF(F73&gt;0,VLOOKUP(F73,КВР!A$1:B$5001,2),IF(E73&gt;0,VLOOKUP(E73,Направление!A$1:B$4830,2))))))</f>
        <v>Иные бюджетные ассигнования</v>
      </c>
      <c r="B73" s="158"/>
      <c r="C73" s="153"/>
      <c r="D73" s="155"/>
      <c r="E73" s="153"/>
      <c r="F73" s="155">
        <v>800</v>
      </c>
      <c r="G73" s="162">
        <v>0</v>
      </c>
      <c r="H73" s="162"/>
      <c r="I73" s="161">
        <f t="shared" si="0"/>
        <v>0</v>
      </c>
    </row>
    <row r="74" spans="1:9" s="150" customFormat="1" ht="47.25" x14ac:dyDescent="0.25">
      <c r="A74" s="157" t="str">
        <f>IF(B74&gt;0,VLOOKUP(B74,КВСР!A38:B1203,2),IF(C74&gt;0,VLOOKUP(C74,КФСР!A38:B1550,2),IF(D74&gt;0,VLOOKUP(D74,Программа!A$1:B$5100,2),IF(F74&gt;0,VLOOKUP(F74,КВР!A$1:B$5001,2),IF(E74&gt;0,VLOOKUP(E74,Направление!A$1:B$4830,2))))))</f>
        <v>Муниципальная программа "Обеспечение муниципальных закупок в Тутаевском муниципальном районе"</v>
      </c>
      <c r="B74" s="158"/>
      <c r="C74" s="153"/>
      <c r="D74" s="155" t="s">
        <v>2930</v>
      </c>
      <c r="E74" s="153"/>
      <c r="F74" s="155"/>
      <c r="G74" s="161">
        <v>307953</v>
      </c>
      <c r="H74" s="161">
        <f>H75</f>
        <v>0</v>
      </c>
      <c r="I74" s="161">
        <f t="shared" si="0"/>
        <v>307953</v>
      </c>
    </row>
    <row r="75" spans="1:9" s="150" customFormat="1" ht="63" x14ac:dyDescent="0.25">
      <c r="A75" s="157" t="str">
        <f>IF(B75&gt;0,VLOOKUP(B75,КВСР!A39:B1204,2),IF(C75&gt;0,VLOOKUP(C75,КФСР!A39:B1551,2),IF(D75&gt;0,VLOOKUP(D75,Программа!A$1:B$5100,2),IF(F75&gt;0,VLOOKUP(F75,КВР!A$1:B$5001,2),IF(E75&gt;0,VLOOKUP(E75,Направление!A$1:B$4830,2))))))</f>
        <v>Организация системы подготовки, планирования, информационного сопровождения и осуществления муниципальных закупок</v>
      </c>
      <c r="B75" s="158"/>
      <c r="C75" s="153"/>
      <c r="D75" s="155" t="s">
        <v>2932</v>
      </c>
      <c r="E75" s="153"/>
      <c r="F75" s="155"/>
      <c r="G75" s="161">
        <v>307953</v>
      </c>
      <c r="H75" s="161">
        <f>H78+H76</f>
        <v>0</v>
      </c>
      <c r="I75" s="161">
        <f t="shared" si="0"/>
        <v>307953</v>
      </c>
    </row>
    <row r="76" spans="1:9" s="150" customFormat="1" ht="47.25" x14ac:dyDescent="0.25">
      <c r="A76" s="157" t="str">
        <f>IF(B76&gt;0,VLOOKUP(B76,КВСР!A40:B1205,2),IF(C76&gt;0,VLOOKUP(C76,КФСР!A40:B1552,2),IF(D76&gt;0,VLOOKUP(D76,Программа!A$1:B$5100,2),IF(F76&gt;0,VLOOKUP(F76,КВР!A$1:B$5001,2),IF(E76&gt;0,VLOOKUP(E76,Направление!A$1:B$4830,2))))))</f>
        <v>Субсидия на реализацию мероприятий по информационному обеспечению муниципальных закупок</v>
      </c>
      <c r="B76" s="158"/>
      <c r="C76" s="153"/>
      <c r="D76" s="155"/>
      <c r="E76" s="153">
        <v>75800</v>
      </c>
      <c r="F76" s="155"/>
      <c r="G76" s="161">
        <v>257953</v>
      </c>
      <c r="H76" s="161">
        <f>H77</f>
        <v>0</v>
      </c>
      <c r="I76" s="161">
        <f t="shared" si="0"/>
        <v>257953</v>
      </c>
    </row>
    <row r="77" spans="1:9" s="150" customFormat="1" ht="63" x14ac:dyDescent="0.25">
      <c r="A77" s="157" t="str">
        <f>IF(B77&gt;0,VLOOKUP(B77,КВСР!A41:B1206,2),IF(C77&gt;0,VLOOKUP(C77,КФСР!A41:B1553,2),IF(D77&gt;0,VLOOKUP(D77,Программа!A$1:B$5100,2),IF(F77&gt;0,VLOOKUP(F77,КВР!A$1:B$5001,2),IF(E77&gt;0,VLOOKUP(E77,Направление!A$1:B$4830,2))))))</f>
        <v xml:space="preserve">Закупка товаров, работ и услуг для обеспечения государственных (муниципальных) нужд
</v>
      </c>
      <c r="B77" s="158"/>
      <c r="C77" s="153"/>
      <c r="D77" s="155"/>
      <c r="E77" s="153"/>
      <c r="F77" s="155">
        <v>200</v>
      </c>
      <c r="G77" s="161">
        <v>257953</v>
      </c>
      <c r="H77" s="161"/>
      <c r="I77" s="161">
        <f t="shared" si="0"/>
        <v>257953</v>
      </c>
    </row>
    <row r="78" spans="1:9" s="150" customFormat="1" ht="47.25" x14ac:dyDescent="0.25">
      <c r="A78" s="157" t="str">
        <f>IF(B78&gt;0,VLOOKUP(B78,КВСР!A40:B1205,2),IF(C78&gt;0,VLOOKUP(C78,КФСР!A40:B1552,2),IF(D78&gt;0,VLOOKUP(D78,Программа!A$1:B$5100,2),IF(F78&gt;0,VLOOKUP(F78,КВР!A$1:B$5001,2),IF(E78&gt;0,VLOOKUP(E78,Направление!A$1:B$4830,2))))))</f>
        <v>Субсидия на реализацию мероприятий по информационному обеспечению муниципальных закупок</v>
      </c>
      <c r="B78" s="158"/>
      <c r="C78" s="153"/>
      <c r="D78" s="155"/>
      <c r="E78" s="153">
        <v>15800</v>
      </c>
      <c r="F78" s="155"/>
      <c r="G78" s="161">
        <v>50000</v>
      </c>
      <c r="H78" s="161">
        <f>H79</f>
        <v>0</v>
      </c>
      <c r="I78" s="161">
        <f t="shared" si="0"/>
        <v>50000</v>
      </c>
    </row>
    <row r="79" spans="1:9" s="150" customFormat="1" ht="63" x14ac:dyDescent="0.25">
      <c r="A79" s="157" t="str">
        <f>IF(B79&gt;0,VLOOKUP(B79,КВСР!A41:B1206,2),IF(C79&gt;0,VLOOKUP(C79,КФСР!A41:B1553,2),IF(D79&gt;0,VLOOKUP(D79,Программа!A$1:B$5100,2),IF(F79&gt;0,VLOOKUP(F79,КВР!A$1:B$5001,2),IF(E79&gt;0,VLOOKUP(E79,Направление!A$1:B$4830,2))))))</f>
        <v xml:space="preserve">Закупка товаров, работ и услуг для обеспечения государственных (муниципальных) нужд
</v>
      </c>
      <c r="B79" s="158"/>
      <c r="C79" s="153"/>
      <c r="D79" s="155"/>
      <c r="E79" s="153"/>
      <c r="F79" s="155">
        <v>200</v>
      </c>
      <c r="G79" s="162">
        <v>50000</v>
      </c>
      <c r="H79" s="162"/>
      <c r="I79" s="161">
        <f t="shared" si="0"/>
        <v>50000</v>
      </c>
    </row>
    <row r="80" spans="1:9" s="150" customFormat="1" ht="63" x14ac:dyDescent="0.25">
      <c r="A80" s="157" t="str">
        <f>IF(B80&gt;0,VLOOKUP(B80,КВСР!A34:B1199,2),IF(C80&gt;0,VLOOKUP(C80,КФСР!A34:B1546,2),IF(D80&gt;0,VLOOKUP(D80,Программа!A$1:B$5100,2),IF(F80&gt;0,VLOOKUP(F80,КВР!A$1:B$5001,2),IF(E80&gt;0,VLOOKUP(E80,Направление!A$1:B$4830,2))))))</f>
        <v>Муниципальная программа "Внедрение и развитие аппаратно-программного комплекса "Безопасный город"</v>
      </c>
      <c r="B80" s="158"/>
      <c r="C80" s="153"/>
      <c r="D80" s="155" t="s">
        <v>3172</v>
      </c>
      <c r="E80" s="153"/>
      <c r="F80" s="155"/>
      <c r="G80" s="611">
        <v>957000</v>
      </c>
      <c r="H80" s="611">
        <f>H81</f>
        <v>0</v>
      </c>
      <c r="I80" s="161">
        <f t="shared" si="0"/>
        <v>957000</v>
      </c>
    </row>
    <row r="81" spans="1:9" s="150" customFormat="1" ht="31.5" x14ac:dyDescent="0.25">
      <c r="A81" s="157" t="str">
        <f>IF(B81&gt;0,VLOOKUP(B81,КВСР!A35:B1200,2),IF(C81&gt;0,VLOOKUP(C81,КФСР!A35:B1547,2),IF(D81&gt;0,VLOOKUP(D81,Программа!A$1:B$5100,2),IF(F81&gt;0,VLOOKUP(F81,КВР!A$1:B$5001,2),IF(E81&gt;0,VLOOKUP(E81,Направление!A$1:B$4830,2))))))</f>
        <v>Мероприятия по обеспечению безопасности жителей района</v>
      </c>
      <c r="B81" s="158"/>
      <c r="C81" s="153"/>
      <c r="D81" s="155" t="s">
        <v>3174</v>
      </c>
      <c r="E81" s="153"/>
      <c r="F81" s="155"/>
      <c r="G81" s="611">
        <v>957000</v>
      </c>
      <c r="H81" s="491">
        <f>H82</f>
        <v>0</v>
      </c>
      <c r="I81" s="161">
        <f t="shared" ref="I81:I151" si="1">SUM(G81:H81)</f>
        <v>957000</v>
      </c>
    </row>
    <row r="82" spans="1:9" s="150" customFormat="1" ht="31.5" x14ac:dyDescent="0.25">
      <c r="A82" s="157" t="str">
        <f>IF(B82&gt;0,VLOOKUP(B82,КВСР!A36:B1201,2),IF(C82&gt;0,VLOOKUP(C82,КФСР!A36:B1548,2),IF(D82&gt;0,VLOOKUP(D82,Программа!A$1:B$5100,2),IF(F82&gt;0,VLOOKUP(F82,КВР!A$1:B$5001,2),IF(E82&gt;0,VLOOKUP(E82,Направление!A$1:B$4830,2))))))</f>
        <v>Расходы на обеспечение безопасности жителей района</v>
      </c>
      <c r="B82" s="158"/>
      <c r="C82" s="153"/>
      <c r="D82" s="155"/>
      <c r="E82" s="153">
        <v>12270</v>
      </c>
      <c r="F82" s="155"/>
      <c r="G82" s="611">
        <v>957000</v>
      </c>
      <c r="H82" s="491">
        <f>H83</f>
        <v>0</v>
      </c>
      <c r="I82" s="161">
        <f t="shared" si="1"/>
        <v>957000</v>
      </c>
    </row>
    <row r="83" spans="1:9" s="150" customFormat="1" ht="63" x14ac:dyDescent="0.25">
      <c r="A83" s="157" t="str">
        <f>IF(B83&gt;0,VLOOKUP(B83,КВСР!A37:B1202,2),IF(C83&gt;0,VLOOKUP(C83,КФСР!A37:B1549,2),IF(D83&gt;0,VLOOKUP(D83,Программа!A$1:B$5100,2),IF(F83&gt;0,VLOOKUP(F83,КВР!A$1:B$5001,2),IF(E83&gt;0,VLOOKUP(E83,Направление!A$1:B$4830,2))))))</f>
        <v xml:space="preserve">Закупка товаров, работ и услуг для обеспечения государственных (муниципальных) нужд
</v>
      </c>
      <c r="B83" s="158"/>
      <c r="C83" s="153"/>
      <c r="D83" s="155"/>
      <c r="E83" s="153"/>
      <c r="F83" s="155">
        <v>200</v>
      </c>
      <c r="G83" s="521">
        <v>957000</v>
      </c>
      <c r="H83" s="162"/>
      <c r="I83" s="161">
        <f t="shared" si="1"/>
        <v>957000</v>
      </c>
    </row>
    <row r="84" spans="1:9" s="150" customFormat="1" x14ac:dyDescent="0.25">
      <c r="A84" s="157" t="str">
        <f>IF(B84&gt;0,VLOOKUP(B84,КВСР!A26:B1191,2),IF(C84&gt;0,VLOOKUP(C84,КФСР!A26:B1538,2),IF(D84&gt;0,VLOOKUP(D84,Программа!A$1:B$5100,2),IF(F84&gt;0,VLOOKUP(F84,КВР!A$1:B$5001,2),IF(E84&gt;0,VLOOKUP(E84,Направление!A$1:B$4830,2))))))</f>
        <v>Непрограммные расходы бюджета</v>
      </c>
      <c r="B84" s="158"/>
      <c r="C84" s="153"/>
      <c r="D84" s="154" t="s">
        <v>626</v>
      </c>
      <c r="E84" s="153"/>
      <c r="F84" s="155"/>
      <c r="G84" s="611">
        <v>36608291</v>
      </c>
      <c r="H84" s="161">
        <f>H106+H109+H103+H85+H87+H98+H95+H93+H112</f>
        <v>906561.42</v>
      </c>
      <c r="I84" s="161">
        <f t="shared" si="1"/>
        <v>37514852.420000002</v>
      </c>
    </row>
    <row r="85" spans="1:9" s="150" customFormat="1" ht="31.5" x14ac:dyDescent="0.25">
      <c r="A85" s="157" t="str">
        <f>IF(B85&gt;0,VLOOKUP(B85,КВСР!A27:B1192,2),IF(C85&gt;0,VLOOKUP(C85,КФСР!A27:B1539,2),IF(D85&gt;0,VLOOKUP(D85,Программа!A$1:B$5100,2),IF(F85&gt;0,VLOOKUP(F85,КВР!A$1:B$5001,2),IF(E85&gt;0,VLOOKUP(E85,Направление!A$1:B$4830,2))))))</f>
        <v>Выполнение других обязательств органов местного самоуправления</v>
      </c>
      <c r="B85" s="158"/>
      <c r="C85" s="153"/>
      <c r="D85" s="154"/>
      <c r="E85" s="153">
        <v>12080</v>
      </c>
      <c r="F85" s="155"/>
      <c r="G85" s="611">
        <v>423599</v>
      </c>
      <c r="H85" s="161">
        <f>H86</f>
        <v>7212</v>
      </c>
      <c r="I85" s="161">
        <f t="shared" si="1"/>
        <v>430811</v>
      </c>
    </row>
    <row r="86" spans="1:9" s="150" customFormat="1" ht="63" x14ac:dyDescent="0.25">
      <c r="A86" s="157" t="str">
        <f>IF(B86&gt;0,VLOOKUP(B86,КВСР!A28:B1193,2),IF(C86&gt;0,VLOOKUP(C86,КФСР!A28:B1540,2),IF(D86&gt;0,VLOOKUP(D86,Программа!A$1:B$5100,2),IF(F86&gt;0,VLOOKUP(F86,КВР!A$1:B$5001,2),IF(E86&gt;0,VLOOKUP(E86,Направление!A$1:B$4830,2))))))</f>
        <v xml:space="preserve">Закупка товаров, работ и услуг для обеспечения государственных (муниципальных) нужд
</v>
      </c>
      <c r="B86" s="158"/>
      <c r="C86" s="153"/>
      <c r="D86" s="154"/>
      <c r="E86" s="153"/>
      <c r="F86" s="155">
        <v>200</v>
      </c>
      <c r="G86" s="612">
        <v>423599</v>
      </c>
      <c r="H86" s="163">
        <v>7212</v>
      </c>
      <c r="I86" s="161">
        <f t="shared" si="1"/>
        <v>430811</v>
      </c>
    </row>
    <row r="87" spans="1:9" s="150" customFormat="1" ht="47.25" x14ac:dyDescent="0.25">
      <c r="A87" s="157" t="str">
        <f>IF(B87&gt;0,VLOOKUP(B87,КВСР!A29:B1194,2),IF(C87&gt;0,VLOOKUP(C87,КФСР!A29:B1541,2),IF(D87&gt;0,VLOOKUP(D87,Программа!A$1:B$5100,2),IF(F87&gt;0,VLOOKUP(F87,КВР!A$1:B$5001,2),IF(E87&gt;0,VLOOKUP(E87,Направление!A$1:B$4830,2))))))</f>
        <v>Обеспечение деятельности подведомственных учреждений органов местного самоуправления</v>
      </c>
      <c r="B87" s="158"/>
      <c r="C87" s="153"/>
      <c r="D87" s="154"/>
      <c r="E87" s="153">
        <v>12100</v>
      </c>
      <c r="F87" s="155"/>
      <c r="G87" s="611">
        <v>28000360</v>
      </c>
      <c r="H87" s="611">
        <f>H88+H89+H92+H91+H90</f>
        <v>0.41999999999825377</v>
      </c>
      <c r="I87" s="611">
        <f>I88+I89+I92+I91+I90</f>
        <v>28000360.420000002</v>
      </c>
    </row>
    <row r="88" spans="1:9" s="150" customFormat="1" ht="126" x14ac:dyDescent="0.25">
      <c r="A88" s="157" t="str">
        <f>IF(B88&gt;0,VLOOKUP(B88,КВСР!A28:B1193,2),IF(C88&gt;0,VLOOKUP(C88,КФСР!A28:B1540,2),IF(D88&gt;0,VLOOKUP(D88,Программа!A$1:B$5100,2),IF(F88&gt;0,VLOOKUP(F88,КВР!A$1:B$5001,2),IF(E88&gt;0,VLOOKUP(E88,Направление!A$1:B$4830,2))))))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8" s="158"/>
      <c r="C88" s="153"/>
      <c r="D88" s="154"/>
      <c r="E88" s="153"/>
      <c r="F88" s="155">
        <v>100</v>
      </c>
      <c r="G88" s="613">
        <v>10406718</v>
      </c>
      <c r="H88" s="164">
        <f>25168.42</f>
        <v>25168.42</v>
      </c>
      <c r="I88" s="161">
        <f t="shared" si="1"/>
        <v>10431886.42</v>
      </c>
    </row>
    <row r="89" spans="1:9" s="150" customFormat="1" ht="63" x14ac:dyDescent="0.25">
      <c r="A89" s="157" t="str">
        <f>IF(B89&gt;0,VLOOKUP(B89,КВСР!A29:B1194,2),IF(C89&gt;0,VLOOKUP(C89,КФСР!A29:B1541,2),IF(D89&gt;0,VLOOKUP(D89,Программа!A$1:B$5100,2),IF(F89&gt;0,VLOOKUP(F89,КВР!A$1:B$5001,2),IF(E89&gt;0,VLOOKUP(E89,Направление!A$1:B$4830,2))))))</f>
        <v xml:space="preserve">Закупка товаров, работ и услуг для обеспечения государственных (муниципальных) нужд
</v>
      </c>
      <c r="B89" s="158"/>
      <c r="C89" s="153"/>
      <c r="D89" s="154"/>
      <c r="E89" s="153"/>
      <c r="F89" s="155">
        <v>200</v>
      </c>
      <c r="G89" s="613">
        <v>3150688</v>
      </c>
      <c r="H89" s="164"/>
      <c r="I89" s="161">
        <f t="shared" si="1"/>
        <v>3150688</v>
      </c>
    </row>
    <row r="90" spans="1:9" s="150" customFormat="1" ht="31.5" x14ac:dyDescent="0.25">
      <c r="A90" s="157" t="str">
        <f>IF(B90&gt;0,VLOOKUP(B90,КВСР!A30:B1195,2),IF(C90&gt;0,VLOOKUP(C90,КФСР!A30:B1542,2),IF(D90&gt;0,VLOOKUP(D90,Программа!A$1:B$5100,2),IF(F90&gt;0,VLOOKUP(F90,КВР!A$1:B$5001,2),IF(E90&gt;0,VLOOKUP(E90,Направление!A$1:B$4830,2))))))</f>
        <v>Социальное обеспечение и иные выплаты населению</v>
      </c>
      <c r="B90" s="158"/>
      <c r="C90" s="153"/>
      <c r="D90" s="154"/>
      <c r="E90" s="153"/>
      <c r="F90" s="155">
        <v>300</v>
      </c>
      <c r="G90" s="613">
        <v>114699</v>
      </c>
      <c r="H90" s="164"/>
      <c r="I90" s="161">
        <f t="shared" si="1"/>
        <v>114699</v>
      </c>
    </row>
    <row r="91" spans="1:9" s="150" customFormat="1" ht="63" x14ac:dyDescent="0.25">
      <c r="A91" s="157" t="str">
        <f>IF(B91&gt;0,VLOOKUP(B91,КВСР!A30:B1195,2),IF(C91&gt;0,VLOOKUP(C91,КФСР!A30:B1542,2),IF(D91&gt;0,VLOOKUP(D91,Программа!A$1:B$5100,2),IF(F91&gt;0,VLOOKUP(F91,КВР!A$1:B$5001,2),IF(E91&gt;0,VLOOKUP(E91,Направление!A$1:B$4830,2))))))</f>
        <v>Предоставление субсидий бюджетным, автономным учреждениям и иным некоммерческим организациям</v>
      </c>
      <c r="B91" s="158"/>
      <c r="C91" s="153"/>
      <c r="D91" s="154"/>
      <c r="E91" s="153"/>
      <c r="F91" s="155">
        <v>600</v>
      </c>
      <c r="G91" s="613">
        <v>14257255</v>
      </c>
      <c r="H91" s="164"/>
      <c r="I91" s="161">
        <f t="shared" si="1"/>
        <v>14257255</v>
      </c>
    </row>
    <row r="92" spans="1:9" s="150" customFormat="1" x14ac:dyDescent="0.25">
      <c r="A92" s="157" t="str">
        <f>IF(B92&gt;0,VLOOKUP(B92,КВСР!A30:B1195,2),IF(C92&gt;0,VLOOKUP(C92,КФСР!A30:B1542,2),IF(D92&gt;0,VLOOKUP(D92,Программа!A$1:B$5100,2),IF(F92&gt;0,VLOOKUP(F92,КВР!A$1:B$5001,2),IF(E92&gt;0,VLOOKUP(E92,Направление!A$1:B$4830,2))))))</f>
        <v>Иные бюджетные ассигнования</v>
      </c>
      <c r="B92" s="158"/>
      <c r="C92" s="153"/>
      <c r="D92" s="154"/>
      <c r="E92" s="153"/>
      <c r="F92" s="155">
        <v>800</v>
      </c>
      <c r="G92" s="613">
        <v>71000</v>
      </c>
      <c r="H92" s="164">
        <f>-3720-25260+3812</f>
        <v>-25168</v>
      </c>
      <c r="I92" s="161">
        <f t="shared" si="1"/>
        <v>45832</v>
      </c>
    </row>
    <row r="93" spans="1:9" s="150" customFormat="1" ht="31.5" hidden="1" x14ac:dyDescent="0.25">
      <c r="A93" s="157" t="str">
        <f>IF(B93&gt;0,VLOOKUP(B93,КВСР!A31:B1196,2),IF(C93&gt;0,VLOOKUP(C93,КФСР!A31:B1543,2),IF(D93&gt;0,VLOOKUP(D93,Программа!A$1:B$5100,2),IF(F93&gt;0,VLOOKUP(F93,КВР!A$1:B$5001,2),IF(E93&gt;0,VLOOKUP(E93,Направление!A$1:B$4830,2))))))</f>
        <v>Выполнение других обязательств органов местного самоуправления</v>
      </c>
      <c r="B93" s="158"/>
      <c r="C93" s="153"/>
      <c r="D93" s="154"/>
      <c r="E93" s="153">
        <v>12080</v>
      </c>
      <c r="F93" s="155"/>
      <c r="G93" s="613">
        <v>0</v>
      </c>
      <c r="H93" s="613">
        <f>H94</f>
        <v>0</v>
      </c>
      <c r="I93" s="161">
        <f t="shared" si="1"/>
        <v>0</v>
      </c>
    </row>
    <row r="94" spans="1:9" s="150" customFormat="1" ht="63" hidden="1" x14ac:dyDescent="0.25">
      <c r="A94" s="157" t="str">
        <f>IF(B94&gt;0,VLOOKUP(B94,КВСР!A32:B1197,2),IF(C94&gt;0,VLOOKUP(C94,КФСР!A32:B1544,2),IF(D94&gt;0,VLOOKUP(D94,Программа!A$1:B$5100,2),IF(F94&gt;0,VLOOKUP(F94,КВР!A$1:B$5001,2),IF(E94&gt;0,VLOOKUP(E94,Направление!A$1:B$4830,2))))))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8"/>
      <c r="C94" s="153"/>
      <c r="D94" s="154"/>
      <c r="E94" s="153"/>
      <c r="F94" s="155">
        <v>200</v>
      </c>
      <c r="G94" s="613">
        <v>0</v>
      </c>
      <c r="H94" s="164"/>
      <c r="I94" s="161">
        <f t="shared" si="1"/>
        <v>0</v>
      </c>
    </row>
    <row r="95" spans="1:9" s="150" customFormat="1" ht="47.25" x14ac:dyDescent="0.25">
      <c r="A95" s="157" t="str">
        <f>IF(B95&gt;0,VLOOKUP(B95,КВСР!A31:B1196,2),IF(C95&gt;0,VLOOKUP(C95,КФСР!A31:B1543,2),IF(D95&gt;0,VLOOKUP(D95,Программа!A$1:B$5100,2),IF(F95&gt;0,VLOOKUP(F95,КВР!A$1:B$5001,2),IF(E95&gt;0,VLOOKUP(E95,Направление!A$1:B$4830,2))))))</f>
        <v>Исполнение судебных актов, актов других органов и должностных лиц, иных документов</v>
      </c>
      <c r="B95" s="158"/>
      <c r="C95" s="153"/>
      <c r="D95" s="154"/>
      <c r="E95" s="153">
        <v>12130</v>
      </c>
      <c r="F95" s="155"/>
      <c r="G95" s="613">
        <v>1998269</v>
      </c>
      <c r="H95" s="613">
        <f>H97+H96</f>
        <v>104750</v>
      </c>
      <c r="I95" s="161">
        <f t="shared" si="1"/>
        <v>2103019</v>
      </c>
    </row>
    <row r="96" spans="1:9" s="150" customFormat="1" ht="63" x14ac:dyDescent="0.25">
      <c r="A96" s="157" t="str">
        <f>IF(B96&gt;0,VLOOKUP(B96,КВСР!A32:B1197,2),IF(C96&gt;0,VLOOKUP(C96,КФСР!A32:B1544,2),IF(D96&gt;0,VLOOKUP(D96,Программа!A$1:B$5100,2),IF(F96&gt;0,VLOOKUP(F96,КВР!A$1:B$5001,2),IF(E96&gt;0,VLOOKUP(E96,Направление!A$1:B$4830,2))))))</f>
        <v>Предоставление субсидий бюджетным, автономным учреждениям и иным некоммерческим организациям</v>
      </c>
      <c r="B96" s="158"/>
      <c r="C96" s="153"/>
      <c r="D96" s="154"/>
      <c r="E96" s="153"/>
      <c r="F96" s="155">
        <v>600</v>
      </c>
      <c r="G96" s="613">
        <v>236760</v>
      </c>
      <c r="H96" s="613"/>
      <c r="I96" s="161">
        <f>G96+H96</f>
        <v>236760</v>
      </c>
    </row>
    <row r="97" spans="1:9" s="150" customFormat="1" x14ac:dyDescent="0.25">
      <c r="A97" s="157" t="str">
        <f>IF(B97&gt;0,VLOOKUP(B97,КВСР!A32:B1197,2),IF(C97&gt;0,VLOOKUP(C97,КФСР!A32:B1544,2),IF(D97&gt;0,VLOOKUP(D97,Программа!A$1:B$5100,2),IF(F97&gt;0,VLOOKUP(F97,КВР!A$1:B$5001,2),IF(E97&gt;0,VLOOKUP(E97,Направление!A$1:B$4830,2))))))</f>
        <v>Иные бюджетные ассигнования</v>
      </c>
      <c r="B97" s="158"/>
      <c r="C97" s="153"/>
      <c r="D97" s="154"/>
      <c r="E97" s="153"/>
      <c r="F97" s="155">
        <v>800</v>
      </c>
      <c r="G97" s="613">
        <v>1761509</v>
      </c>
      <c r="H97" s="164">
        <f>104749+1</f>
        <v>104750</v>
      </c>
      <c r="I97" s="161">
        <f t="shared" si="1"/>
        <v>1866259</v>
      </c>
    </row>
    <row r="98" spans="1:9" s="150" customFormat="1" ht="31.5" x14ac:dyDescent="0.25">
      <c r="A98" s="157" t="str">
        <f>IF(B98&gt;0,VLOOKUP(B98,КВСР!A30:B1195,2),IF(C98&gt;0,VLOOKUP(C98,КФСР!A30:B1542,2),IF(D98&gt;0,VLOOKUP(D98,Программа!A$1:B$5100,2),IF(F98&gt;0,VLOOKUP(F98,КВР!A$1:B$5001,2),IF(E98&gt;0,VLOOKUP(E98,Направление!A$1:B$4830,2))))))</f>
        <v>Представительские расходы орагнов местного самоуправления</v>
      </c>
      <c r="B98" s="158"/>
      <c r="C98" s="153"/>
      <c r="D98" s="154"/>
      <c r="E98" s="153">
        <v>12600</v>
      </c>
      <c r="F98" s="155"/>
      <c r="G98" s="165">
        <v>420000</v>
      </c>
      <c r="H98" s="165">
        <f>H99+H100</f>
        <v>-118365</v>
      </c>
      <c r="I98" s="161">
        <f t="shared" si="1"/>
        <v>301635</v>
      </c>
    </row>
    <row r="99" spans="1:9" s="150" customFormat="1" ht="126" hidden="1" x14ac:dyDescent="0.25">
      <c r="A99" s="157" t="str">
        <f>IF(B99&gt;0,VLOOKUP(B99,КВСР!A31:B1196,2),IF(C99&gt;0,VLOOKUP(C99,КФСР!A31:B1543,2),IF(D99&gt;0,VLOOKUP(D99,Программа!A$1:B$5100,2),IF(F99&gt;0,VLOOKUP(F99,КВР!A$1:B$5001,2),IF(E99&gt;0,VLOOKUP(E99,Направление!A$1:B$4830,2))))))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9" s="158"/>
      <c r="C99" s="153"/>
      <c r="D99" s="154"/>
      <c r="E99" s="153"/>
      <c r="F99" s="155">
        <v>100</v>
      </c>
      <c r="G99" s="614">
        <v>0</v>
      </c>
      <c r="H99" s="166"/>
      <c r="I99" s="161">
        <f t="shared" si="1"/>
        <v>0</v>
      </c>
    </row>
    <row r="100" spans="1:9" s="150" customFormat="1" ht="63" x14ac:dyDescent="0.25">
      <c r="A100" s="157" t="str">
        <f>IF(B100&gt;0,VLOOKUP(B100,КВСР!A32:B1197,2),IF(C100&gt;0,VLOOKUP(C100,КФСР!A32:B1544,2),IF(D100&gt;0,VLOOKUP(D100,Программа!A$1:B$5100,2),IF(F100&gt;0,VLOOKUP(F100,КВР!A$1:B$5001,2),IF(E100&gt;0,VLOOKUP(E100,Направление!A$1:B$4830,2))))))</f>
        <v xml:space="preserve">Закупка товаров, работ и услуг для обеспечения государственных (муниципальных) нужд
</v>
      </c>
      <c r="B100" s="158"/>
      <c r="C100" s="153"/>
      <c r="D100" s="154"/>
      <c r="E100" s="153"/>
      <c r="F100" s="155">
        <v>200</v>
      </c>
      <c r="G100" s="613">
        <v>420000</v>
      </c>
      <c r="H100" s="164">
        <v>-118365</v>
      </c>
      <c r="I100" s="161">
        <f t="shared" si="1"/>
        <v>301635</v>
      </c>
    </row>
    <row r="101" spans="1:9" s="150" customFormat="1" ht="94.5" hidden="1" x14ac:dyDescent="0.25">
      <c r="A101" s="157" t="str">
        <f>IF(B101&gt;0,VLOOKUP(B101,КВСР!A33:B1198,2),IF(C101&gt;0,VLOOKUP(C101,КФСР!A33:B1545,2),IF(D101&gt;0,VLOOKUP(D101,Программа!A$1:B$5100,2),IF(F101&gt;0,VLOOKUP(F101,КВР!A$1:B$5001,2),IF(E101&gt;0,VLOOKUP(E101,Направление!A$1:B$4830,2))))))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101" s="158"/>
      <c r="C101" s="153"/>
      <c r="D101" s="154"/>
      <c r="E101" s="153">
        <v>51200</v>
      </c>
      <c r="F101" s="155"/>
      <c r="G101" s="613">
        <v>0</v>
      </c>
      <c r="H101" s="613">
        <f>H102</f>
        <v>0</v>
      </c>
      <c r="I101" s="161">
        <f t="shared" si="1"/>
        <v>0</v>
      </c>
    </row>
    <row r="102" spans="1:9" s="150" customFormat="1" ht="63" hidden="1" x14ac:dyDescent="0.25">
      <c r="A102" s="157" t="str">
        <f>IF(B102&gt;0,VLOOKUP(B102,КВСР!A34:B1199,2),IF(C102&gt;0,VLOOKUP(C102,КФСР!A34:B1546,2),IF(D102&gt;0,VLOOKUP(D102,Программа!A$1:B$5100,2),IF(F102&gt;0,VLOOKUP(F102,КВР!A$1:B$5001,2),IF(E102&gt;0,VLOOKUP(E102,Направление!A$1:B$4830,2))))))</f>
        <v xml:space="preserve">Закупка товаров, работ и услуг для обеспечения государственных (муниципальных) нужд
</v>
      </c>
      <c r="B102" s="158"/>
      <c r="C102" s="153"/>
      <c r="D102" s="154"/>
      <c r="E102" s="153"/>
      <c r="F102" s="155">
        <v>200</v>
      </c>
      <c r="G102" s="613">
        <v>0</v>
      </c>
      <c r="H102" s="164"/>
      <c r="I102" s="161">
        <f t="shared" si="1"/>
        <v>0</v>
      </c>
    </row>
    <row r="103" spans="1:9" s="150" customFormat="1" ht="63" x14ac:dyDescent="0.25">
      <c r="A103" s="157" t="str">
        <f>IF(B103&gt;0,VLOOKUP(B103,КВСР!A30:B1195,2),IF(C103&gt;0,VLOOKUP(C103,КФСР!A30:B1542,2),IF(D103&gt;0,VLOOKUP(D103,Программа!A$1:B$5100,2),IF(F103&gt;0,VLOOKUP(F103,КВР!A$1:B$5001,2),IF(E103&gt;0,VLOOKUP(E103,Направление!A$1:B$4830,2))))))</f>
        <v>Расходы на осуществление полномочий на государственную регистрацию актов гражданского состояния</v>
      </c>
      <c r="B103" s="158"/>
      <c r="C103" s="153"/>
      <c r="D103" s="154"/>
      <c r="E103" s="153">
        <v>59300</v>
      </c>
      <c r="F103" s="155"/>
      <c r="G103" s="611">
        <v>3240837</v>
      </c>
      <c r="H103" s="161">
        <f>H104+H105</f>
        <v>889064</v>
      </c>
      <c r="I103" s="161">
        <f t="shared" si="1"/>
        <v>4129901</v>
      </c>
    </row>
    <row r="104" spans="1:9" s="150" customFormat="1" ht="126" x14ac:dyDescent="0.25">
      <c r="A104" s="157" t="str">
        <f>IF(B104&gt;0,VLOOKUP(B104,КВСР!A30:B1195,2),IF(C104&gt;0,VLOOKUP(C104,КФСР!A30:B1542,2),IF(D104&gt;0,VLOOKUP(D104,Программа!A$1:B$5100,2),IF(F104&gt;0,VLOOKUP(F104,КВР!A$1:B$5001,2),IF(E104&gt;0,VLOOKUP(E104,Направление!A$1:B$4830,2))))))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8"/>
      <c r="C104" s="153"/>
      <c r="D104" s="155"/>
      <c r="E104" s="153"/>
      <c r="F104" s="155">
        <v>100</v>
      </c>
      <c r="G104" s="615">
        <v>2100722</v>
      </c>
      <c r="H104" s="167">
        <v>275789</v>
      </c>
      <c r="I104" s="161">
        <f t="shared" si="1"/>
        <v>2376511</v>
      </c>
    </row>
    <row r="105" spans="1:9" s="150" customFormat="1" ht="63" x14ac:dyDescent="0.25">
      <c r="A105" s="157" t="str">
        <f>IF(B105&gt;0,VLOOKUP(B105,КВСР!A31:B1196,2),IF(C105&gt;0,VLOOKUP(C105,КФСР!A31:B1543,2),IF(D105&gt;0,VLOOKUP(D105,Программа!A$1:B$5100,2),IF(F105&gt;0,VLOOKUP(F105,КВР!A$1:B$5001,2),IF(E105&gt;0,VLOOKUP(E105,Направление!A$1:B$4830,2))))))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8"/>
      <c r="C105" s="153"/>
      <c r="D105" s="155"/>
      <c r="E105" s="153"/>
      <c r="F105" s="155">
        <v>200</v>
      </c>
      <c r="G105" s="615">
        <v>1140115</v>
      </c>
      <c r="H105" s="167">
        <v>613275</v>
      </c>
      <c r="I105" s="161">
        <f t="shared" si="1"/>
        <v>1753390</v>
      </c>
    </row>
    <row r="106" spans="1:9" s="150" customFormat="1" ht="78.75" x14ac:dyDescent="0.25">
      <c r="A106" s="157" t="str">
        <f>IF(B106&gt;0,VLOOKUP(B106,КВСР!A27:B1192,2),IF(C106&gt;0,VLOOKUP(C106,КФСР!A27:B1539,2),IF(D106&gt;0,VLOOKUP(D106,Программа!A$1:B$5100,2),IF(F106&gt;0,VLOOKUP(F106,КВР!A$1:B$5001,2),IF(E106&gt;0,VLOOKUP(E106,Направление!A$1:B$4830,2))))))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106" s="158"/>
      <c r="C106" s="153"/>
      <c r="D106" s="154"/>
      <c r="E106" s="153">
        <v>80190</v>
      </c>
      <c r="F106" s="155"/>
      <c r="G106" s="611">
        <v>2286641</v>
      </c>
      <c r="H106" s="161">
        <f>H107+H108</f>
        <v>20000</v>
      </c>
      <c r="I106" s="161">
        <f t="shared" si="1"/>
        <v>2306641</v>
      </c>
    </row>
    <row r="107" spans="1:9" s="150" customFormat="1" ht="126" x14ac:dyDescent="0.25">
      <c r="A107" s="157" t="str">
        <f>IF(B107&gt;0,VLOOKUP(B107,КВСР!A28:B1193,2),IF(C107&gt;0,VLOOKUP(C107,КФСР!A28:B1540,2),IF(D107&gt;0,VLOOKUP(D107,Программа!A$1:B$5100,2),IF(F107&gt;0,VLOOKUP(F107,КВР!A$1:B$5001,2),IF(E107&gt;0,VLOOKUP(E107,Направление!A$1:B$4830,2))))))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 s="158"/>
      <c r="C107" s="153"/>
      <c r="D107" s="155"/>
      <c r="E107" s="153"/>
      <c r="F107" s="155">
        <v>100</v>
      </c>
      <c r="G107" s="502">
        <v>2131345</v>
      </c>
      <c r="H107" s="160">
        <f>3371+16859</f>
        <v>20230</v>
      </c>
      <c r="I107" s="161">
        <f t="shared" si="1"/>
        <v>2151575</v>
      </c>
    </row>
    <row r="108" spans="1:9" s="150" customFormat="1" ht="63" x14ac:dyDescent="0.25">
      <c r="A108" s="157" t="str">
        <f>IF(B108&gt;0,VLOOKUP(B108,КВСР!A29:B1194,2),IF(C108&gt;0,VLOOKUP(C108,КФСР!A29:B1541,2),IF(D108&gt;0,VLOOKUP(D108,Программа!A$1:B$5100,2),IF(F108&gt;0,VLOOKUP(F108,КВР!A$1:B$5001,2),IF(E108&gt;0,VLOOKUP(E108,Направление!A$1:B$4830,2))))))</f>
        <v xml:space="preserve">Закупка товаров, работ и услуг для обеспечения государственных (муниципальных) нужд
</v>
      </c>
      <c r="B108" s="158"/>
      <c r="C108" s="153"/>
      <c r="D108" s="155"/>
      <c r="E108" s="153"/>
      <c r="F108" s="155">
        <v>200</v>
      </c>
      <c r="G108" s="502">
        <v>155296</v>
      </c>
      <c r="H108" s="160">
        <v>-230</v>
      </c>
      <c r="I108" s="161">
        <f t="shared" si="1"/>
        <v>155066</v>
      </c>
    </row>
    <row r="109" spans="1:9" s="150" customFormat="1" ht="78.75" x14ac:dyDescent="0.25">
      <c r="A109" s="157" t="str">
        <f>IF(B109&gt;0,VLOOKUP(B109,КВСР!A30:B1195,2),IF(C109&gt;0,VLOOKUP(C109,КФСР!A30:B1542,2),IF(D109&gt;0,VLOOKUP(D109,Программа!A$1:B$5100,2),IF(F109&gt;0,VLOOKUP(F109,КВР!A$1:B$5001,2),IF(E109&gt;0,VLOOKUP(E109,Направление!A$1:B$4830,2))))))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109" s="158"/>
      <c r="C109" s="153"/>
      <c r="D109" s="154"/>
      <c r="E109" s="153">
        <v>80200</v>
      </c>
      <c r="F109" s="155"/>
      <c r="G109" s="504">
        <v>238585</v>
      </c>
      <c r="H109" s="159">
        <f>H110+H111</f>
        <v>3900</v>
      </c>
      <c r="I109" s="161">
        <f t="shared" si="1"/>
        <v>242485</v>
      </c>
    </row>
    <row r="110" spans="1:9" s="150" customFormat="1" ht="126" x14ac:dyDescent="0.25">
      <c r="A110" s="157" t="str">
        <f>IF(B110&gt;0,VLOOKUP(B110,КВСР!A31:B1196,2),IF(C110&gt;0,VLOOKUP(C110,КФСР!A31:B1543,2),IF(D110&gt;0,VLOOKUP(D110,Программа!A$1:B$5100,2),IF(F110&gt;0,VLOOKUP(F110,КВР!A$1:B$5001,2),IF(E110&gt;0,VLOOKUP(E110,Направление!A$1:B$4830,2))))))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0" s="158"/>
      <c r="C110" s="153"/>
      <c r="D110" s="155"/>
      <c r="E110" s="153"/>
      <c r="F110" s="155">
        <v>100</v>
      </c>
      <c r="G110" s="502">
        <v>188790</v>
      </c>
      <c r="H110" s="160">
        <v>22317</v>
      </c>
      <c r="I110" s="161">
        <f t="shared" si="1"/>
        <v>211107</v>
      </c>
    </row>
    <row r="111" spans="1:9" s="150" customFormat="1" ht="63" x14ac:dyDescent="0.25">
      <c r="A111" s="157" t="str">
        <f>IF(B111&gt;0,VLOOKUP(B111,КВСР!A32:B1197,2),IF(C111&gt;0,VLOOKUP(C111,КФСР!A32:B1544,2),IF(D111&gt;0,VLOOKUP(D111,Программа!A$1:B$5100,2),IF(F111&gt;0,VLOOKUP(F111,КВР!A$1:B$5001,2),IF(E111&gt;0,VLOOKUP(E111,Направление!A$1:B$4830,2))))))</f>
        <v xml:space="preserve">Закупка товаров, работ и услуг для обеспечения государственных (муниципальных) нужд
</v>
      </c>
      <c r="B111" s="158"/>
      <c r="C111" s="153"/>
      <c r="D111" s="155"/>
      <c r="E111" s="153"/>
      <c r="F111" s="155">
        <v>200</v>
      </c>
      <c r="G111" s="521">
        <v>49795</v>
      </c>
      <c r="H111" s="162">
        <v>-18417</v>
      </c>
      <c r="I111" s="161">
        <f t="shared" si="1"/>
        <v>31378</v>
      </c>
    </row>
    <row r="112" spans="1:9" s="150" customFormat="1" ht="94.5" hidden="1" x14ac:dyDescent="0.25">
      <c r="A112" s="157" t="str">
        <f>IF(B112&gt;0,VLOOKUP(B112,КВСР!A33:B1198,2),IF(C112&gt;0,VLOOKUP(C112,КФСР!A33:B1545,2),IF(D112&gt;0,VLOOKUP(D112,Программа!A$1:B$5100,2),IF(F112&gt;0,VLOOKUP(F112,КВР!A$1:B$5001,2),IF(E112&gt;0,VLOOKUP(E112,Направление!A$1:B$4830,2))))))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2" s="158"/>
      <c r="C112" s="153"/>
      <c r="D112" s="155"/>
      <c r="E112" s="153">
        <v>75870</v>
      </c>
      <c r="F112" s="155"/>
      <c r="G112" s="521">
        <v>0</v>
      </c>
      <c r="H112" s="521">
        <f>H113</f>
        <v>0</v>
      </c>
      <c r="I112" s="521">
        <f>I113</f>
        <v>0</v>
      </c>
    </row>
    <row r="113" spans="1:9" s="150" customFormat="1" ht="63" hidden="1" x14ac:dyDescent="0.25">
      <c r="A113" s="157" t="str">
        <f>IF(B113&gt;0,VLOOKUP(B113,КВСР!A34:B1199,2),IF(C113&gt;0,VLOOKUP(C113,КФСР!A34:B1546,2),IF(D113&gt;0,VLOOKUP(D113,Программа!A$1:B$5100,2),IF(F113&gt;0,VLOOKUP(F113,КВР!A$1:B$5001,2),IF(E113&gt;0,VLOOKUP(E113,Направление!A$1:B$4830,2))))))</f>
        <v>Предоставление субсидий бюджетным, автономным учреждениям и иным некоммерческим организациям</v>
      </c>
      <c r="B113" s="158"/>
      <c r="C113" s="153"/>
      <c r="D113" s="155"/>
      <c r="E113" s="153"/>
      <c r="F113" s="155">
        <v>600</v>
      </c>
      <c r="G113" s="521">
        <v>0</v>
      </c>
      <c r="H113" s="162"/>
      <c r="I113" s="161">
        <f t="shared" si="1"/>
        <v>0</v>
      </c>
    </row>
    <row r="114" spans="1:9" s="150" customFormat="1" ht="31.5" x14ac:dyDescent="0.25">
      <c r="A114" s="157" t="str">
        <f>IF(B114&gt;0,VLOOKUP(B114,КВСР!A33:B1198,2),IF(C114&gt;0,VLOOKUP(C114,КФСР!A33:B1545,2),IF(D114&gt;0,VLOOKUP(D114,Программа!A$1:B$5100,2),IF(F114&gt;0,VLOOKUP(F114,КВР!A$1:B$5001,2),IF(E114&gt;0,VLOOKUP(E114,Направление!A$1:B$4830,2))))))</f>
        <v>Межбюджетные трансферты  поселениям района</v>
      </c>
      <c r="B114" s="158"/>
      <c r="C114" s="153"/>
      <c r="D114" s="155" t="s">
        <v>801</v>
      </c>
      <c r="E114" s="153"/>
      <c r="F114" s="155"/>
      <c r="G114" s="521">
        <v>17000000</v>
      </c>
      <c r="H114" s="521">
        <f>H115+H117</f>
        <v>-43553</v>
      </c>
      <c r="I114" s="161">
        <f t="shared" si="1"/>
        <v>16956447</v>
      </c>
    </row>
    <row r="115" spans="1:9" s="150" customFormat="1" ht="94.5" x14ac:dyDescent="0.25">
      <c r="A115" s="157" t="str">
        <f>IF(B115&gt;0,VLOOKUP(B115,КВСР!A34:B1199,2),IF(C115&gt;0,VLOOKUP(C115,КФСР!A34:B1546,2),IF(D115&gt;0,VLOOKUP(D115,Программа!A$1:B$5100,2),IF(F115&gt;0,VLOOKUP(F115,КВР!A$1:B$5001,2),IF(E115&gt;0,VLOOKUP(E115,Направление!A$1:B$4830,2))))))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5" s="158"/>
      <c r="C115" s="153"/>
      <c r="D115" s="155"/>
      <c r="E115" s="153">
        <v>75870</v>
      </c>
      <c r="F115" s="155"/>
      <c r="G115" s="521">
        <v>7000000</v>
      </c>
      <c r="H115" s="521">
        <f>H116</f>
        <v>-43553</v>
      </c>
      <c r="I115" s="161">
        <f t="shared" si="1"/>
        <v>6956447</v>
      </c>
    </row>
    <row r="116" spans="1:9" s="150" customFormat="1" x14ac:dyDescent="0.25">
      <c r="A116" s="157" t="str">
        <f>IF(B116&gt;0,VLOOKUP(B116,КВСР!A35:B1200,2),IF(C116&gt;0,VLOOKUP(C116,КФСР!A35:B1547,2),IF(D116&gt;0,VLOOKUP(D116,Программа!A$1:B$5100,2),IF(F116&gt;0,VLOOKUP(F116,КВР!A$1:B$5001,2),IF(E116&gt;0,VLOOKUP(E116,Направление!A$1:B$4830,2))))))</f>
        <v xml:space="preserve"> Межбюджетные трансферты</v>
      </c>
      <c r="B116" s="158"/>
      <c r="C116" s="153"/>
      <c r="D116" s="155"/>
      <c r="E116" s="153"/>
      <c r="F116" s="155">
        <v>500</v>
      </c>
      <c r="G116" s="521">
        <v>7000000</v>
      </c>
      <c r="H116" s="162">
        <v>-43553</v>
      </c>
      <c r="I116" s="161">
        <f t="shared" si="1"/>
        <v>6956447</v>
      </c>
    </row>
    <row r="117" spans="1:9" s="150" customFormat="1" ht="47.25" x14ac:dyDescent="0.25">
      <c r="A117" s="157" t="str">
        <f>IF(B117&gt;0,VLOOKUP(B117,КВСР!A36:B1201,2),IF(C117&gt;0,VLOOKUP(C117,КФСР!A36:B1548,2),IF(D117&gt;0,VLOOKUP(D117,Программа!A$1:B$5100,2),IF(F117&gt;0,VLOOKUP(F117,КВР!A$1:B$5001,2),IF(E117&gt;0,VLOOKUP(E117,Направление!A$1:B$4830,2))))))</f>
        <v>Расходы на реализацию мероприятий инициативного бюджетирования на территории Ярославской области</v>
      </c>
      <c r="B117" s="158"/>
      <c r="C117" s="153"/>
      <c r="D117" s="155"/>
      <c r="E117" s="153">
        <v>75350</v>
      </c>
      <c r="F117" s="155"/>
      <c r="G117" s="521">
        <v>10000000</v>
      </c>
      <c r="H117" s="521">
        <f>H118</f>
        <v>0</v>
      </c>
      <c r="I117" s="161">
        <f t="shared" si="1"/>
        <v>10000000</v>
      </c>
    </row>
    <row r="118" spans="1:9" s="150" customFormat="1" x14ac:dyDescent="0.25">
      <c r="A118" s="157" t="str">
        <f>IF(B118&gt;0,VLOOKUP(B118,КВСР!A37:B1202,2),IF(C118&gt;0,VLOOKUP(C118,КФСР!A37:B1549,2),IF(D118&gt;0,VLOOKUP(D118,Программа!A$1:B$5100,2),IF(F118&gt;0,VLOOKUP(F118,КВР!A$1:B$5001,2),IF(E118&gt;0,VLOOKUP(E118,Направление!A$1:B$4830,2))))))</f>
        <v xml:space="preserve"> Межбюджетные трансферты</v>
      </c>
      <c r="B118" s="158"/>
      <c r="C118" s="153"/>
      <c r="D118" s="155"/>
      <c r="E118" s="153"/>
      <c r="F118" s="155">
        <v>500</v>
      </c>
      <c r="G118" s="521">
        <v>10000000</v>
      </c>
      <c r="H118" s="162"/>
      <c r="I118" s="161">
        <f t="shared" si="1"/>
        <v>10000000</v>
      </c>
    </row>
    <row r="119" spans="1:9" s="150" customFormat="1" ht="63" x14ac:dyDescent="0.25">
      <c r="A119" s="157" t="str">
        <f>IF(B119&gt;0,VLOOKUP(B119,КВСР!A33:B1198,2),IF(C119&gt;0,VLOOKUP(C119,КФСР!A33:B1545,2),IF(D119&gt;0,VLOOKUP(D119,Программа!A$1:B$5100,2),IF(F119&gt;0,VLOOKUP(F119,КВР!A$1:B$5001,2),IF(E119&gt;0,VLOOKUP(E119,Направление!A$1:B$4830,2))))))</f>
        <v>Защита населения и территории от последствий чрезвычайных ситуаций природного и техногенного характера, гражданская оборона</v>
      </c>
      <c r="B119" s="158"/>
      <c r="C119" s="153">
        <v>309</v>
      </c>
      <c r="D119" s="155"/>
      <c r="E119" s="153"/>
      <c r="F119" s="155"/>
      <c r="G119" s="521">
        <v>2109000</v>
      </c>
      <c r="H119" s="521">
        <f>H120+H126</f>
        <v>12384</v>
      </c>
      <c r="I119" s="161">
        <f t="shared" si="1"/>
        <v>2121384</v>
      </c>
    </row>
    <row r="120" spans="1:9" s="150" customFormat="1" x14ac:dyDescent="0.25">
      <c r="A120" s="157" t="str">
        <f>IF(B120&gt;0,VLOOKUP(B120,КВСР!A34:B1199,2),IF(C120&gt;0,VLOOKUP(C120,КФСР!A34:B1546,2),IF(D120&gt;0,VLOOKUP(D120,Программа!A$1:B$5100,2),IF(F120&gt;0,VLOOKUP(F120,КВР!A$1:B$5001,2),IF(E120&gt;0,VLOOKUP(E120,Направление!A$1:B$4830,2))))))</f>
        <v>Непрограммные расходы бюджета</v>
      </c>
      <c r="B120" s="158"/>
      <c r="C120" s="153"/>
      <c r="D120" s="155" t="s">
        <v>626</v>
      </c>
      <c r="E120" s="153"/>
      <c r="F120" s="155"/>
      <c r="G120" s="521">
        <v>2050000</v>
      </c>
      <c r="H120" s="521">
        <f>H123+H121</f>
        <v>12384</v>
      </c>
      <c r="I120" s="161">
        <f t="shared" si="1"/>
        <v>2062384</v>
      </c>
    </row>
    <row r="121" spans="1:9" s="150" customFormat="1" ht="63" x14ac:dyDescent="0.25">
      <c r="A121" s="157" t="str">
        <f>IF(B121&gt;0,VLOOKUP(B121,КВСР!A35:B1200,2),IF(C121&gt;0,VLOOKUP(C121,КФСР!A35:B1547,2),IF(D121&gt;0,VLOOKUP(D121,Программа!A$1:B$5100,2),IF(F121&gt;0,VLOOKUP(F121,КВР!A$1:B$5001,2),IF(E121&gt;0,VLOOKUP(E121,Направление!A$1:B$4830,2))))))</f>
        <v>Обеспечение мероприятий по  предупреждению и ликвидации последствий чрезвычайных ситуаций в границах поселения</v>
      </c>
      <c r="B121" s="158"/>
      <c r="C121" s="153"/>
      <c r="D121" s="155"/>
      <c r="E121" s="153">
        <v>29186</v>
      </c>
      <c r="F121" s="155"/>
      <c r="G121" s="521">
        <v>50000</v>
      </c>
      <c r="H121" s="521">
        <f>H122</f>
        <v>12384</v>
      </c>
      <c r="I121" s="161">
        <f t="shared" si="1"/>
        <v>62384</v>
      </c>
    </row>
    <row r="122" spans="1:9" s="150" customFormat="1" ht="63" x14ac:dyDescent="0.25">
      <c r="A122" s="157" t="str">
        <f>IF(B122&gt;0,VLOOKUP(B122,КВСР!A36:B1201,2),IF(C122&gt;0,VLOOKUP(C122,КФСР!A36:B1548,2),IF(D122&gt;0,VLOOKUP(D122,Программа!A$1:B$5100,2),IF(F122&gt;0,VLOOKUP(F122,КВР!A$1:B$5001,2),IF(E122&gt;0,VLOOKUP(E122,Направление!A$1:B$4830,2))))))</f>
        <v xml:space="preserve">Закупка товаров, работ и услуг для обеспечения государственных (муниципальных) нужд
</v>
      </c>
      <c r="B122" s="158"/>
      <c r="C122" s="153"/>
      <c r="D122" s="155"/>
      <c r="E122" s="153"/>
      <c r="F122" s="155">
        <v>200</v>
      </c>
      <c r="G122" s="521">
        <v>50000</v>
      </c>
      <c r="H122" s="521">
        <v>12384</v>
      </c>
      <c r="I122" s="161">
        <f t="shared" si="1"/>
        <v>62384</v>
      </c>
    </row>
    <row r="123" spans="1:9" s="150" customFormat="1" ht="47.25" x14ac:dyDescent="0.25">
      <c r="A123" s="157" t="str">
        <f>IF(B123&gt;0,VLOOKUP(B123,КВСР!A35:B1200,2),IF(C123&gt;0,VLOOKUP(C123,КФСР!A35:B1547,2),IF(D123&gt;0,VLOOKUP(D123,Программа!A$1:B$5100,2),IF(F123&gt;0,VLOOKUP(F123,КВР!A$1:B$5001,2),IF(E123&gt;0,VLOOKUP(E123,Направление!A$1:B$4830,2))))))</f>
        <v>Содержание и организация деятельности аварийно-спасательных служб</v>
      </c>
      <c r="B123" s="158"/>
      <c r="C123" s="153"/>
      <c r="D123" s="155"/>
      <c r="E123" s="153">
        <v>29566</v>
      </c>
      <c r="F123" s="155"/>
      <c r="G123" s="521">
        <v>2000000</v>
      </c>
      <c r="H123" s="521">
        <f>H124+H125</f>
        <v>0</v>
      </c>
      <c r="I123" s="161">
        <f t="shared" si="1"/>
        <v>2000000</v>
      </c>
    </row>
    <row r="124" spans="1:9" s="150" customFormat="1" ht="126" x14ac:dyDescent="0.25">
      <c r="A124" s="157" t="str">
        <f>IF(B124&gt;0,VLOOKUP(B124,КВСР!A36:B1201,2),IF(C124&gt;0,VLOOKUP(C124,КФСР!A36:B1548,2),IF(D124&gt;0,VLOOKUP(D124,Программа!A$1:B$5100,2),IF(F124&gt;0,VLOOKUP(F124,КВР!A$1:B$5001,2),IF(E124&gt;0,VLOOKUP(E124,Направление!A$1:B$4830,2))))))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4" s="158"/>
      <c r="C124" s="153"/>
      <c r="D124" s="155"/>
      <c r="E124" s="153"/>
      <c r="F124" s="155">
        <v>100</v>
      </c>
      <c r="G124" s="162">
        <v>1531602</v>
      </c>
      <c r="H124" s="162">
        <f>-16611-15835</f>
        <v>-32446</v>
      </c>
      <c r="I124" s="161">
        <f t="shared" si="1"/>
        <v>1499156</v>
      </c>
    </row>
    <row r="125" spans="1:9" s="150" customFormat="1" ht="63" x14ac:dyDescent="0.25">
      <c r="A125" s="157" t="str">
        <f>IF(B125&gt;0,VLOOKUP(B125,КВСР!A37:B1202,2),IF(C125&gt;0,VLOOKUP(C125,КФСР!A37:B1549,2),IF(D125&gt;0,VLOOKUP(D125,Программа!A$1:B$5100,2),IF(F125&gt;0,VLOOKUP(F125,КВР!A$1:B$5001,2),IF(E125&gt;0,VLOOKUP(E125,Направление!A$1:B$4830,2))))))</f>
        <v xml:space="preserve">Закупка товаров, работ и услуг для обеспечения государственных (муниципальных) нужд
</v>
      </c>
      <c r="B125" s="158"/>
      <c r="C125" s="153"/>
      <c r="D125" s="155"/>
      <c r="E125" s="153"/>
      <c r="F125" s="155">
        <v>200</v>
      </c>
      <c r="G125" s="162">
        <v>468398</v>
      </c>
      <c r="H125" s="162">
        <v>32446</v>
      </c>
      <c r="I125" s="161">
        <f t="shared" si="1"/>
        <v>500844</v>
      </c>
    </row>
    <row r="126" spans="1:9" s="150" customFormat="1" ht="31.5" x14ac:dyDescent="0.25">
      <c r="A126" s="157" t="str">
        <f>IF(B126&gt;0,VLOOKUP(B126,КВСР!A38:B1203,2),IF(C126&gt;0,VLOOKUP(C126,КФСР!A38:B1550,2),IF(D126&gt;0,VLOOKUP(D126,Программа!A$1:B$5100,2),IF(F126&gt;0,VLOOKUP(F126,КВР!A$1:B$5001,2),IF(E126&gt;0,VLOOKUP(E126,Направление!A$1:B$4830,2))))))</f>
        <v>Межбюджетные трансферты  поселениям района</v>
      </c>
      <c r="B126" s="158"/>
      <c r="C126" s="153"/>
      <c r="D126" s="155" t="s">
        <v>801</v>
      </c>
      <c r="E126" s="153"/>
      <c r="F126" s="155"/>
      <c r="G126" s="491">
        <v>59000</v>
      </c>
      <c r="H126" s="491">
        <f>H127</f>
        <v>0</v>
      </c>
      <c r="I126" s="161">
        <f t="shared" si="1"/>
        <v>59000</v>
      </c>
    </row>
    <row r="127" spans="1:9" s="150" customFormat="1" ht="47.25" x14ac:dyDescent="0.25">
      <c r="A127" s="157" t="str">
        <f>IF(B127&gt;0,VLOOKUP(B127,КВСР!A39:B1204,2),IF(C127&gt;0,VLOOKUP(C127,КФСР!A39:B1551,2),IF(D127&gt;0,VLOOKUP(D127,Программа!A$1:B$5100,2),IF(F127&gt;0,VLOOKUP(F127,КВР!A$1:B$5001,2),IF(E127&gt;0,VLOOKUP(E127,Направление!A$1:B$4830,2))))))</f>
        <v>Субсидия на реализацию мероприятий по обеспечению безопасности граждан на водных объектах</v>
      </c>
      <c r="B127" s="158"/>
      <c r="C127" s="153"/>
      <c r="D127" s="155"/>
      <c r="E127" s="153">
        <v>71450</v>
      </c>
      <c r="F127" s="155"/>
      <c r="G127" s="491">
        <v>59000</v>
      </c>
      <c r="H127" s="491">
        <f>H128</f>
        <v>0</v>
      </c>
      <c r="I127" s="161">
        <f t="shared" si="1"/>
        <v>59000</v>
      </c>
    </row>
    <row r="128" spans="1:9" s="150" customFormat="1" x14ac:dyDescent="0.25">
      <c r="A128" s="157" t="str">
        <f>IF(B128&gt;0,VLOOKUP(B128,КВСР!A40:B1205,2),IF(C128&gt;0,VLOOKUP(C128,КФСР!A40:B1552,2),IF(D128&gt;0,VLOOKUP(D128,Программа!A$1:B$5100,2),IF(F128&gt;0,VLOOKUP(F128,КВР!A$1:B$5001,2),IF(E128&gt;0,VLOOKUP(E128,Направление!A$1:B$4830,2))))))</f>
        <v xml:space="preserve"> Межбюджетные трансферты</v>
      </c>
      <c r="B128" s="158"/>
      <c r="C128" s="153"/>
      <c r="D128" s="155"/>
      <c r="E128" s="153"/>
      <c r="F128" s="155">
        <v>500</v>
      </c>
      <c r="G128" s="162">
        <v>59000</v>
      </c>
      <c r="H128" s="162"/>
      <c r="I128" s="161">
        <f t="shared" si="1"/>
        <v>59000</v>
      </c>
    </row>
    <row r="129" spans="1:9" s="150" customFormat="1" x14ac:dyDescent="0.25">
      <c r="A129" s="157" t="str">
        <f>IF(B129&gt;0,VLOOKUP(B129,КВСР!A41:B1206,2),IF(C129&gt;0,VLOOKUP(C129,КФСР!A41:B1553,2),IF(D129&gt;0,VLOOKUP(D129,Программа!A$1:B$5100,2),IF(F129&gt;0,VLOOKUP(F129,КВР!A$1:B$5001,2),IF(E129&gt;0,VLOOKUP(E129,Направление!A$1:B$4830,2))))))</f>
        <v>Обеспечение пожарной безопасности</v>
      </c>
      <c r="B129" s="158"/>
      <c r="C129" s="153">
        <v>310</v>
      </c>
      <c r="D129" s="155"/>
      <c r="E129" s="153"/>
      <c r="F129" s="155"/>
      <c r="G129" s="162">
        <v>50000</v>
      </c>
      <c r="H129" s="162">
        <f>H130</f>
        <v>-35450</v>
      </c>
      <c r="I129" s="161">
        <f t="shared" si="1"/>
        <v>14550</v>
      </c>
    </row>
    <row r="130" spans="1:9" s="150" customFormat="1" x14ac:dyDescent="0.25">
      <c r="A130" s="157" t="str">
        <f>IF(B130&gt;0,VLOOKUP(B130,КВСР!A42:B1207,2),IF(C130&gt;0,VLOOKUP(C130,КФСР!A42:B1554,2),IF(D130&gt;0,VLOOKUP(D130,Программа!A$1:B$5100,2),IF(F130&gt;0,VLOOKUP(F130,КВР!A$1:B$5001,2),IF(E130&gt;0,VLOOKUP(E130,Направление!A$1:B$4830,2))))))</f>
        <v>Непрограммные расходы бюджета</v>
      </c>
      <c r="B130" s="158"/>
      <c r="C130" s="153"/>
      <c r="D130" s="155" t="s">
        <v>626</v>
      </c>
      <c r="E130" s="153"/>
      <c r="F130" s="155"/>
      <c r="G130" s="162">
        <v>50000</v>
      </c>
      <c r="H130" s="162">
        <f>H131</f>
        <v>-35450</v>
      </c>
      <c r="I130" s="161">
        <f t="shared" si="1"/>
        <v>14550</v>
      </c>
    </row>
    <row r="131" spans="1:9" s="150" customFormat="1" ht="47.25" x14ac:dyDescent="0.25">
      <c r="A131" s="157" t="str">
        <f>IF(B131&gt;0,VLOOKUP(B131,КВСР!A43:B1208,2),IF(C131&gt;0,VLOOKUP(C131,КФСР!A43:B1555,2),IF(D131&gt;0,VLOOKUP(D131,Программа!A$1:B$5100,2),IF(F131&gt;0,VLOOKUP(F131,КВР!A$1:B$5001,2),IF(E131&gt;0,VLOOKUP(E131,Направление!A$1:B$4830,2))))))</f>
        <v>Обеспечение   первичных мер пожарной безопасности в границах населенных пунктов поселения</v>
      </c>
      <c r="B131" s="158"/>
      <c r="C131" s="153"/>
      <c r="D131" s="155"/>
      <c r="E131" s="153">
        <v>29196</v>
      </c>
      <c r="F131" s="155"/>
      <c r="G131" s="162">
        <v>50000</v>
      </c>
      <c r="H131" s="162">
        <f>H132</f>
        <v>-35450</v>
      </c>
      <c r="I131" s="161">
        <f t="shared" si="1"/>
        <v>14550</v>
      </c>
    </row>
    <row r="132" spans="1:9" s="150" customFormat="1" ht="63" x14ac:dyDescent="0.25">
      <c r="A132" s="157" t="str">
        <f>IF(B132&gt;0,VLOOKUP(B132,КВСР!A44:B1209,2),IF(C132&gt;0,VLOOKUP(C132,КФСР!A44:B1556,2),IF(D132&gt;0,VLOOKUP(D132,Программа!A$1:B$5100,2),IF(F132&gt;0,VLOOKUP(F132,КВР!A$1:B$5001,2),IF(E132&gt;0,VLOOKUP(E132,Направление!A$1:B$4830,2))))))</f>
        <v xml:space="preserve">Закупка товаров, работ и услуг для обеспечения государственных (муниципальных) нужд
</v>
      </c>
      <c r="B132" s="158"/>
      <c r="C132" s="153"/>
      <c r="D132" s="155"/>
      <c r="E132" s="153"/>
      <c r="F132" s="155">
        <v>200</v>
      </c>
      <c r="G132" s="162">
        <v>50000</v>
      </c>
      <c r="H132" s="162">
        <v>-35450</v>
      </c>
      <c r="I132" s="161">
        <f t="shared" si="1"/>
        <v>14550</v>
      </c>
    </row>
    <row r="133" spans="1:9" s="150" customFormat="1" x14ac:dyDescent="0.25">
      <c r="A133" s="157" t="str">
        <f>IF(B133&gt;0,VLOOKUP(B133,КВСР!A37:B1202,2),IF(C133&gt;0,VLOOKUP(C133,КФСР!A37:B1549,2),IF(D133&gt;0,VLOOKUP(D133,Программа!A$1:B$5100,2),IF(F133&gt;0,VLOOKUP(F133,КВР!A$1:B$5001,2),IF(E133&gt;0,VLOOKUP(E133,Направление!A$1:B$4830,2))))))</f>
        <v>Сельское хозяйство и рыболовство</v>
      </c>
      <c r="B133" s="158"/>
      <c r="C133" s="153">
        <v>405</v>
      </c>
      <c r="D133" s="154"/>
      <c r="E133" s="153"/>
      <c r="F133" s="155"/>
      <c r="G133" s="504">
        <v>2301017</v>
      </c>
      <c r="H133" s="159">
        <f>H134</f>
        <v>-54310</v>
      </c>
      <c r="I133" s="161">
        <f t="shared" si="1"/>
        <v>2246707</v>
      </c>
    </row>
    <row r="134" spans="1:9" s="150" customFormat="1" ht="94.5" x14ac:dyDescent="0.25">
      <c r="A134" s="157" t="str">
        <f>IF(B134&gt;0,VLOOKUP(B134,КВСР!A49:B1214,2),IF(C134&gt;0,VLOOKUP(C134,КФСР!A49:B1561,2),IF(D134&gt;0,VLOOKUP(D134,Программа!A$1:B$5100,2),IF(F134&gt;0,VLOOKUP(F134,КВР!A$1:B$5001,2),IF(E134&gt;0,VLOOKUP(E134,Направление!A$1:B$4830,2))))))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4" s="158"/>
      <c r="C134" s="153"/>
      <c r="D134" s="154" t="s">
        <v>655</v>
      </c>
      <c r="E134" s="153"/>
      <c r="F134" s="155"/>
      <c r="G134" s="504">
        <v>2301017</v>
      </c>
      <c r="H134" s="504">
        <f>H135</f>
        <v>-54310</v>
      </c>
      <c r="I134" s="161">
        <f t="shared" si="1"/>
        <v>2246707</v>
      </c>
    </row>
    <row r="135" spans="1:9" s="150" customFormat="1" ht="63" x14ac:dyDescent="0.25">
      <c r="A135" s="157" t="str">
        <f>IF(B135&gt;0,VLOOKUP(B135,КВСР!A50:B1215,2),IF(C135&gt;0,VLOOKUP(C135,КФСР!A50:B1562,2),IF(D135&gt;0,VLOOKUP(D135,Программа!A$1:B$5100,2),IF(F135&gt;0,VLOOKUP(F135,КВР!A$1:B$5001,2),IF(E135&gt;0,VLOOKUP(E135,Направление!A$1:B$4830,2))))))</f>
        <v>Муниципальная целевая программа "Развитие агропромышленного комплекса и сельских территорий Тутаевского муниципального района"</v>
      </c>
      <c r="B135" s="158"/>
      <c r="C135" s="153"/>
      <c r="D135" s="154" t="s">
        <v>657</v>
      </c>
      <c r="E135" s="153"/>
      <c r="F135" s="155"/>
      <c r="G135" s="504">
        <v>2301017</v>
      </c>
      <c r="H135" s="159">
        <f>H136+H145+H148</f>
        <v>-54310</v>
      </c>
      <c r="I135" s="161">
        <f t="shared" si="1"/>
        <v>2246707</v>
      </c>
    </row>
    <row r="136" spans="1:9" s="150" customFormat="1" ht="78.75" x14ac:dyDescent="0.25">
      <c r="A136" s="157" t="str">
        <f>IF(B136&gt;0,VLOOKUP(B136,КВСР!A50:B1215,2),IF(C136&gt;0,VLOOKUP(C136,КФСР!A50:B1562,2),IF(D136&gt;0,VLOOKUP(D136,Программа!A$1:B$5100,2),IF(F136&gt;0,VLOOKUP(F136,КВР!A$1:B$5001,2),IF(E136&gt;0,VLOOKUP(E136,Направление!A$1:B$4830,2))))))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136" s="158"/>
      <c r="C136" s="153"/>
      <c r="D136" s="154" t="s">
        <v>659</v>
      </c>
      <c r="E136" s="153"/>
      <c r="F136" s="155"/>
      <c r="G136" s="504">
        <v>2005900</v>
      </c>
      <c r="H136" s="504">
        <f>H137+H141+H139+H143</f>
        <v>-34310</v>
      </c>
      <c r="I136" s="161">
        <f t="shared" si="1"/>
        <v>1971590</v>
      </c>
    </row>
    <row r="137" spans="1:9" s="150" customFormat="1" ht="47.25" x14ac:dyDescent="0.25">
      <c r="A137" s="157" t="str">
        <f>IF(B137&gt;0,VLOOKUP(B137,КВСР!A55:B1220,2),IF(C137&gt;0,VLOOKUP(C137,КФСР!A55:B1567,2),IF(D137&gt;0,VLOOKUP(D137,Программа!A$1:B$5100,2),IF(F137&gt;0,VLOOKUP(F137,КВР!A$1:B$5001,2),IF(E137&gt;0,VLOOKUP(E137,Направление!A$1:B$4830,2))))))</f>
        <v>Субсидия на возмещение части затрат сельхозтоваропроиизводителям на реализованное молоко</v>
      </c>
      <c r="B137" s="158"/>
      <c r="C137" s="153"/>
      <c r="D137" s="155"/>
      <c r="E137" s="153">
        <v>10701</v>
      </c>
      <c r="F137" s="155"/>
      <c r="G137" s="502">
        <v>1850000</v>
      </c>
      <c r="H137" s="502">
        <f>H138</f>
        <v>-34310</v>
      </c>
      <c r="I137" s="161">
        <f t="shared" si="1"/>
        <v>1815690</v>
      </c>
    </row>
    <row r="138" spans="1:9" s="150" customFormat="1" x14ac:dyDescent="0.25">
      <c r="A138" s="157" t="str">
        <f>IF(B138&gt;0,VLOOKUP(B138,КВСР!A56:B1221,2),IF(C138&gt;0,VLOOKUP(C138,КФСР!A56:B1568,2),IF(D138&gt;0,VLOOKUP(D138,Программа!A$1:B$5100,2),IF(F138&gt;0,VLOOKUP(F138,КВР!A$1:B$5001,2),IF(E138&gt;0,VLOOKUP(E138,Направление!A$1:B$4830,2))))))</f>
        <v>Иные бюджетные ассигнования</v>
      </c>
      <c r="B138" s="158"/>
      <c r="C138" s="153"/>
      <c r="D138" s="155"/>
      <c r="E138" s="153"/>
      <c r="F138" s="155">
        <v>800</v>
      </c>
      <c r="G138" s="502">
        <v>1850000</v>
      </c>
      <c r="H138" s="160">
        <v>-34310</v>
      </c>
      <c r="I138" s="161">
        <f t="shared" si="1"/>
        <v>1815690</v>
      </c>
    </row>
    <row r="139" spans="1:9" s="150" customFormat="1" ht="47.25" hidden="1" x14ac:dyDescent="0.25">
      <c r="A139" s="157" t="str">
        <f>IF(B139&gt;0,VLOOKUP(B139,КВСР!A57:B1222,2),IF(C139&gt;0,VLOOKUP(C139,КФСР!A57:B1569,2),IF(D139&gt;0,VLOOKUP(D139,Программа!A$1:B$5100,2),IF(F139&gt;0,VLOOKUP(F139,КВР!A$1:B$5001,2),IF(E139&gt;0,VLOOKUP(E139,Направление!A$1:B$4830,2))))))</f>
        <v>Субсидия на возмещение части затрат по вводу земель сельскохозяйственного назначения</v>
      </c>
      <c r="B139" s="158"/>
      <c r="C139" s="153"/>
      <c r="D139" s="155"/>
      <c r="E139" s="153">
        <v>10704</v>
      </c>
      <c r="F139" s="155"/>
      <c r="G139" s="502">
        <v>0</v>
      </c>
      <c r="H139" s="502">
        <f>H140</f>
        <v>0</v>
      </c>
      <c r="I139" s="161">
        <f t="shared" si="1"/>
        <v>0</v>
      </c>
    </row>
    <row r="140" spans="1:9" s="150" customFormat="1" hidden="1" x14ac:dyDescent="0.25">
      <c r="A140" s="157" t="str">
        <f>IF(B140&gt;0,VLOOKUP(B140,КВСР!A58:B1223,2),IF(C140&gt;0,VLOOKUP(C140,КФСР!A58:B1570,2),IF(D140&gt;0,VLOOKUP(D140,Программа!A$1:B$5100,2),IF(F140&gt;0,VLOOKUP(F140,КВР!A$1:B$5001,2),IF(E140&gt;0,VLOOKUP(E140,Направление!A$1:B$4830,2))))))</f>
        <v>Иные бюджетные ассигнования</v>
      </c>
      <c r="B140" s="158"/>
      <c r="C140" s="153"/>
      <c r="D140" s="155"/>
      <c r="E140" s="153"/>
      <c r="F140" s="155">
        <v>800</v>
      </c>
      <c r="G140" s="502">
        <v>0</v>
      </c>
      <c r="H140" s="160"/>
      <c r="I140" s="161">
        <f t="shared" si="1"/>
        <v>0</v>
      </c>
    </row>
    <row r="141" spans="1:9" s="150" customFormat="1" ht="63" x14ac:dyDescent="0.25">
      <c r="A141" s="157" t="str">
        <f>IF(B141&gt;0,VLOOKUP(B141,КВСР!A57:B1222,2),IF(C141&gt;0,VLOOKUP(C141,КФСР!A57:B1569,2),IF(D141&gt;0,VLOOKUP(D141,Программа!A$1:B$5100,2),IF(F141&gt;0,VLOOKUP(F141,КВР!A$1:B$5001,2),IF(E141&gt;0,VLOOKUP(E141,Направление!A$1:B$4830,2))))))</f>
        <v xml:space="preserve">Субсидия на возмещение части затрат сельхозтоваропроиизводителям на содержание маточного поголовья овец романовской породы </v>
      </c>
      <c r="B141" s="158"/>
      <c r="C141" s="153"/>
      <c r="D141" s="155"/>
      <c r="E141" s="153">
        <v>10702</v>
      </c>
      <c r="F141" s="155"/>
      <c r="G141" s="502">
        <v>150000</v>
      </c>
      <c r="H141" s="502">
        <f>H142</f>
        <v>0</v>
      </c>
      <c r="I141" s="161">
        <f t="shared" si="1"/>
        <v>150000</v>
      </c>
    </row>
    <row r="142" spans="1:9" s="150" customFormat="1" x14ac:dyDescent="0.25">
      <c r="A142" s="157" t="str">
        <f>IF(B142&gt;0,VLOOKUP(B142,КВСР!A58:B1223,2),IF(C142&gt;0,VLOOKUP(C142,КФСР!A58:B1570,2),IF(D142&gt;0,VLOOKUP(D142,Программа!A$1:B$5100,2),IF(F142&gt;0,VLOOKUP(F142,КВР!A$1:B$5001,2),IF(E142&gt;0,VLOOKUP(E142,Направление!A$1:B$4830,2))))))</f>
        <v>Иные бюджетные ассигнования</v>
      </c>
      <c r="B142" s="158"/>
      <c r="C142" s="153"/>
      <c r="D142" s="155"/>
      <c r="E142" s="153"/>
      <c r="F142" s="155">
        <v>800</v>
      </c>
      <c r="G142" s="502">
        <v>150000</v>
      </c>
      <c r="H142" s="160"/>
      <c r="I142" s="161">
        <f t="shared" si="1"/>
        <v>150000</v>
      </c>
    </row>
    <row r="143" spans="1:9" s="150" customFormat="1" ht="94.5" x14ac:dyDescent="0.25">
      <c r="A143" s="157" t="str">
        <f>IF(B143&gt;0,VLOOKUP(B143,КВСР!A57:B1222,2),IF(C143&gt;0,VLOOKUP(C143,КФСР!A57:B1569,2),IF(D143&gt;0,VLOOKUP(D143,Программа!A$1:B$5100,2),IF(F143&gt;0,VLOOKUP(F143,КВР!A$1:B$5001,2),IF(E143&gt;0,VLOOKUP(E143,Направление!A$1:B$4830,2))))))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43" s="158"/>
      <c r="C143" s="153"/>
      <c r="D143" s="155"/>
      <c r="E143" s="153">
        <v>74450</v>
      </c>
      <c r="F143" s="155"/>
      <c r="G143" s="502">
        <v>5900</v>
      </c>
      <c r="H143" s="502">
        <f>H144</f>
        <v>0</v>
      </c>
      <c r="I143" s="161">
        <f t="shared" si="1"/>
        <v>5900</v>
      </c>
    </row>
    <row r="144" spans="1:9" s="150" customFormat="1" ht="63" x14ac:dyDescent="0.25">
      <c r="A144" s="157" t="str">
        <f>IF(B144&gt;0,VLOOKUP(B144,КВСР!A58:B1223,2),IF(C144&gt;0,VLOOKUP(C144,КФСР!A58:B1570,2),IF(D144&gt;0,VLOOKUP(D144,Программа!A$1:B$5100,2),IF(F144&gt;0,VLOOKUP(F144,КВР!A$1:B$5001,2),IF(E144&gt;0,VLOOKUP(E144,Направление!A$1:B$4830,2))))))</f>
        <v xml:space="preserve">Закупка товаров, работ и услуг для обеспечения государственных (муниципальных) нужд
</v>
      </c>
      <c r="B144" s="158"/>
      <c r="C144" s="153"/>
      <c r="D144" s="155"/>
      <c r="E144" s="153"/>
      <c r="F144" s="155">
        <v>200</v>
      </c>
      <c r="G144" s="502">
        <v>5900</v>
      </c>
      <c r="H144" s="160"/>
      <c r="I144" s="161">
        <f t="shared" si="1"/>
        <v>5900</v>
      </c>
    </row>
    <row r="145" spans="1:9" s="150" customFormat="1" ht="31.5" x14ac:dyDescent="0.25">
      <c r="A145" s="157" t="str">
        <f>IF(B145&gt;0,VLOOKUP(B145,КВСР!A59:B1224,2),IF(C145&gt;0,VLOOKUP(C145,КФСР!A59:B1571,2),IF(D145&gt;0,VLOOKUP(D145,Программа!A$1:B$5100,2),IF(F145&gt;0,VLOOKUP(F145,КВР!A$1:B$5001,2),IF(E145&gt;0,VLOOKUP(E145,Направление!A$1:B$4830,2))))))</f>
        <v xml:space="preserve">Кадровое обеспечение агропромышленного комплекса </v>
      </c>
      <c r="B145" s="158"/>
      <c r="C145" s="153"/>
      <c r="D145" s="154" t="s">
        <v>661</v>
      </c>
      <c r="E145" s="153"/>
      <c r="F145" s="155"/>
      <c r="G145" s="168">
        <v>50000</v>
      </c>
      <c r="H145" s="168">
        <f>H146</f>
        <v>-20000</v>
      </c>
      <c r="I145" s="161">
        <f t="shared" si="1"/>
        <v>30000</v>
      </c>
    </row>
    <row r="146" spans="1:9" s="150" customFormat="1" ht="47.25" x14ac:dyDescent="0.25">
      <c r="A146" s="157" t="str">
        <f>IF(B146&gt;0,VLOOKUP(B146,КВСР!A60:B1225,2),IF(C146&gt;0,VLOOKUP(C146,КФСР!A60:B1572,2),IF(D146&gt;0,VLOOKUP(D146,Программа!A$1:B$5100,2),IF(F146&gt;0,VLOOKUP(F146,КВР!A$1:B$5001,2),IF(E146&gt;0,VLOOKUP(E146,Направление!A$1:B$4830,2))))))</f>
        <v>Мероприятия  направленные на развитие агропромышленного комплекса</v>
      </c>
      <c r="B146" s="158"/>
      <c r="C146" s="153"/>
      <c r="D146" s="154"/>
      <c r="E146" s="153">
        <v>10700</v>
      </c>
      <c r="F146" s="155"/>
      <c r="G146" s="168">
        <v>50000</v>
      </c>
      <c r="H146" s="168">
        <f>H147</f>
        <v>-20000</v>
      </c>
      <c r="I146" s="161">
        <f t="shared" si="1"/>
        <v>30000</v>
      </c>
    </row>
    <row r="147" spans="1:9" s="150" customFormat="1" ht="31.5" x14ac:dyDescent="0.25">
      <c r="A147" s="157" t="str">
        <f>IF(B147&gt;0,VLOOKUP(B147,КВСР!A61:B1226,2),IF(C147&gt;0,VLOOKUP(C147,КФСР!A61:B1573,2),IF(D147&gt;0,VLOOKUP(D147,Программа!A$1:B$5100,2),IF(F147&gt;0,VLOOKUP(F147,КВР!A$1:B$5001,2),IF(E147&gt;0,VLOOKUP(E147,Направление!A$1:B$4830,2))))))</f>
        <v>Социальное обеспечение и иные выплаты населению</v>
      </c>
      <c r="B147" s="158"/>
      <c r="C147" s="153"/>
      <c r="D147" s="154"/>
      <c r="E147" s="153"/>
      <c r="F147" s="155">
        <v>300</v>
      </c>
      <c r="G147" s="502">
        <v>50000</v>
      </c>
      <c r="H147" s="160">
        <v>-20000</v>
      </c>
      <c r="I147" s="161">
        <f t="shared" si="1"/>
        <v>30000</v>
      </c>
    </row>
    <row r="148" spans="1:9" s="150" customFormat="1" ht="110.25" x14ac:dyDescent="0.25">
      <c r="A148" s="157" t="str">
        <f>IF(B148&gt;0,VLOOKUP(B148,КВСР!A62:B1227,2),IF(C148&gt;0,VLOOKUP(C148,КФСР!A62:B1574,2),IF(D148&gt;0,VLOOKUP(D148,Программа!A$1:B$5100,2),IF(F148&gt;0,VLOOKUP(F148,КВР!A$1:B$5001,2),IF(E148&gt;0,VLOOKUP(E148,Направление!A$1:B$4830,2))))))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48" s="158"/>
      <c r="C148" s="153"/>
      <c r="D148" s="154" t="s">
        <v>664</v>
      </c>
      <c r="E148" s="153"/>
      <c r="F148" s="155"/>
      <c r="G148" s="168">
        <v>245117</v>
      </c>
      <c r="H148" s="168">
        <f>H149</f>
        <v>0</v>
      </c>
      <c r="I148" s="161">
        <f t="shared" si="1"/>
        <v>245117</v>
      </c>
    </row>
    <row r="149" spans="1:9" s="150" customFormat="1" ht="47.25" x14ac:dyDescent="0.25">
      <c r="A149" s="157" t="str">
        <f>IF(B149&gt;0,VLOOKUP(B149,КВСР!A63:B1228,2),IF(C149&gt;0,VLOOKUP(C149,КФСР!A63:B1575,2),IF(D149&gt;0,VLOOKUP(D149,Программа!A$1:B$5100,2),IF(F149&gt;0,VLOOKUP(F149,КВР!A$1:B$5001,2),IF(E149&gt;0,VLOOKUP(E149,Направление!A$1:B$4830,2))))))</f>
        <v>Мероприятия  направленные на развитие агропромышленного комплекса</v>
      </c>
      <c r="B149" s="158"/>
      <c r="C149" s="153"/>
      <c r="D149" s="154"/>
      <c r="E149" s="153">
        <v>10700</v>
      </c>
      <c r="F149" s="155"/>
      <c r="G149" s="168">
        <v>65117</v>
      </c>
      <c r="H149" s="168">
        <f>H150</f>
        <v>0</v>
      </c>
      <c r="I149" s="161">
        <f t="shared" si="1"/>
        <v>65117</v>
      </c>
    </row>
    <row r="150" spans="1:9" s="150" customFormat="1" ht="63" x14ac:dyDescent="0.25">
      <c r="A150" s="157" t="str">
        <f>IF(B150&gt;0,VLOOKUP(B150,КВСР!A64:B1229,2),IF(C150&gt;0,VLOOKUP(C150,КФСР!A64:B1576,2),IF(D150&gt;0,VLOOKUP(D150,Программа!A$1:B$5100,2),IF(F150&gt;0,VLOOKUP(F150,КВР!A$1:B$5001,2),IF(E150&gt;0,VLOOKUP(E150,Направление!A$1:B$4830,2))))))</f>
        <v xml:space="preserve">Закупка товаров, работ и услуг для обеспечения государственных (муниципальных) нужд
</v>
      </c>
      <c r="B150" s="158"/>
      <c r="C150" s="153"/>
      <c r="D150" s="154"/>
      <c r="E150" s="153"/>
      <c r="F150" s="155">
        <v>200</v>
      </c>
      <c r="G150" s="502">
        <v>65117</v>
      </c>
      <c r="H150" s="160"/>
      <c r="I150" s="161">
        <f t="shared" si="1"/>
        <v>65117</v>
      </c>
    </row>
    <row r="151" spans="1:9" s="150" customFormat="1" ht="63" x14ac:dyDescent="0.25">
      <c r="A151" s="157" t="str">
        <f>IF(B151&gt;0,VLOOKUP(B151,КВСР!A65:B1230,2),IF(C151&gt;0,VLOOKUP(C151,КФСР!A65:B1577,2),IF(D151&gt;0,VLOOKUP(D151,Программа!A$1:B$5100,2),IF(F151&gt;0,VLOOKUP(F151,КВР!A$1:B$5001,2),IF(E151&gt;0,VLOOKUP(E151,Направление!A$1:B$4830,2))))))</f>
        <v>Гранты, в форме субсидий, на выплату  вознаграждения сельхозтоваропроизхводителям - победителям конкурса</v>
      </c>
      <c r="B151" s="158"/>
      <c r="C151" s="153"/>
      <c r="D151" s="154"/>
      <c r="E151" s="658">
        <v>10703</v>
      </c>
      <c r="F151" s="659"/>
      <c r="G151" s="628">
        <v>180000</v>
      </c>
      <c r="H151" s="628">
        <f>H152</f>
        <v>0</v>
      </c>
      <c r="I151" s="161">
        <f t="shared" si="1"/>
        <v>180000</v>
      </c>
    </row>
    <row r="152" spans="1:9" s="150" customFormat="1" x14ac:dyDescent="0.25">
      <c r="A152" s="157" t="str">
        <f>IF(B152&gt;0,VLOOKUP(B152,КВСР!A66:B1231,2),IF(C152&gt;0,VLOOKUP(C152,КФСР!A66:B1578,2),IF(D152&gt;0,VLOOKUP(D152,Программа!A$1:B$5100,2),IF(F152&gt;0,VLOOKUP(F152,КВР!A$1:B$5001,2),IF(E152&gt;0,VLOOKUP(E152,Направление!A$1:B$4830,2))))))</f>
        <v>Иные бюджетные ассигнования</v>
      </c>
      <c r="B152" s="158"/>
      <c r="C152" s="153"/>
      <c r="D152" s="154"/>
      <c r="E152" s="153"/>
      <c r="F152" s="155">
        <v>800</v>
      </c>
      <c r="G152" s="502">
        <v>180000</v>
      </c>
      <c r="H152" s="160"/>
      <c r="I152" s="161">
        <f t="shared" ref="I152:I246" si="2">SUM(G152:H152)</f>
        <v>180000</v>
      </c>
    </row>
    <row r="153" spans="1:9" s="150" customFormat="1" x14ac:dyDescent="0.25">
      <c r="A153" s="157" t="str">
        <f>IF(B153&gt;0,VLOOKUP(B153,КВСР!A67:B1232,2),IF(C153&gt;0,VLOOKUP(C153,КФСР!A67:B1579,2),IF(D153&gt;0,VLOOKUP(D153,Программа!A$1:B$5100,2),IF(F153&gt;0,VLOOKUP(F153,КВР!A$1:B$5001,2),IF(E153&gt;0,VLOOKUP(E153,Направление!A$1:B$4830,2))))))</f>
        <v>Транспорт</v>
      </c>
      <c r="B153" s="158"/>
      <c r="C153" s="153">
        <v>408</v>
      </c>
      <c r="D153" s="154"/>
      <c r="E153" s="153"/>
      <c r="F153" s="155"/>
      <c r="G153" s="502">
        <v>1376164</v>
      </c>
      <c r="H153" s="502">
        <f>H154</f>
        <v>-176164</v>
      </c>
      <c r="I153" s="161">
        <f t="shared" si="2"/>
        <v>1200000</v>
      </c>
    </row>
    <row r="154" spans="1:9" s="150" customFormat="1" x14ac:dyDescent="0.25">
      <c r="A154" s="157" t="str">
        <f>IF(B154&gt;0,VLOOKUP(B154,КВСР!A68:B1233,2),IF(C154&gt;0,VLOOKUP(C154,КФСР!A68:B1580,2),IF(D154&gt;0,VLOOKUP(D154,Программа!A$1:B$5100,2),IF(F154&gt;0,VLOOKUP(F154,КВР!A$1:B$5001,2),IF(E154&gt;0,VLOOKUP(E154,Направление!A$1:B$4830,2))))))</f>
        <v>Непрограммные расходы бюджета</v>
      </c>
      <c r="B154" s="158"/>
      <c r="C154" s="153"/>
      <c r="D154" s="154" t="s">
        <v>626</v>
      </c>
      <c r="E154" s="153"/>
      <c r="F154" s="155"/>
      <c r="G154" s="502">
        <v>1376164</v>
      </c>
      <c r="H154" s="502">
        <f>H155</f>
        <v>-176164</v>
      </c>
      <c r="I154" s="161">
        <f t="shared" si="2"/>
        <v>1200000</v>
      </c>
    </row>
    <row r="155" spans="1:9" s="150" customFormat="1" ht="47.25" x14ac:dyDescent="0.25">
      <c r="A155" s="157" t="str">
        <f>IF(B155&gt;0,VLOOKUP(B155,КВСР!A69:B1234,2),IF(C155&gt;0,VLOOKUP(C155,КФСР!A69:B1581,2),IF(D155&gt;0,VLOOKUP(D155,Программа!A$1:B$5100,2),IF(F155&gt;0,VLOOKUP(F155,КВР!A$1:B$5001,2),IF(E155&gt;0,VLOOKUP(E155,Направление!A$1:B$4830,2))))))</f>
        <v>Обеспечение мероприятий по строительству канатной дороги через   р. Волга</v>
      </c>
      <c r="B155" s="158"/>
      <c r="C155" s="153"/>
      <c r="D155" s="154"/>
      <c r="E155" s="153">
        <v>29606</v>
      </c>
      <c r="F155" s="155"/>
      <c r="G155" s="502">
        <v>1376164</v>
      </c>
      <c r="H155" s="502">
        <f>H156</f>
        <v>-176164</v>
      </c>
      <c r="I155" s="161">
        <f t="shared" si="2"/>
        <v>1200000</v>
      </c>
    </row>
    <row r="156" spans="1:9" s="150" customFormat="1" ht="63" x14ac:dyDescent="0.25">
      <c r="A156" s="157" t="str">
        <f>IF(B156&gt;0,VLOOKUP(B156,КВСР!A70:B1235,2),IF(C156&gt;0,VLOOKUP(C156,КФСР!A70:B1582,2),IF(D156&gt;0,VLOOKUP(D156,Программа!A$1:B$5100,2),IF(F156&gt;0,VLOOKUP(F156,КВР!A$1:B$5001,2),IF(E156&gt;0,VLOOKUP(E156,Направление!A$1:B$4830,2))))))</f>
        <v>Предоставление субсидий бюджетным, автономным учреждениям и иным некоммерческим организациям</v>
      </c>
      <c r="B156" s="158"/>
      <c r="C156" s="153"/>
      <c r="D156" s="154"/>
      <c r="E156" s="153"/>
      <c r="F156" s="155">
        <v>600</v>
      </c>
      <c r="G156" s="502">
        <v>1376164</v>
      </c>
      <c r="H156" s="160">
        <v>-176164</v>
      </c>
      <c r="I156" s="161">
        <f t="shared" si="2"/>
        <v>1200000</v>
      </c>
    </row>
    <row r="157" spans="1:9" s="150" customFormat="1" x14ac:dyDescent="0.25">
      <c r="A157" s="157" t="str">
        <f>IF(B157&gt;0,VLOOKUP(B157,КВСР!A71:B1236,2),IF(C157&gt;0,VLOOKUP(C157,КФСР!A71:B1583,2),IF(D157&gt;0,VLOOKUP(D157,Программа!A$1:B$5100,2),IF(F157&gt;0,VLOOKUP(F157,КВР!A$1:B$5001,2),IF(E157&gt;0,VLOOKUP(E157,Направление!A$1:B$4830,2))))))</f>
        <v>Дорожное хозяйство</v>
      </c>
      <c r="B157" s="158"/>
      <c r="C157" s="153">
        <v>409</v>
      </c>
      <c r="D157" s="154"/>
      <c r="E157" s="153"/>
      <c r="F157" s="155"/>
      <c r="G157" s="502">
        <v>253584448.72000003</v>
      </c>
      <c r="H157" s="502">
        <f>H158+H194+H208+H201</f>
        <v>-10609912</v>
      </c>
      <c r="I157" s="161">
        <f t="shared" si="2"/>
        <v>242974536.72000003</v>
      </c>
    </row>
    <row r="158" spans="1:9" s="150" customFormat="1" ht="47.25" x14ac:dyDescent="0.25">
      <c r="A158" s="157" t="str">
        <f>IF(B158&gt;0,VLOOKUP(B158,КВСР!A72:B1237,2),IF(C158&gt;0,VLOOKUP(C158,КФСР!A72:B1584,2),IF(D158&gt;0,VLOOKUP(D158,Программа!A$1:B$5100,2),IF(F158&gt;0,VLOOKUP(F158,КВР!A$1:B$5001,2),IF(E158&gt;0,VLOOKUP(E158,Направление!A$1:B$4830,2))))))</f>
        <v>Муниципальная программа "Развитие дорожного хозяйства и транспорта в Тутаевском муниципальном районе"</v>
      </c>
      <c r="B158" s="152"/>
      <c r="C158" s="153"/>
      <c r="D158" s="154" t="s">
        <v>869</v>
      </c>
      <c r="E158" s="153"/>
      <c r="F158" s="155"/>
      <c r="G158" s="504">
        <v>145957145.51999998</v>
      </c>
      <c r="H158" s="159">
        <f>H159+H167</f>
        <v>2105974</v>
      </c>
      <c r="I158" s="161">
        <f t="shared" si="2"/>
        <v>148063119.51999998</v>
      </c>
    </row>
    <row r="159" spans="1:9" s="150" customFormat="1" ht="63" x14ac:dyDescent="0.25">
      <c r="A159" s="157" t="str">
        <f>IF(B159&gt;0,VLOOKUP(B159,КВСР!A73:B1238,2),IF(C159&gt;0,VLOOKUP(C159,КФСР!A73:B1585,2),IF(D159&gt;0,VLOOKUP(D159,Программа!A$1:B$5100,2),IF(F159&gt;0,VLOOKUP(F159,КВР!A$1:B$5001,2),IF(E159&gt;0,VLOOKUP(E159,Направление!A$1:B$4830,2))))))</f>
        <v>Муниципальная целевая программа «Повышение безопасности дорожного движения на территории Тутаевского муниципального района»</v>
      </c>
      <c r="B159" s="152"/>
      <c r="C159" s="153"/>
      <c r="D159" s="154" t="s">
        <v>871</v>
      </c>
      <c r="E159" s="153"/>
      <c r="F159" s="155"/>
      <c r="G159" s="504">
        <v>5283221</v>
      </c>
      <c r="H159" s="159">
        <f>H160</f>
        <v>0</v>
      </c>
      <c r="I159" s="161">
        <f t="shared" si="2"/>
        <v>5283221</v>
      </c>
    </row>
    <row r="160" spans="1:9" s="150" customFormat="1" ht="31.5" x14ac:dyDescent="0.25">
      <c r="A160" s="157" t="str">
        <f>IF(B160&gt;0,VLOOKUP(B160,КВСР!A74:B1239,2),IF(C160&gt;0,VLOOKUP(C160,КФСР!A74:B1586,2),IF(D160&gt;0,VLOOKUP(D160,Программа!A$1:B$5100,2),IF(F160&gt;0,VLOOKUP(F160,КВР!A$1:B$5001,2),IF(E160&gt;0,VLOOKUP(E160,Направление!A$1:B$4830,2))))))</f>
        <v>Повышение безопасности дорожного движения на автомобильных дорогах</v>
      </c>
      <c r="B160" s="152"/>
      <c r="C160" s="153"/>
      <c r="D160" s="154" t="s">
        <v>873</v>
      </c>
      <c r="E160" s="153"/>
      <c r="F160" s="155"/>
      <c r="G160" s="504">
        <v>5283221</v>
      </c>
      <c r="H160" s="159">
        <f>H161+H163+H165</f>
        <v>0</v>
      </c>
      <c r="I160" s="161">
        <f t="shared" si="2"/>
        <v>5283221</v>
      </c>
    </row>
    <row r="161" spans="1:9" s="150" customFormat="1" ht="31.5" x14ac:dyDescent="0.25">
      <c r="A161" s="157" t="str">
        <f>IF(B161&gt;0,VLOOKUP(B161,КВСР!A75:B1240,2),IF(C161&gt;0,VLOOKUP(C161,КФСР!A75:B1587,2),IF(D161&gt;0,VLOOKUP(D161,Программа!A$1:B$5100,2),IF(F161&gt;0,VLOOKUP(F161,КВР!A$1:B$5001,2),IF(E161&gt;0,VLOOKUP(E161,Направление!A$1:B$4830,2))))))</f>
        <v>Содержание и ремонт  автомобильных дорог общего пользования</v>
      </c>
      <c r="B161" s="152"/>
      <c r="C161" s="153"/>
      <c r="D161" s="154"/>
      <c r="E161" s="153">
        <v>10200</v>
      </c>
      <c r="F161" s="155"/>
      <c r="G161" s="504">
        <v>1000000</v>
      </c>
      <c r="H161" s="159">
        <f>H162</f>
        <v>0</v>
      </c>
      <c r="I161" s="161">
        <f t="shared" si="2"/>
        <v>1000000</v>
      </c>
    </row>
    <row r="162" spans="1:9" s="150" customFormat="1" ht="63" x14ac:dyDescent="0.25">
      <c r="A162" s="157" t="str">
        <f>IF(B162&gt;0,VLOOKUP(B162,КВСР!A76:B1241,2),IF(C162&gt;0,VLOOKUP(C162,КФСР!A76:B1588,2),IF(D162&gt;0,VLOOKUP(D162,Программа!A$1:B$5100,2),IF(F162&gt;0,VLOOKUP(F162,КВР!A$1:B$5001,2),IF(E162&gt;0,VLOOKUP(E162,Направление!A$1:B$4830,2))))))</f>
        <v>Предоставление субсидий бюджетным, автономным учреждениям и иным некоммерческим организациям</v>
      </c>
      <c r="B162" s="152"/>
      <c r="C162" s="153"/>
      <c r="D162" s="155"/>
      <c r="E162" s="153"/>
      <c r="F162" s="155">
        <v>600</v>
      </c>
      <c r="G162" s="502">
        <v>1000000</v>
      </c>
      <c r="H162" s="160"/>
      <c r="I162" s="161">
        <f t="shared" si="2"/>
        <v>1000000</v>
      </c>
    </row>
    <row r="163" spans="1:9" s="150" customFormat="1" ht="47.25" x14ac:dyDescent="0.25">
      <c r="A163" s="157" t="str">
        <f>IF(B163&gt;0,VLOOKUP(B163,КВСР!A77:B1242,2),IF(C163&gt;0,VLOOKUP(C163,КФСР!A77:B1589,2),IF(D163&gt;0,VLOOKUP(D163,Программа!A$1:B$5100,2),IF(F163&gt;0,VLOOKUP(F163,КВР!A$1:B$5001,2),IF(E163&gt;0,VLOOKUP(E163,Направление!A$1:B$4830,2))))))</f>
        <v>Обеспечение   мероприятий в области  дорожного хозяйства  по повышению безопасности дорожного движения</v>
      </c>
      <c r="B163" s="152"/>
      <c r="C163" s="153"/>
      <c r="D163" s="155"/>
      <c r="E163" s="153">
        <v>29096</v>
      </c>
      <c r="F163" s="155"/>
      <c r="G163" s="502">
        <v>3666221</v>
      </c>
      <c r="H163" s="502">
        <f>H164</f>
        <v>0</v>
      </c>
      <c r="I163" s="161">
        <f t="shared" si="2"/>
        <v>3666221</v>
      </c>
    </row>
    <row r="164" spans="1:9" s="150" customFormat="1" ht="63" x14ac:dyDescent="0.25">
      <c r="A164" s="157" t="str">
        <f>IF(B164&gt;0,VLOOKUP(B164,КВСР!A78:B1243,2),IF(C164&gt;0,VLOOKUP(C164,КФСР!A78:B1590,2),IF(D164&gt;0,VLOOKUP(D164,Программа!A$1:B$5100,2),IF(F164&gt;0,VLOOKUP(F164,КВР!A$1:B$5001,2),IF(E164&gt;0,VLOOKUP(E164,Направление!A$1:B$4830,2))))))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52"/>
      <c r="C164" s="153"/>
      <c r="D164" s="155"/>
      <c r="E164" s="153"/>
      <c r="F164" s="155">
        <v>600</v>
      </c>
      <c r="G164" s="502">
        <v>3666221</v>
      </c>
      <c r="H164" s="160"/>
      <c r="I164" s="161">
        <f t="shared" si="2"/>
        <v>3666221</v>
      </c>
    </row>
    <row r="165" spans="1:9" s="150" customFormat="1" ht="47.25" x14ac:dyDescent="0.25">
      <c r="A165" s="157" t="str">
        <f>IF(B165&gt;0,VLOOKUP(B165,КВСР!A79:B1244,2),IF(C165&gt;0,VLOOKUP(C165,КФСР!A79:B1591,2),IF(D165&gt;0,VLOOKUP(D165,Программа!A$1:B$5100,2),IF(F165&gt;0,VLOOKUP(F165,КВР!A$1:B$5001,2),IF(E165&gt;0,VLOOKUP(E165,Направление!A$1:B$4830,2))))))</f>
        <v xml:space="preserve">Обеспечение мероприятий в области дорожного хозяйства по строительству светофорных объектов </v>
      </c>
      <c r="B165" s="152"/>
      <c r="C165" s="153"/>
      <c r="D165" s="155"/>
      <c r="E165" s="153">
        <v>29106</v>
      </c>
      <c r="F165" s="155"/>
      <c r="G165" s="502">
        <v>617000</v>
      </c>
      <c r="H165" s="502">
        <f>H166</f>
        <v>0</v>
      </c>
      <c r="I165" s="161">
        <f t="shared" si="2"/>
        <v>617000</v>
      </c>
    </row>
    <row r="166" spans="1:9" s="150" customFormat="1" ht="63" x14ac:dyDescent="0.25">
      <c r="A166" s="157" t="str">
        <f>IF(B166&gt;0,VLOOKUP(B166,КВСР!A80:B1245,2),IF(C166&gt;0,VLOOKUP(C166,КФСР!A80:B1592,2),IF(D166&gt;0,VLOOKUP(D166,Программа!A$1:B$5100,2),IF(F166&gt;0,VLOOKUP(F166,КВР!A$1:B$5001,2),IF(E166&gt;0,VLOOKUP(E166,Направление!A$1:B$4830,2))))))</f>
        <v>Предоставление субсидий бюджетным, автономным учреждениям и иным некоммерческим организациям</v>
      </c>
      <c r="B166" s="152"/>
      <c r="C166" s="153"/>
      <c r="D166" s="155"/>
      <c r="E166" s="153"/>
      <c r="F166" s="155">
        <v>600</v>
      </c>
      <c r="G166" s="502">
        <v>617000</v>
      </c>
      <c r="H166" s="160"/>
      <c r="I166" s="161">
        <f t="shared" si="2"/>
        <v>617000</v>
      </c>
    </row>
    <row r="167" spans="1:9" s="150" customFormat="1" ht="63" x14ac:dyDescent="0.25">
      <c r="A167" s="157" t="str">
        <f>IF(B167&gt;0,VLOOKUP(B167,КВСР!A81:B1246,2),IF(C167&gt;0,VLOOKUP(C167,КФСР!A81:B1593,2),IF(D167&gt;0,VLOOKUP(D167,Программа!A$1:B$5100,2),IF(F167&gt;0,VLOOKUP(F167,КВР!A$1:B$5001,2),IF(E167&gt;0,VLOOKUP(E167,Направление!A$1:B$4830,2))))))</f>
        <v>Муниципальная целевая программа «Сохранность автомобильных дорог общего пользования Тутаевского муниципального района»</v>
      </c>
      <c r="B167" s="152"/>
      <c r="C167" s="153"/>
      <c r="D167" s="154" t="s">
        <v>876</v>
      </c>
      <c r="E167" s="153"/>
      <c r="F167" s="155"/>
      <c r="G167" s="504">
        <v>140673924.51999998</v>
      </c>
      <c r="H167" s="159">
        <f>H168</f>
        <v>2105974</v>
      </c>
      <c r="I167" s="161">
        <f t="shared" si="2"/>
        <v>142779898.51999998</v>
      </c>
    </row>
    <row r="168" spans="1:9" s="150" customFormat="1" ht="47.25" x14ac:dyDescent="0.25">
      <c r="A168" s="157" t="str">
        <f>IF(B168&gt;0,VLOOKUP(B168,КВСР!A82:B1247,2),IF(C168&gt;0,VLOOKUP(C168,КФСР!A82:B1594,2),IF(D168&gt;0,VLOOKUP(D168,Программа!A$1:B$5100,2),IF(F168&gt;0,VLOOKUP(F168,КВР!A$1:B$5001,2),IF(E168&gt;0,VLOOKUP(E168,Направление!A$1:B$4830,2))))))</f>
        <v>Приведение  в нормативное состояние автомобильных дорог общего пользования</v>
      </c>
      <c r="B168" s="152"/>
      <c r="C168" s="153"/>
      <c r="D168" s="154" t="s">
        <v>878</v>
      </c>
      <c r="E168" s="153"/>
      <c r="F168" s="155"/>
      <c r="G168" s="504">
        <v>140673924.51999998</v>
      </c>
      <c r="H168" s="159">
        <f>H169+H171+H173+H177+H181+H184+H188+H175+H179+H186+H191</f>
        <v>2105974</v>
      </c>
      <c r="I168" s="161">
        <f t="shared" si="2"/>
        <v>142779898.51999998</v>
      </c>
    </row>
    <row r="169" spans="1:9" s="150" customFormat="1" ht="31.5" x14ac:dyDescent="0.25">
      <c r="A169" s="157" t="str">
        <f>IF(B169&gt;0,VLOOKUP(B169,КВСР!A83:B1248,2),IF(C169&gt;0,VLOOKUP(C169,КФСР!A83:B1595,2),IF(D169&gt;0,VLOOKUP(D169,Программа!A$1:B$5100,2),IF(F169&gt;0,VLOOKUP(F169,КВР!A$1:B$5001,2),IF(E169&gt;0,VLOOKUP(E169,Направление!A$1:B$4830,2))))))</f>
        <v>Содержание и ремонт  автомобильных дорог общего пользования</v>
      </c>
      <c r="B169" s="152"/>
      <c r="C169" s="153"/>
      <c r="D169" s="154"/>
      <c r="E169" s="153">
        <v>10200</v>
      </c>
      <c r="F169" s="155"/>
      <c r="G169" s="168">
        <v>21959365</v>
      </c>
      <c r="H169" s="168">
        <f>H170</f>
        <v>0</v>
      </c>
      <c r="I169" s="161">
        <f t="shared" si="2"/>
        <v>21959365</v>
      </c>
    </row>
    <row r="170" spans="1:9" s="150" customFormat="1" ht="63" x14ac:dyDescent="0.25">
      <c r="A170" s="157" t="str">
        <f>IF(B170&gt;0,VLOOKUP(B170,КВСР!A84:B1249,2),IF(C170&gt;0,VLOOKUP(C170,КФСР!A84:B1596,2),IF(D170&gt;0,VLOOKUP(D170,Программа!A$1:B$5100,2),IF(F170&gt;0,VLOOKUP(F170,КВР!A$1:B$5001,2),IF(E170&gt;0,VLOOKUP(E170,Направление!A$1:B$4830,2))))))</f>
        <v>Предоставление субсидий бюджетным, автономным учреждениям и иным некоммерческим организациям</v>
      </c>
      <c r="B170" s="152"/>
      <c r="C170" s="153"/>
      <c r="D170" s="155"/>
      <c r="E170" s="153"/>
      <c r="F170" s="155">
        <v>600</v>
      </c>
      <c r="G170" s="502">
        <v>21959365</v>
      </c>
      <c r="H170" s="160"/>
      <c r="I170" s="161">
        <f t="shared" si="2"/>
        <v>21959365</v>
      </c>
    </row>
    <row r="171" spans="1:9" s="150" customFormat="1" ht="47.25" x14ac:dyDescent="0.25">
      <c r="A171" s="157" t="str">
        <f>IF(B171&gt;0,VLOOKUP(B171,КВСР!A85:B1250,2),IF(C171&gt;0,VLOOKUP(C171,КФСР!A85:B1597,2),IF(D171&gt;0,VLOOKUP(D171,Программа!A$1:B$5100,2),IF(F171&gt;0,VLOOKUP(F171,КВР!A$1:B$5001,2),IF(E171&gt;0,VLOOKUP(E171,Направление!A$1:B$4830,2))))))</f>
        <v>Обеспечение   мероприятий в области  дорожного хозяйства  на  ремонт и содержание автомобильных дорог</v>
      </c>
      <c r="B171" s="152"/>
      <c r="C171" s="153"/>
      <c r="D171" s="155"/>
      <c r="E171" s="153">
        <v>29086</v>
      </c>
      <c r="F171" s="155"/>
      <c r="G171" s="502">
        <v>21418337</v>
      </c>
      <c r="H171" s="502">
        <f>H172</f>
        <v>0</v>
      </c>
      <c r="I171" s="161">
        <f t="shared" si="2"/>
        <v>21418337</v>
      </c>
    </row>
    <row r="172" spans="1:9" s="150" customFormat="1" ht="63" x14ac:dyDescent="0.25">
      <c r="A172" s="157" t="str">
        <f>IF(B172&gt;0,VLOOKUP(B172,КВСР!A86:B1251,2),IF(C172&gt;0,VLOOKUP(C172,КФСР!A86:B1598,2),IF(D172&gt;0,VLOOKUP(D172,Программа!A$1:B$5100,2),IF(F172&gt;0,VLOOKUP(F172,КВР!A$1:B$5001,2),IF(E172&gt;0,VLOOKUP(E172,Направление!A$1:B$4830,2))))))</f>
        <v>Предоставление субсидий бюджетным, автономным учреждениям и иным некоммерческим организациям</v>
      </c>
      <c r="B172" s="152"/>
      <c r="C172" s="153"/>
      <c r="D172" s="155"/>
      <c r="E172" s="153"/>
      <c r="F172" s="155">
        <v>600</v>
      </c>
      <c r="G172" s="502">
        <v>21418337</v>
      </c>
      <c r="H172" s="160"/>
      <c r="I172" s="161">
        <f t="shared" si="2"/>
        <v>21418337</v>
      </c>
    </row>
    <row r="173" spans="1:9" s="150" customFormat="1" ht="47.25" x14ac:dyDescent="0.25">
      <c r="A173" s="157" t="str">
        <f>IF(B173&gt;0,VLOOKUP(B173,КВСР!A87:B1252,2),IF(C173&gt;0,VLOOKUP(C173,КФСР!A87:B1599,2),IF(D173&gt;0,VLOOKUP(D173,Программа!A$1:B$5100,2),IF(F173&gt;0,VLOOKUP(F173,КВР!A$1:B$5001,2),IF(E173&gt;0,VLOOKUP(E173,Направление!A$1:B$4830,2))))))</f>
        <v xml:space="preserve">Обеспечение мероприятий в области дорожного хозяйства по ремонту дворовых территорий </v>
      </c>
      <c r="B173" s="152"/>
      <c r="C173" s="153"/>
      <c r="D173" s="155"/>
      <c r="E173" s="153">
        <v>29496</v>
      </c>
      <c r="F173" s="155"/>
      <c r="G173" s="502">
        <v>100000</v>
      </c>
      <c r="H173" s="502">
        <f>H174</f>
        <v>0</v>
      </c>
      <c r="I173" s="161">
        <f t="shared" si="2"/>
        <v>100000</v>
      </c>
    </row>
    <row r="174" spans="1:9" s="150" customFormat="1" ht="63" x14ac:dyDescent="0.25">
      <c r="A174" s="157" t="str">
        <f>IF(B174&gt;0,VLOOKUP(B174,КВСР!A88:B1253,2),IF(C174&gt;0,VLOOKUP(C174,КФСР!A88:B1600,2),IF(D174&gt;0,VLOOKUP(D174,Программа!A$1:B$5100,2),IF(F174&gt;0,VLOOKUP(F174,КВР!A$1:B$5001,2),IF(E174&gt;0,VLOOKUP(E174,Направление!A$1:B$4830,2))))))</f>
        <v>Предоставление субсидий бюджетным, автономным учреждениям и иным некоммерческим организациям</v>
      </c>
      <c r="B174" s="152"/>
      <c r="C174" s="153"/>
      <c r="D174" s="155"/>
      <c r="E174" s="153"/>
      <c r="F174" s="155">
        <v>600</v>
      </c>
      <c r="G174" s="502">
        <v>100000</v>
      </c>
      <c r="H174" s="160"/>
      <c r="I174" s="161">
        <f t="shared" si="2"/>
        <v>100000</v>
      </c>
    </row>
    <row r="175" spans="1:9" s="150" customFormat="1" ht="31.5" x14ac:dyDescent="0.25">
      <c r="A175" s="157" t="str">
        <f>IF(B175&gt;0,VLOOKUP(B175,КВСР!A89:B1254,2),IF(C175&gt;0,VLOOKUP(C175,КФСР!A89:B1601,2),IF(D175&gt;0,VLOOKUP(D175,Программа!A$1:B$5100,2),IF(F175&gt;0,VLOOKUP(F175,КВР!A$1:B$5001,2),IF(E175&gt;0,VLOOKUP(E175,Направление!A$1:B$4830,2))))))</f>
        <v>Содержание и организация деятельности дорожного хозяйства</v>
      </c>
      <c r="B175" s="152"/>
      <c r="C175" s="153"/>
      <c r="D175" s="155"/>
      <c r="E175" s="153">
        <v>29696</v>
      </c>
      <c r="F175" s="155"/>
      <c r="G175" s="502">
        <v>5578657</v>
      </c>
      <c r="H175" s="502">
        <f>H176</f>
        <v>0</v>
      </c>
      <c r="I175" s="161">
        <f t="shared" si="2"/>
        <v>5578657</v>
      </c>
    </row>
    <row r="176" spans="1:9" s="150" customFormat="1" ht="63" x14ac:dyDescent="0.25">
      <c r="A176" s="157" t="str">
        <f>IF(B176&gt;0,VLOOKUP(B176,КВСР!A90:B1255,2),IF(C176&gt;0,VLOOKUP(C176,КФСР!A90:B1602,2),IF(D176&gt;0,VLOOKUP(D176,Программа!A$1:B$5100,2),IF(F176&gt;0,VLOOKUP(F176,КВР!A$1:B$5001,2),IF(E176&gt;0,VLOOKUP(E176,Направление!A$1:B$4830,2))))))</f>
        <v>Предоставление субсидий бюджетным, автономным учреждениям и иным некоммерческим организациям</v>
      </c>
      <c r="B176" s="152"/>
      <c r="C176" s="153"/>
      <c r="D176" s="155"/>
      <c r="E176" s="153"/>
      <c r="F176" s="155">
        <v>600</v>
      </c>
      <c r="G176" s="502">
        <v>5578657</v>
      </c>
      <c r="H176" s="160"/>
      <c r="I176" s="161">
        <f t="shared" si="2"/>
        <v>5578657</v>
      </c>
    </row>
    <row r="177" spans="1:9" s="150" customFormat="1" ht="47.25" x14ac:dyDescent="0.25">
      <c r="A177" s="157" t="str">
        <f>IF(B177&gt;0,VLOOKUP(B177,КВСР!A89:B1254,2),IF(C177&gt;0,VLOOKUP(C177,КФСР!A89:B1601,2),IF(D177&gt;0,VLOOKUP(D177,Программа!A$1:B$5100,2),IF(F177&gt;0,VLOOKUP(F177,КВР!A$1:B$5001,2),IF(E177&gt;0,VLOOKUP(E177,Направление!A$1:B$4830,2))))))</f>
        <v>Расходы на финансирование дорожного хозяйства за счет средств областного бюджета</v>
      </c>
      <c r="B177" s="152"/>
      <c r="C177" s="153"/>
      <c r="D177" s="154"/>
      <c r="E177" s="153">
        <v>72446</v>
      </c>
      <c r="F177" s="155"/>
      <c r="G177" s="504">
        <v>17633489.350000001</v>
      </c>
      <c r="H177" s="159">
        <f>H178</f>
        <v>-394026</v>
      </c>
      <c r="I177" s="161">
        <f t="shared" si="2"/>
        <v>17239463.350000001</v>
      </c>
    </row>
    <row r="178" spans="1:9" s="150" customFormat="1" ht="63" x14ac:dyDescent="0.25">
      <c r="A178" s="157" t="str">
        <f>IF(B178&gt;0,VLOOKUP(B178,КВСР!A90:B1255,2),IF(C178&gt;0,VLOOKUP(C178,КФСР!A90:B1602,2),IF(D178&gt;0,VLOOKUP(D178,Программа!A$1:B$5100,2),IF(F178&gt;0,VLOOKUP(F178,КВР!A$1:B$5001,2),IF(E178&gt;0,VLOOKUP(E178,Направление!A$1:B$4830,2))))))</f>
        <v>Предоставление субсидий бюджетным, автономным учреждениям и иным некоммерческим организациям</v>
      </c>
      <c r="B178" s="152"/>
      <c r="C178" s="153"/>
      <c r="D178" s="155"/>
      <c r="E178" s="153"/>
      <c r="F178" s="155">
        <v>600</v>
      </c>
      <c r="G178" s="502">
        <v>17633489.350000001</v>
      </c>
      <c r="H178" s="160">
        <v>-394026</v>
      </c>
      <c r="I178" s="161">
        <f t="shared" si="2"/>
        <v>17239463.350000001</v>
      </c>
    </row>
    <row r="179" spans="1:9" s="150" customFormat="1" ht="63" x14ac:dyDescent="0.25">
      <c r="A179" s="157" t="str">
        <f>IF(B179&gt;0,VLOOKUP(B179,КВСР!A91:B1256,2),IF(C179&gt;0,VLOOKUP(C179,КФСР!A91:B1603,2),IF(D179&gt;0,VLOOKUP(D179,Программа!A$1:B$5100,2),IF(F179&gt;0,VLOOKUP(F179,КВР!A$1:B$5001,2),IF(E179&gt;0,VLOOKUP(E179,Направление!A$1:B$4830,2))))))</f>
        <v>Мероприятия по благоустройству и ремонту дворовых  территории в рамках софинансирования инициативного бюджетирования</v>
      </c>
      <c r="B179" s="152"/>
      <c r="C179" s="153"/>
      <c r="D179" s="155"/>
      <c r="E179" s="418">
        <v>75356</v>
      </c>
      <c r="F179" s="155"/>
      <c r="G179" s="502">
        <v>7750061.4500000002</v>
      </c>
      <c r="H179" s="502">
        <f>H180</f>
        <v>0</v>
      </c>
      <c r="I179" s="161">
        <f t="shared" si="2"/>
        <v>7750061.4500000002</v>
      </c>
    </row>
    <row r="180" spans="1:9" s="150" customFormat="1" ht="63" x14ac:dyDescent="0.25">
      <c r="A180" s="157" t="str">
        <f>IF(B180&gt;0,VLOOKUP(B180,КВСР!A92:B1257,2),IF(C180&gt;0,VLOOKUP(C180,КФСР!A92:B1604,2),IF(D180&gt;0,VLOOKUP(D180,Программа!A$1:B$5100,2),IF(F180&gt;0,VLOOKUP(F180,КВР!A$1:B$5001,2),IF(E180&gt;0,VLOOKUP(E180,Направление!A$1:B$4830,2))))))</f>
        <v>Предоставление субсидий бюджетным, автономным учреждениям и иным некоммерческим организациям</v>
      </c>
      <c r="B180" s="152"/>
      <c r="C180" s="153"/>
      <c r="D180" s="155"/>
      <c r="E180" s="153"/>
      <c r="F180" s="155">
        <v>600</v>
      </c>
      <c r="G180" s="502">
        <v>7750061.4500000002</v>
      </c>
      <c r="H180" s="160"/>
      <c r="I180" s="161">
        <f t="shared" si="2"/>
        <v>7750061.4500000002</v>
      </c>
    </row>
    <row r="181" spans="1:9" s="150" customFormat="1" ht="47.25" x14ac:dyDescent="0.25">
      <c r="A181" s="157" t="str">
        <f>IF(B181&gt;0,VLOOKUP(B181,КВСР!A91:B1256,2),IF(C181&gt;0,VLOOKUP(C181,КФСР!A91:B1603,2),IF(D181&gt;0,VLOOKUP(D181,Программа!A$1:B$5100,2),IF(F181&gt;0,VLOOKUP(F181,КВР!A$1:B$5001,2),IF(E181&gt;0,VLOOKUP(E181,Направление!A$1:B$4830,2))))))</f>
        <v>Субсидия на ремонт дорожных объектов муниципальной собственности</v>
      </c>
      <c r="B181" s="152"/>
      <c r="C181" s="153"/>
      <c r="D181" s="155"/>
      <c r="E181" s="153">
        <v>75626</v>
      </c>
      <c r="F181" s="155"/>
      <c r="G181" s="502">
        <v>62210986.719999999</v>
      </c>
      <c r="H181" s="502">
        <f>H183+H182</f>
        <v>0</v>
      </c>
      <c r="I181" s="161">
        <f t="shared" si="2"/>
        <v>62210986.719999999</v>
      </c>
    </row>
    <row r="182" spans="1:9" s="150" customFormat="1" ht="47.25" x14ac:dyDescent="0.25">
      <c r="A182" s="157" t="str">
        <f>IF(B182&gt;0,VLOOKUP(B182,КВСР!A92:B1257,2),IF(C182&gt;0,VLOOKUP(C182,КФСР!A92:B1604,2),IF(D182&gt;0,VLOOKUP(D182,Программа!A$1:B$5100,2),IF(F182&gt;0,VLOOKUP(F182,КВР!A$1:B$5001,2),IF(E182&gt;0,VLOOKUP(E182,Направление!A$1:B$4830,2))))))</f>
        <v>Капитальные вложения в объекты государственной (муниципальной) собственности</v>
      </c>
      <c r="B182" s="152"/>
      <c r="C182" s="153"/>
      <c r="D182" s="155"/>
      <c r="E182" s="153"/>
      <c r="F182" s="155">
        <v>400</v>
      </c>
      <c r="G182" s="502">
        <v>3203833</v>
      </c>
      <c r="H182" s="160"/>
      <c r="I182" s="161">
        <f>SUM(G182:H182)</f>
        <v>3203833</v>
      </c>
    </row>
    <row r="183" spans="1:9" s="150" customFormat="1" ht="63" x14ac:dyDescent="0.25">
      <c r="A183" s="157" t="str">
        <f>IF(B183&gt;0,VLOOKUP(B183,КВСР!A92:B1257,2),IF(C183&gt;0,VLOOKUP(C183,КФСР!A92:B1604,2),IF(D183&gt;0,VLOOKUP(D183,Программа!A$1:B$5100,2),IF(F183&gt;0,VLOOKUP(F183,КВР!A$1:B$5001,2),IF(E183&gt;0,VLOOKUP(E183,Направление!A$1:B$4830,2))))))</f>
        <v>Предоставление субсидий бюджетным, автономным учреждениям и иным некоммерческим организациям</v>
      </c>
      <c r="B183" s="152"/>
      <c r="C183" s="153"/>
      <c r="D183" s="155"/>
      <c r="E183" s="153"/>
      <c r="F183" s="155">
        <v>600</v>
      </c>
      <c r="G183" s="502">
        <v>59007153.719999999</v>
      </c>
      <c r="H183" s="160"/>
      <c r="I183" s="161">
        <f t="shared" si="2"/>
        <v>59007153.719999999</v>
      </c>
    </row>
    <row r="184" spans="1:9" s="150" customFormat="1" ht="47.25" x14ac:dyDescent="0.25">
      <c r="A184" s="157" t="str">
        <f>IF(B184&gt;0,VLOOKUP(B184,КВСР!A93:B1258,2),IF(C184&gt;0,VLOOKUP(C184,КФСР!A93:B1605,2),IF(D184&gt;0,VLOOKUP(D184,Программа!A$1:B$5100,2),IF(F184&gt;0,VLOOKUP(F184,КВР!A$1:B$5001,2),IF(E184&gt;0,VLOOKUP(E184,Направление!A$1:B$4830,2))))))</f>
        <v>Обеспечение   мероприятий в области  дорожного хозяйства  на  ремонт и содержание автомобильных дорог</v>
      </c>
      <c r="B184" s="152"/>
      <c r="C184" s="153"/>
      <c r="D184" s="155"/>
      <c r="E184" s="153">
        <v>22446</v>
      </c>
      <c r="F184" s="155"/>
      <c r="G184" s="502">
        <v>1778173</v>
      </c>
      <c r="H184" s="502">
        <f>H185</f>
        <v>0</v>
      </c>
      <c r="I184" s="161">
        <f t="shared" si="2"/>
        <v>1778173</v>
      </c>
    </row>
    <row r="185" spans="1:9" s="150" customFormat="1" ht="63" x14ac:dyDescent="0.25">
      <c r="A185" s="157" t="str">
        <f>IF(B185&gt;0,VLOOKUP(B185,КВСР!A94:B1259,2),IF(C185&gt;0,VLOOKUP(C185,КФСР!A94:B1606,2),IF(D185&gt;0,VLOOKUP(D185,Программа!A$1:B$5100,2),IF(F185&gt;0,VLOOKUP(F185,КВР!A$1:B$5001,2),IF(E185&gt;0,VLOOKUP(E185,Направление!A$1:B$4830,2))))))</f>
        <v>Предоставление субсидий бюджетным, автономным учреждениям и иным некоммерческим организациям</v>
      </c>
      <c r="B185" s="152"/>
      <c r="C185" s="153"/>
      <c r="D185" s="155"/>
      <c r="E185" s="153"/>
      <c r="F185" s="155">
        <v>600</v>
      </c>
      <c r="G185" s="502">
        <v>1778173</v>
      </c>
      <c r="H185" s="160"/>
      <c r="I185" s="161">
        <f t="shared" si="2"/>
        <v>1778173</v>
      </c>
    </row>
    <row r="186" spans="1:9" s="150" customFormat="1" ht="63" x14ac:dyDescent="0.25">
      <c r="A186" s="157" t="str">
        <f>IF(B186&gt;0,VLOOKUP(B186,КВСР!A95:B1260,2),IF(C186&gt;0,VLOOKUP(C186,КФСР!A95:B1607,2),IF(D186&gt;0,VLOOKUP(D186,Программа!A$1:B$5100,2),IF(F186&gt;0,VLOOKUP(F186,КВР!A$1:B$5001,2),IF(E186&gt;0,VLOOKUP(E186,Направление!A$1:B$4830,2))))))</f>
        <v>Мероприятия по благоустройству и ремонту дворовых территории в рамках софинансирования инициативного бюджетирования</v>
      </c>
      <c r="B186" s="152"/>
      <c r="C186" s="153"/>
      <c r="D186" s="155"/>
      <c r="E186" s="418">
        <v>25356</v>
      </c>
      <c r="F186" s="155"/>
      <c r="G186" s="502">
        <v>897855</v>
      </c>
      <c r="H186" s="502">
        <f>H187</f>
        <v>0</v>
      </c>
      <c r="I186" s="161">
        <f t="shared" si="2"/>
        <v>897855</v>
      </c>
    </row>
    <row r="187" spans="1:9" s="150" customFormat="1" ht="63" x14ac:dyDescent="0.25">
      <c r="A187" s="157" t="str">
        <f>IF(B187&gt;0,VLOOKUP(B187,КВСР!A96:B1261,2),IF(C187&gt;0,VLOOKUP(C187,КФСР!A96:B1608,2),IF(D187&gt;0,VLOOKUP(D187,Программа!A$1:B$5100,2),IF(F187&gt;0,VLOOKUP(F187,КВР!A$1:B$5001,2),IF(E187&gt;0,VLOOKUP(E187,Направление!A$1:B$4830,2))))))</f>
        <v>Предоставление субсидий бюджетным, автономным учреждениям и иным некоммерческим организациям</v>
      </c>
      <c r="B187" s="152"/>
      <c r="C187" s="153"/>
      <c r="D187" s="155"/>
      <c r="E187" s="153"/>
      <c r="F187" s="155">
        <v>600</v>
      </c>
      <c r="G187" s="502">
        <v>897855</v>
      </c>
      <c r="H187" s="160"/>
      <c r="I187" s="161">
        <f t="shared" si="2"/>
        <v>897855</v>
      </c>
    </row>
    <row r="188" spans="1:9" s="150" customFormat="1" ht="47.25" x14ac:dyDescent="0.25">
      <c r="A188" s="157" t="str">
        <f>IF(B188&gt;0,VLOOKUP(B188,КВСР!A95:B1260,2),IF(C188&gt;0,VLOOKUP(C188,КФСР!A95:B1607,2),IF(D188&gt;0,VLOOKUP(D188,Программа!A$1:B$5100,2),IF(F188&gt;0,VLOOKUP(F188,КВР!A$1:B$5001,2),IF(E188&gt;0,VLOOKUP(E188,Направление!A$1:B$4830,2))))))</f>
        <v>Субсидия на ремонт дорожных объектов муниципальной собственности</v>
      </c>
      <c r="B188" s="152"/>
      <c r="C188" s="153"/>
      <c r="D188" s="155"/>
      <c r="E188" s="153">
        <v>25626</v>
      </c>
      <c r="F188" s="155"/>
      <c r="G188" s="502">
        <v>1347000</v>
      </c>
      <c r="H188" s="502">
        <f>H190+H189</f>
        <v>0</v>
      </c>
      <c r="I188" s="161">
        <f t="shared" si="2"/>
        <v>1347000</v>
      </c>
    </row>
    <row r="189" spans="1:9" s="150" customFormat="1" ht="47.25" x14ac:dyDescent="0.25">
      <c r="A189" s="157" t="str">
        <f>IF(B189&gt;0,VLOOKUP(B189,КВСР!A96:B1261,2),IF(C189&gt;0,VLOOKUP(C189,КФСР!A96:B1608,2),IF(D189&gt;0,VLOOKUP(D189,Программа!A$1:B$5100,2),IF(F189&gt;0,VLOOKUP(F189,КВР!A$1:B$5001,2),IF(E189&gt;0,VLOOKUP(E189,Направление!A$1:B$4830,2))))))</f>
        <v>Капитальные вложения в объекты государственной (муниципальной) собственности</v>
      </c>
      <c r="B189" s="152"/>
      <c r="C189" s="153"/>
      <c r="D189" s="155"/>
      <c r="E189" s="153"/>
      <c r="F189" s="155">
        <v>400</v>
      </c>
      <c r="G189" s="502">
        <v>168623</v>
      </c>
      <c r="H189" s="160"/>
      <c r="I189" s="161">
        <f>SUM(G189:H189)</f>
        <v>168623</v>
      </c>
    </row>
    <row r="190" spans="1:9" s="150" customFormat="1" ht="63" x14ac:dyDescent="0.25">
      <c r="A190" s="157" t="str">
        <f>IF(B190&gt;0,VLOOKUP(B190,КВСР!A96:B1261,2),IF(C190&gt;0,VLOOKUP(C190,КФСР!A96:B1608,2),IF(D190&gt;0,VLOOKUP(D190,Программа!A$1:B$5100,2),IF(F190&gt;0,VLOOKUP(F190,КВР!A$1:B$5001,2),IF(E190&gt;0,VLOOKUP(E190,Направление!A$1:B$4830,2))))))</f>
        <v>Предоставление субсидий бюджетным, автономным учреждениям и иным некоммерческим организациям</v>
      </c>
      <c r="B190" s="152"/>
      <c r="C190" s="153"/>
      <c r="D190" s="155"/>
      <c r="E190" s="153"/>
      <c r="F190" s="155">
        <v>600</v>
      </c>
      <c r="G190" s="502">
        <v>1178377</v>
      </c>
      <c r="H190" s="160"/>
      <c r="I190" s="161">
        <f t="shared" si="2"/>
        <v>1178377</v>
      </c>
    </row>
    <row r="191" spans="1:9" s="150" customFormat="1" ht="47.25" x14ac:dyDescent="0.25">
      <c r="A191" s="157" t="str">
        <f>IF(B191&gt;0,VLOOKUP(B191,КВСР!A97:B1262,2),IF(C191&gt;0,VLOOKUP(C191,КФСР!A97:B1609,2),IF(D191&gt;0,VLOOKUP(D191,Программа!A$1:B$5100,2),IF(F191&gt;0,VLOOKUP(F191,КВР!A$1:B$5001,2),IF(E191&gt;0,VLOOKUP(E191,Направление!A$1:B$4830,2))))))</f>
        <v xml:space="preserve">Мероприятия по содержанию территории города  из средств гранта района </v>
      </c>
      <c r="B191" s="152"/>
      <c r="C191" s="153"/>
      <c r="D191" s="155"/>
      <c r="E191" s="153">
        <v>75876</v>
      </c>
      <c r="F191" s="155"/>
      <c r="G191" s="502">
        <f>G192</f>
        <v>0</v>
      </c>
      <c r="H191" s="502">
        <f>H192</f>
        <v>2500000</v>
      </c>
      <c r="I191" s="502">
        <f>I192</f>
        <v>2500000</v>
      </c>
    </row>
    <row r="192" spans="1:9" s="150" customFormat="1" ht="63" x14ac:dyDescent="0.25">
      <c r="A192" s="157" t="str">
        <f>IF(B192&gt;0,VLOOKUP(B192,КВСР!A98:B1263,2),IF(C192&gt;0,VLOOKUP(C192,КФСР!A98:B1610,2),IF(D192&gt;0,VLOOKUP(D192,Программа!A$1:B$5100,2),IF(F192&gt;0,VLOOKUP(F192,КВР!A$1:B$5001,2),IF(E192&gt;0,VLOOKUP(E192,Направление!A$1:B$4830,2))))))</f>
        <v>Предоставление субсидий бюджетным, автономным учреждениям и иным некоммерческим организациям</v>
      </c>
      <c r="B192" s="152"/>
      <c r="C192" s="153"/>
      <c r="D192" s="155"/>
      <c r="E192" s="153"/>
      <c r="F192" s="155">
        <v>600</v>
      </c>
      <c r="G192" s="502"/>
      <c r="H192" s="160">
        <v>2500000</v>
      </c>
      <c r="I192" s="161">
        <f>SUM(G192:H192)</f>
        <v>2500000</v>
      </c>
    </row>
    <row r="193" spans="1:9" s="150" customFormat="1" ht="63" x14ac:dyDescent="0.25">
      <c r="A193" s="157" t="str">
        <f>IF(B193&gt;0,VLOOKUP(B193,КВСР!A95:B1260,2),IF(C193&gt;0,VLOOKUP(C193,КФСР!A95:B1607,2),IF(D193&gt;0,VLOOKUP(D193,Программа!A$1:B$5100,2),IF(F193&gt;0,VLOOKUP(F193,КВР!A$1:B$5001,2),IF(E193&gt;0,VLOOKUP(E193,Направление!A$1:B$4830,2))))))</f>
        <v>Муниципальная программа "Формирование  современной городской среды"  Тутаевского муниципального района</v>
      </c>
      <c r="B193" s="152"/>
      <c r="C193" s="153"/>
      <c r="D193" s="155" t="s">
        <v>3167</v>
      </c>
      <c r="E193" s="153"/>
      <c r="F193" s="155"/>
      <c r="G193" s="502">
        <v>17071884.759999998</v>
      </c>
      <c r="H193" s="502">
        <f>H194</f>
        <v>-12715886</v>
      </c>
      <c r="I193" s="161">
        <f t="shared" si="2"/>
        <v>4355998.7599999979</v>
      </c>
    </row>
    <row r="194" spans="1:9" s="150" customFormat="1" ht="63" x14ac:dyDescent="0.25">
      <c r="A194" s="157" t="str">
        <f>IF(B194&gt;0,VLOOKUP(B194,КВСР!A95:B1260,2),IF(C194&gt;0,VLOOKUP(C194,КФСР!A95:B1607,2),IF(D194&gt;0,VLOOKUP(D194,Программа!A$1:B$5100,2),IF(F194&gt;0,VLOOKUP(F194,КВР!A$1:B$5001,2),IF(E194&gt;0,VLOOKUP(E194,Направление!A$1:B$4830,2))))))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194" s="152"/>
      <c r="C194" s="153"/>
      <c r="D194" s="155" t="s">
        <v>3197</v>
      </c>
      <c r="E194" s="153"/>
      <c r="F194" s="155"/>
      <c r="G194" s="502">
        <v>17071884.759999998</v>
      </c>
      <c r="H194" s="502">
        <f>H195+H199+H197</f>
        <v>-12715886</v>
      </c>
      <c r="I194" s="161">
        <f t="shared" si="2"/>
        <v>4355998.7599999979</v>
      </c>
    </row>
    <row r="195" spans="1:9" s="150" customFormat="1" ht="47.25" x14ac:dyDescent="0.25">
      <c r="A195" s="157" t="str">
        <f>IF(B195&gt;0,VLOOKUP(B195,КВСР!A96:B1261,2),IF(C195&gt;0,VLOOKUP(C195,КФСР!A96:B1608,2),IF(D195&gt;0,VLOOKUP(D195,Программа!A$1:B$5100,2),IF(F195&gt;0,VLOOKUP(F195,КВР!A$1:B$5001,2),IF(E195&gt;0,VLOOKUP(E195,Направление!A$1:B$4830,2))))))</f>
        <v>Обеспечение  мероприятий по формированию современной городской среды</v>
      </c>
      <c r="B195" s="152"/>
      <c r="C195" s="153"/>
      <c r="D195" s="155"/>
      <c r="E195" s="153" t="s">
        <v>3279</v>
      </c>
      <c r="F195" s="155"/>
      <c r="G195" s="502">
        <v>13768823</v>
      </c>
      <c r="H195" s="502">
        <f>H196</f>
        <v>-12715886</v>
      </c>
      <c r="I195" s="161">
        <f t="shared" si="2"/>
        <v>1052937</v>
      </c>
    </row>
    <row r="196" spans="1:9" s="150" customFormat="1" ht="63" x14ac:dyDescent="0.25">
      <c r="A196" s="157" t="str">
        <f>IF(B196&gt;0,VLOOKUP(B196,КВСР!A97:B1262,2),IF(C196&gt;0,VLOOKUP(C196,КФСР!A97:B1609,2),IF(D196&gt;0,VLOOKUP(D196,Программа!A$1:B$5100,2),IF(F196&gt;0,VLOOKUP(F196,КВР!A$1:B$5001,2),IF(E196&gt;0,VLOOKUP(E196,Направление!A$1:B$4830,2))))))</f>
        <v>Предоставление субсидий бюджетным, автономным учреждениям и иным некоммерческим организациям</v>
      </c>
      <c r="B196" s="152"/>
      <c r="C196" s="153"/>
      <c r="D196" s="155"/>
      <c r="E196" s="153"/>
      <c r="F196" s="155">
        <v>600</v>
      </c>
      <c r="G196" s="502">
        <v>13768823</v>
      </c>
      <c r="H196" s="160">
        <v>-12715886</v>
      </c>
      <c r="I196" s="161">
        <f t="shared" si="2"/>
        <v>1052937</v>
      </c>
    </row>
    <row r="197" spans="1:9" s="150" customFormat="1" ht="63" x14ac:dyDescent="0.25">
      <c r="A197" s="157" t="str">
        <f>IF(B197&gt;0,VLOOKUP(B197,КВСР!A98:B1263,2),IF(C197&gt;0,VLOOKUP(C197,КФСР!A98:B1610,2),IF(D197&gt;0,VLOOKUP(D197,Программа!A$1:B$5100,2),IF(F197&gt;0,VLOOKUP(F197,КВР!A$1:B$5001,2),IF(E197&gt;0,VLOOKUP(E197,Направление!A$1:B$4830,2))))))</f>
        <v>Обеспечение мероприятий по  формированию современной городской среды в области дорожного хозяйства</v>
      </c>
      <c r="B197" s="152"/>
      <c r="C197" s="153"/>
      <c r="D197" s="155"/>
      <c r="E197" s="153">
        <v>29646</v>
      </c>
      <c r="F197" s="155"/>
      <c r="G197" s="502">
        <v>149164</v>
      </c>
      <c r="H197" s="502">
        <f>H198</f>
        <v>0</v>
      </c>
      <c r="I197" s="502">
        <f>I198</f>
        <v>149164</v>
      </c>
    </row>
    <row r="198" spans="1:9" s="150" customFormat="1" ht="63" x14ac:dyDescent="0.25">
      <c r="A198" s="157" t="str">
        <f>IF(B198&gt;0,VLOOKUP(B198,КВСР!A99:B1264,2),IF(C198&gt;0,VLOOKUP(C198,КФСР!A99:B1611,2),IF(D198&gt;0,VLOOKUP(D198,Программа!A$1:B$5100,2),IF(F198&gt;0,VLOOKUP(F198,КВР!A$1:B$5001,2),IF(E198&gt;0,VLOOKUP(E198,Направление!A$1:B$4830,2))))))</f>
        <v>Предоставление субсидий бюджетным, автономным учреждениям и иным некоммерческим организациям</v>
      </c>
      <c r="B198" s="152"/>
      <c r="C198" s="153"/>
      <c r="D198" s="155"/>
      <c r="E198" s="153"/>
      <c r="F198" s="155">
        <v>600</v>
      </c>
      <c r="G198" s="502">
        <v>149164</v>
      </c>
      <c r="H198" s="160"/>
      <c r="I198" s="161">
        <f>SUM(G198:H198)</f>
        <v>149164</v>
      </c>
    </row>
    <row r="199" spans="1:9" s="150" customFormat="1" ht="31.5" x14ac:dyDescent="0.25">
      <c r="A199" s="157" t="str">
        <f>IF(B199&gt;0,VLOOKUP(B199,КВСР!A98:B1263,2),IF(C199&gt;0,VLOOKUP(C199,КФСР!A98:B1610,2),IF(D199&gt;0,VLOOKUP(D199,Программа!A$1:B$5100,2),IF(F199&gt;0,VLOOKUP(F199,КВР!A$1:B$5001,2),IF(E199&gt;0,VLOOKUP(E199,Направление!A$1:B$4830,2))))))</f>
        <v xml:space="preserve">Субсидия на формирование современной городской среды </v>
      </c>
      <c r="B199" s="152"/>
      <c r="C199" s="153"/>
      <c r="D199" s="155"/>
      <c r="E199" s="153">
        <v>75556</v>
      </c>
      <c r="F199" s="155"/>
      <c r="G199" s="502">
        <v>3153897.76</v>
      </c>
      <c r="H199" s="502">
        <f>H200</f>
        <v>0</v>
      </c>
      <c r="I199" s="161">
        <f t="shared" si="2"/>
        <v>3153897.76</v>
      </c>
    </row>
    <row r="200" spans="1:9" s="150" customFormat="1" ht="63" x14ac:dyDescent="0.25">
      <c r="A200" s="157" t="str">
        <f>IF(B200&gt;0,VLOOKUP(B200,КВСР!A99:B1264,2),IF(C200&gt;0,VLOOKUP(C200,КФСР!A99:B1611,2),IF(D200&gt;0,VLOOKUP(D200,Программа!A$1:B$5100,2),IF(F200&gt;0,VLOOKUP(F200,КВР!A$1:B$5001,2),IF(E200&gt;0,VLOOKUP(E200,Направление!A$1:B$4830,2))))))</f>
        <v>Предоставление субсидий бюджетным, автономным учреждениям и иным некоммерческим организациям</v>
      </c>
      <c r="B200" s="152"/>
      <c r="C200" s="153"/>
      <c r="D200" s="155"/>
      <c r="E200" s="153"/>
      <c r="F200" s="155">
        <v>600</v>
      </c>
      <c r="G200" s="502">
        <v>3153897.76</v>
      </c>
      <c r="H200" s="160"/>
      <c r="I200" s="161">
        <f t="shared" si="2"/>
        <v>3153897.76</v>
      </c>
    </row>
    <row r="201" spans="1:9" s="150" customFormat="1" x14ac:dyDescent="0.25">
      <c r="A201" s="157" t="str">
        <f>IF(B201&gt;0,VLOOKUP(B201,КВСР!A100:B1265,2),IF(C201&gt;0,VLOOKUP(C201,КФСР!A100:B1612,2),IF(D201&gt;0,VLOOKUP(D201,Программа!A$1:B$5100,2),IF(F201&gt;0,VLOOKUP(F201,КВР!A$1:B$5001,2),IF(E201&gt;0,VLOOKUP(E201,Направление!A$1:B$4830,2))))))</f>
        <v>Непрограммные расходы бюджета</v>
      </c>
      <c r="B201" s="152"/>
      <c r="C201" s="153"/>
      <c r="D201" s="155" t="s">
        <v>626</v>
      </c>
      <c r="E201" s="153"/>
      <c r="F201" s="155"/>
      <c r="G201" s="502">
        <v>1389926.2599999998</v>
      </c>
      <c r="H201" s="502">
        <f>H202+H206+H204</f>
        <v>0</v>
      </c>
      <c r="I201" s="161">
        <f>SUM(G201:H201)</f>
        <v>1389926.2599999998</v>
      </c>
    </row>
    <row r="202" spans="1:9" s="150" customFormat="1" ht="63" hidden="1" x14ac:dyDescent="0.25">
      <c r="A202" s="157" t="str">
        <f>IF(B202&gt;0,VLOOKUP(B202,КВСР!A101:B1266,2),IF(C202&gt;0,VLOOKUP(C202,КФСР!A101:B1613,2),IF(D202&gt;0,VLOOKUP(D202,Программа!A$1:B$5100,2),IF(F202&gt;0,VLOOKUP(F202,КВР!A$1:B$5001,2),IF(E202&gt;0,VLOOKUP(E202,Направление!A$1:B$4830,2))))))</f>
        <v>Обеспечение мероприятий по разработке комплексных схем организации дорожного движения в рамках агломерации "Ярославская"</v>
      </c>
      <c r="B202" s="152"/>
      <c r="C202" s="153"/>
      <c r="D202" s="155"/>
      <c r="E202" s="418">
        <v>29726</v>
      </c>
      <c r="F202" s="155"/>
      <c r="G202" s="502">
        <v>0.26000000000931323</v>
      </c>
      <c r="H202" s="502">
        <f>H203</f>
        <v>0</v>
      </c>
      <c r="I202" s="161">
        <f t="shared" si="2"/>
        <v>0.26000000000931323</v>
      </c>
    </row>
    <row r="203" spans="1:9" s="150" customFormat="1" ht="63" hidden="1" x14ac:dyDescent="0.25">
      <c r="A203" s="157" t="str">
        <f>IF(B203&gt;0,VLOOKUP(B203,КВСР!A102:B1267,2),IF(C203&gt;0,VLOOKUP(C203,КФСР!A102:B1614,2),IF(D203&gt;0,VLOOKUP(D203,Программа!A$1:B$5100,2),IF(F203&gt;0,VLOOKUP(F203,КВР!A$1:B$5001,2),IF(E203&gt;0,VLOOKUP(E203,Направление!A$1:B$4830,2))))))</f>
        <v>Предоставление субсидий бюджетным, автономным учреждениям и иным некоммерческим организациям</v>
      </c>
      <c r="B203" s="152"/>
      <c r="C203" s="153"/>
      <c r="D203" s="155"/>
      <c r="E203" s="153"/>
      <c r="F203" s="155">
        <v>600</v>
      </c>
      <c r="G203" s="502">
        <v>0.26000000000931323</v>
      </c>
      <c r="H203" s="160"/>
      <c r="I203" s="161">
        <f t="shared" si="2"/>
        <v>0.26000000000931323</v>
      </c>
    </row>
    <row r="204" spans="1:9" s="150" customFormat="1" ht="78.75" x14ac:dyDescent="0.25">
      <c r="A204" s="157" t="str">
        <f>IF(B204&gt;0,VLOOKUP(B204,КВСР!A103:B1268,2),IF(C204&gt;0,VLOOKUP(C204,КФСР!A103:B1615,2),IF(D204&gt;0,VLOOKUP(D204,Программа!A$1:B$5100,2),IF(F204&gt;0,VLOOKUP(F204,КВР!A$1:B$5001,2),IF(E204&gt;0,VLOOKUP(E204,Направление!A$1:B$4830,2))))))</f>
        <v>Обеспечение софинансирования мероприятий по  по разработке комплексных схем организации дорожного движения в рамках агломерации "Ярославская"</v>
      </c>
      <c r="B204" s="152"/>
      <c r="C204" s="153"/>
      <c r="D204" s="155"/>
      <c r="E204" s="153">
        <v>23906</v>
      </c>
      <c r="F204" s="155"/>
      <c r="G204" s="502">
        <v>138993</v>
      </c>
      <c r="H204" s="502">
        <f>H205</f>
        <v>0</v>
      </c>
      <c r="I204" s="161">
        <f>SUM(G204:H204)</f>
        <v>138993</v>
      </c>
    </row>
    <row r="205" spans="1:9" s="150" customFormat="1" ht="63" x14ac:dyDescent="0.25">
      <c r="A205" s="157" t="str">
        <f>IF(B205&gt;0,VLOOKUP(B205,КВСР!A104:B1269,2),IF(C205&gt;0,VLOOKUP(C205,КФСР!A104:B1616,2),IF(D205&gt;0,VLOOKUP(D205,Программа!A$1:B$5100,2),IF(F205&gt;0,VLOOKUP(F205,КВР!A$1:B$5001,2),IF(E205&gt;0,VLOOKUP(E205,Направление!A$1:B$4830,2))))))</f>
        <v>Предоставление субсидий бюджетным, автономным учреждениям и иным некоммерческим организациям</v>
      </c>
      <c r="B205" s="152"/>
      <c r="C205" s="153"/>
      <c r="D205" s="155"/>
      <c r="E205" s="153"/>
      <c r="F205" s="155">
        <v>600</v>
      </c>
      <c r="G205" s="502">
        <v>138993</v>
      </c>
      <c r="H205" s="160"/>
      <c r="I205" s="161">
        <f>SUM(G205:H205)</f>
        <v>138993</v>
      </c>
    </row>
    <row r="206" spans="1:9" s="150" customFormat="1" ht="47.25" x14ac:dyDescent="0.25">
      <c r="A206" s="157" t="str">
        <f>IF(B206&gt;0,VLOOKUP(B206,КВСР!A103:B1268,2),IF(C206&gt;0,VLOOKUP(C206,КФСР!A103:B1615,2),IF(D206&gt;0,VLOOKUP(D206,Программа!A$1:B$5100,2),IF(F206&gt;0,VLOOKUP(F206,КВР!A$1:B$5001,2),IF(E206&gt;0,VLOOKUP(E206,Направление!A$1:B$4830,2))))))</f>
        <v>Расходы на комплексное развитие транспортной инфраструктуры городской агломерации "Ярославская"</v>
      </c>
      <c r="B206" s="152"/>
      <c r="C206" s="153"/>
      <c r="D206" s="155"/>
      <c r="E206" s="153">
        <v>73906</v>
      </c>
      <c r="F206" s="155"/>
      <c r="G206" s="502">
        <v>1250933</v>
      </c>
      <c r="H206" s="502">
        <f>H207</f>
        <v>0</v>
      </c>
      <c r="I206" s="502">
        <f>I207</f>
        <v>1250933</v>
      </c>
    </row>
    <row r="207" spans="1:9" s="150" customFormat="1" ht="63" x14ac:dyDescent="0.25">
      <c r="A207" s="157" t="str">
        <f>IF(B207&gt;0,VLOOKUP(B207,КВСР!A104:B1269,2),IF(C207&gt;0,VLOOKUP(C207,КФСР!A104:B1616,2),IF(D207&gt;0,VLOOKUP(D207,Программа!A$1:B$5100,2),IF(F207&gt;0,VLOOKUP(F207,КВР!A$1:B$5001,2),IF(E207&gt;0,VLOOKUP(E207,Направление!A$1:B$4830,2))))))</f>
        <v>Предоставление субсидий бюджетным, автономным учреждениям и иным некоммерческим организациям</v>
      </c>
      <c r="B207" s="152"/>
      <c r="C207" s="153"/>
      <c r="D207" s="155"/>
      <c r="E207" s="153"/>
      <c r="F207" s="155">
        <v>600</v>
      </c>
      <c r="G207" s="502">
        <v>1250933</v>
      </c>
      <c r="H207" s="160"/>
      <c r="I207" s="161">
        <f>SUM(G207:H207)</f>
        <v>1250933</v>
      </c>
    </row>
    <row r="208" spans="1:9" s="150" customFormat="1" ht="31.5" x14ac:dyDescent="0.25">
      <c r="A208" s="157" t="str">
        <f>IF(B208&gt;0,VLOOKUP(B208,КВСР!A98:B1263,2),IF(C208&gt;0,VLOOKUP(C208,КФСР!A98:B1610,2),IF(D208&gt;0,VLOOKUP(D208,Программа!A$1:B$5100,2),IF(F208&gt;0,VLOOKUP(F208,КВР!A$1:B$5001,2),IF(E208&gt;0,VLOOKUP(E208,Направление!A$1:B$4830,2))))))</f>
        <v>Межбюджетные трансферты  поселениям района</v>
      </c>
      <c r="B208" s="152"/>
      <c r="C208" s="153"/>
      <c r="D208" s="155" t="s">
        <v>801</v>
      </c>
      <c r="E208" s="153"/>
      <c r="F208" s="155"/>
      <c r="G208" s="502">
        <v>89165492.180000007</v>
      </c>
      <c r="H208" s="502">
        <f>H209+H211+H215+H213</f>
        <v>0</v>
      </c>
      <c r="I208" s="161">
        <f t="shared" si="2"/>
        <v>89165492.180000007</v>
      </c>
    </row>
    <row r="209" spans="1:9" s="150" customFormat="1" ht="63" x14ac:dyDescent="0.25">
      <c r="A209" s="686" t="str">
        <f>IF(B209&gt;0,VLOOKUP(B209,КВСР!A99:B1264,2),IF(C209&gt;0,VLOOKUP(C209,КФСР!A99:B1611,2),IF(D209&gt;0,VLOOKUP(D209,Программа!A$1:B$5100,2),IF(F209&gt;0,VLOOKUP(F209,КВР!A$1:B$5001,2),IF(E209&gt;0,VLOOKUP(E209,Направление!A$1:B$4830,2))))))</f>
        <v>Субсидия на комплексное развитие транспортной инфраструктуры городской агломерации "Ярославская" за счет средств областного бюджета</v>
      </c>
      <c r="B209" s="188"/>
      <c r="C209" s="154"/>
      <c r="D209" s="154"/>
      <c r="E209" s="153">
        <v>73900</v>
      </c>
      <c r="F209" s="155"/>
      <c r="G209" s="502">
        <v>1250933</v>
      </c>
      <c r="H209" s="502">
        <f>H210</f>
        <v>0</v>
      </c>
      <c r="I209" s="161">
        <f t="shared" si="2"/>
        <v>1250933</v>
      </c>
    </row>
    <row r="210" spans="1:9" s="150" customFormat="1" x14ac:dyDescent="0.25">
      <c r="A210" s="157" t="str">
        <f>IF(B210&gt;0,VLOOKUP(B210,КВСР!A100:B1265,2),IF(C210&gt;0,VLOOKUP(C210,КФСР!A100:B1612,2),IF(D210&gt;0,VLOOKUP(D210,Программа!A$1:B$5100,2),IF(F210&gt;0,VLOOKUP(F210,КВР!A$1:B$5001,2),IF(E210&gt;0,VLOOKUP(E210,Направление!A$1:B$4830,2))))))</f>
        <v xml:space="preserve"> Межбюджетные трансферты</v>
      </c>
      <c r="B210" s="152"/>
      <c r="C210" s="153"/>
      <c r="D210" s="155"/>
      <c r="E210" s="153"/>
      <c r="F210" s="155">
        <v>500</v>
      </c>
      <c r="G210" s="502">
        <v>1250933</v>
      </c>
      <c r="H210" s="160"/>
      <c r="I210" s="161">
        <f t="shared" si="2"/>
        <v>1250933</v>
      </c>
    </row>
    <row r="211" spans="1:9" s="150" customFormat="1" ht="47.25" x14ac:dyDescent="0.25">
      <c r="A211" s="157" t="str">
        <f>IF(B211&gt;0,VLOOKUP(B211,КВСР!A101:B1266,2),IF(C211&gt;0,VLOOKUP(C211,КФСР!A101:B1613,2),IF(D211&gt;0,VLOOKUP(D211,Программа!A$1:B$5100,2),IF(F211&gt;0,VLOOKUP(F211,КВР!A$1:B$5001,2),IF(E211&gt;0,VLOOKUP(E211,Направление!A$1:B$4830,2))))))</f>
        <v>Расходы на финансирование дорожного хозяйства за счет средств областного бюджета</v>
      </c>
      <c r="B211" s="152"/>
      <c r="C211" s="153"/>
      <c r="D211" s="155"/>
      <c r="E211" s="153">
        <v>72440</v>
      </c>
      <c r="F211" s="155"/>
      <c r="G211" s="502">
        <v>22549674.699999999</v>
      </c>
      <c r="H211" s="502">
        <f>H212</f>
        <v>0</v>
      </c>
      <c r="I211" s="161">
        <f t="shared" si="2"/>
        <v>22549674.699999999</v>
      </c>
    </row>
    <row r="212" spans="1:9" s="150" customFormat="1" x14ac:dyDescent="0.25">
      <c r="A212" s="157" t="str">
        <f>IF(B212&gt;0,VLOOKUP(B212,КВСР!A102:B1267,2),IF(C212&gt;0,VLOOKUP(C212,КФСР!A102:B1614,2),IF(D212&gt;0,VLOOKUP(D212,Программа!A$1:B$5100,2),IF(F212&gt;0,VLOOKUP(F212,КВР!A$1:B$5001,2),IF(E212&gt;0,VLOOKUP(E212,Направление!A$1:B$4830,2))))))</f>
        <v xml:space="preserve"> Межбюджетные трансферты</v>
      </c>
      <c r="B212" s="152"/>
      <c r="C212" s="153"/>
      <c r="D212" s="155"/>
      <c r="E212" s="153"/>
      <c r="F212" s="155">
        <v>500</v>
      </c>
      <c r="G212" s="502">
        <v>22549674.699999999</v>
      </c>
      <c r="H212" s="160"/>
      <c r="I212" s="161">
        <f t="shared" si="2"/>
        <v>22549674.699999999</v>
      </c>
    </row>
    <row r="213" spans="1:9" s="150" customFormat="1" ht="47.25" x14ac:dyDescent="0.25">
      <c r="A213" s="157" t="str">
        <f>IF(B213&gt;0,VLOOKUP(B213,КВСР!A103:B1268,2),IF(C213&gt;0,VLOOKUP(C213,КФСР!A103:B1615,2),IF(D213&gt;0,VLOOKUP(D213,Программа!A$1:B$5100,2),IF(F213&gt;0,VLOOKUP(F213,КВР!A$1:B$5001,2),IF(E213&gt;0,VLOOKUP(E213,Направление!A$1:B$4830,2))))))</f>
        <v>Субсидия на формирование современной городской среды  (кредиторская задолженность)</v>
      </c>
      <c r="B213" s="152"/>
      <c r="C213" s="153"/>
      <c r="D213" s="155"/>
      <c r="E213" s="153">
        <v>75550</v>
      </c>
      <c r="F213" s="155"/>
      <c r="G213" s="502">
        <v>3153897.76</v>
      </c>
      <c r="H213" s="502">
        <f>H214</f>
        <v>0</v>
      </c>
      <c r="I213" s="161">
        <f t="shared" si="2"/>
        <v>3153897.76</v>
      </c>
    </row>
    <row r="214" spans="1:9" s="150" customFormat="1" x14ac:dyDescent="0.25">
      <c r="A214" s="157" t="str">
        <f>IF(B214&gt;0,VLOOKUP(B214,КВСР!A104:B1269,2),IF(C214&gt;0,VLOOKUP(C214,КФСР!A104:B1616,2),IF(D214&gt;0,VLOOKUP(D214,Программа!A$1:B$5100,2),IF(F214&gt;0,VLOOKUP(F214,КВР!A$1:B$5001,2),IF(E214&gt;0,VLOOKUP(E214,Направление!A$1:B$4830,2))))))</f>
        <v xml:space="preserve"> Межбюджетные трансферты</v>
      </c>
      <c r="B214" s="152"/>
      <c r="C214" s="153"/>
      <c r="D214" s="155"/>
      <c r="E214" s="153"/>
      <c r="F214" s="155">
        <v>500</v>
      </c>
      <c r="G214" s="502">
        <v>3153897.76</v>
      </c>
      <c r="H214" s="160"/>
      <c r="I214" s="161">
        <f t="shared" si="2"/>
        <v>3153897.76</v>
      </c>
    </row>
    <row r="215" spans="1:9" s="150" customFormat="1" ht="63" x14ac:dyDescent="0.25">
      <c r="A215" s="157" t="str">
        <f>IF(B215&gt;0,VLOOKUP(B215,КВСР!A103:B1268,2),IF(C215&gt;0,VLOOKUP(C215,КФСР!A103:B1615,2),IF(D215&gt;0,VLOOKUP(D215,Программа!A$1:B$5100,2),IF(F215&gt;0,VLOOKUP(F215,КВР!A$1:B$5001,2),IF(E215&gt;0,VLOOKUP(E215,Направление!A$1:B$4830,2))))))</f>
        <v>Субсидия на капитальный ремонт и ремонт дорожных объектов мунициальной собственности  из бюджета ЯО</v>
      </c>
      <c r="B215" s="152"/>
      <c r="C215" s="153"/>
      <c r="D215" s="155"/>
      <c r="E215" s="153">
        <v>75620</v>
      </c>
      <c r="F215" s="155"/>
      <c r="G215" s="502">
        <v>62210986.719999999</v>
      </c>
      <c r="H215" s="502">
        <f>H216</f>
        <v>0</v>
      </c>
      <c r="I215" s="161">
        <f t="shared" si="2"/>
        <v>62210986.719999999</v>
      </c>
    </row>
    <row r="216" spans="1:9" s="150" customFormat="1" x14ac:dyDescent="0.25">
      <c r="A216" s="157" t="str">
        <f>IF(B216&gt;0,VLOOKUP(B216,КВСР!A104:B1269,2),IF(C216&gt;0,VLOOKUP(C216,КФСР!A104:B1616,2),IF(D216&gt;0,VLOOKUP(D216,Программа!A$1:B$5100,2),IF(F216&gt;0,VLOOKUP(F216,КВР!A$1:B$5001,2),IF(E216&gt;0,VLOOKUP(E216,Направление!A$1:B$4830,2))))))</f>
        <v xml:space="preserve"> Межбюджетные трансферты</v>
      </c>
      <c r="B216" s="152"/>
      <c r="C216" s="153"/>
      <c r="D216" s="155"/>
      <c r="E216" s="153"/>
      <c r="F216" s="155">
        <v>500</v>
      </c>
      <c r="G216" s="502">
        <v>62210986.719999999</v>
      </c>
      <c r="H216" s="160"/>
      <c r="I216" s="161">
        <f t="shared" si="2"/>
        <v>62210986.719999999</v>
      </c>
    </row>
    <row r="217" spans="1:9" s="150" customFormat="1" ht="31.5" x14ac:dyDescent="0.25">
      <c r="A217" s="157" t="str">
        <f>IF(B217&gt;0,VLOOKUP(B217,КВСР!A48:B1213,2),IF(C217&gt;0,VLOOKUP(C217,КФСР!A48:B1560,2),IF(D217&gt;0,VLOOKUP(D217,Программа!A$1:B$5100,2),IF(F218&gt;0,VLOOKUP(F218,КВР!A$1:B$5001,2),IF(E217&gt;0,VLOOKUP(E217,Направление!A$1:B$4830,2))))))</f>
        <v>Другие вопросы в области национальной экономики</v>
      </c>
      <c r="B217" s="158"/>
      <c r="C217" s="153">
        <v>412</v>
      </c>
      <c r="D217" s="154"/>
      <c r="E217" s="153"/>
      <c r="F217" s="155"/>
      <c r="G217" s="504">
        <v>4230587</v>
      </c>
      <c r="H217" s="159">
        <f>H218+H236</f>
        <v>-55000</v>
      </c>
      <c r="I217" s="161">
        <f t="shared" si="2"/>
        <v>4175587</v>
      </c>
    </row>
    <row r="218" spans="1:9" s="150" customFormat="1" ht="94.5" x14ac:dyDescent="0.25">
      <c r="A218" s="157" t="str">
        <f>IF(B218&gt;0,VLOOKUP(B218,КВСР!A49:B1214,2),IF(C218&gt;0,VLOOKUP(C218,КФСР!A49:B1561,2),IF(D218&gt;0,VLOOKUP(D218,Программа!A$1:B$5100,2),IF(F219&gt;0,VLOOKUP(F219,КВР!A$1:B$5001,2),IF(E218&gt;0,VLOOKUP(E218,Направление!A$1:B$4830,2))))))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218" s="158"/>
      <c r="C218" s="153"/>
      <c r="D218" s="154" t="s">
        <v>655</v>
      </c>
      <c r="E218" s="153"/>
      <c r="F218" s="155"/>
      <c r="G218" s="504">
        <v>4230587</v>
      </c>
      <c r="H218" s="159">
        <f>H228+H219</f>
        <v>-55000</v>
      </c>
      <c r="I218" s="161">
        <f t="shared" si="2"/>
        <v>4175587</v>
      </c>
    </row>
    <row r="219" spans="1:9" s="150" customFormat="1" ht="63" x14ac:dyDescent="0.25">
      <c r="A219" s="157" t="str">
        <f>IF(B219&gt;0,VLOOKUP(B219,КВСР!A50:B1215,2),IF(C219&gt;0,VLOOKUP(C219,КФСР!A50:B1562,2),IF(D219&gt;0,VLOOKUP(D219,Программа!A$1:B$5100,2),IF(F220&gt;0,VLOOKUP(F220,КВР!A$1:B$5001,2),IF(E219&gt;0,VLOOKUP(E219,Направление!A$1:B$4830,2))))))</f>
        <v>Муниципальная целевая программа «Развитие субъектов малого и среднего предпринимательства Тутаевского муниципального района»</v>
      </c>
      <c r="B219" s="158"/>
      <c r="C219" s="153"/>
      <c r="D219" s="154" t="s">
        <v>666</v>
      </c>
      <c r="E219" s="153"/>
      <c r="F219" s="155"/>
      <c r="G219" s="504">
        <v>4000001</v>
      </c>
      <c r="H219" s="159">
        <f>H220+H223</f>
        <v>0</v>
      </c>
      <c r="I219" s="161">
        <f t="shared" si="2"/>
        <v>4000001</v>
      </c>
    </row>
    <row r="220" spans="1:9" s="150" customFormat="1" ht="94.5" hidden="1" x14ac:dyDescent="0.25">
      <c r="A220" s="157" t="str">
        <f>IF(B220&gt;0,VLOOKUP(B220,КВСР!A51:B1216,2),IF(C220&gt;0,VLOOKUP(C220,КФСР!A51:B1563,2),IF(D220&gt;0,VLOOKUP(D220,Программа!A$1:B$5100,2),IF(F221&gt;0,VLOOKUP(F221,КВР!A$1:B$5001,2),IF(E220&gt;0,VLOOKUP(E220,Направление!A$1:B$4830,2))))))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220" s="158"/>
      <c r="C220" s="153"/>
      <c r="D220" s="154" t="s">
        <v>668</v>
      </c>
      <c r="E220" s="153"/>
      <c r="F220" s="155"/>
      <c r="G220" s="504">
        <v>0</v>
      </c>
      <c r="H220" s="159">
        <f>H221</f>
        <v>0</v>
      </c>
      <c r="I220" s="161">
        <f t="shared" si="2"/>
        <v>0</v>
      </c>
    </row>
    <row r="221" spans="1:9" s="150" customFormat="1" ht="63" hidden="1" x14ac:dyDescent="0.25">
      <c r="A221" s="157" t="str">
        <f>IF(B221&gt;0,VLOOKUP(B221,КВСР!A52:B1217,2),IF(C221&gt;0,VLOOKUP(C221,КФСР!A52:B1564,2),IF(D221&gt;0,VLOOKUP(D221,Программа!A$1:B$5100,2),IF(F222&gt;0,VLOOKUP(F222,КВР!A$1:B$5001,2),IF(E221&gt;0,VLOOKUP(E221,Направление!A$1:B$4830,2))))))</f>
        <v xml:space="preserve">Закупка товаров, работ и услуг для обеспечения государственных (муниципальных) нужд
</v>
      </c>
      <c r="B221" s="158"/>
      <c r="C221" s="153"/>
      <c r="D221" s="154"/>
      <c r="E221" s="153">
        <v>10300</v>
      </c>
      <c r="F221" s="155"/>
      <c r="G221" s="504">
        <v>0</v>
      </c>
      <c r="H221" s="159">
        <f>H222</f>
        <v>0</v>
      </c>
      <c r="I221" s="161">
        <f t="shared" si="2"/>
        <v>0</v>
      </c>
    </row>
    <row r="222" spans="1:9" s="150" customFormat="1" ht="63" hidden="1" x14ac:dyDescent="0.25">
      <c r="A222" s="157" t="str">
        <f>IF(B222&gt;0,VLOOKUP(B222,КВСР!A53:B1218,2),IF(C222&gt;0,VLOOKUP(C222,КФСР!A53:B1565,2),IF(D222&gt;0,VLOOKUP(D222,Программа!A$1:B$5100,2),IF(F222&gt;0,VLOOKUP(F222,КВР!A$1:B$5001,2),IF(E222&gt;0,VLOOKUP(E222,Направление!A$1:B$4830,2))))))</f>
        <v xml:space="preserve">Закупка товаров, работ и услуг для обеспечения государственных (муниципальных) нужд
</v>
      </c>
      <c r="B222" s="158"/>
      <c r="C222" s="153"/>
      <c r="D222" s="154"/>
      <c r="E222" s="153"/>
      <c r="F222" s="155">
        <v>200</v>
      </c>
      <c r="G222" s="616">
        <v>0</v>
      </c>
      <c r="H222" s="169"/>
      <c r="I222" s="161">
        <f t="shared" si="2"/>
        <v>0</v>
      </c>
    </row>
    <row r="223" spans="1:9" s="150" customFormat="1" ht="47.25" x14ac:dyDescent="0.25">
      <c r="A223" s="157" t="str">
        <f>IF(B223&gt;0,VLOOKUP(B223,КВСР!A54:B1219,2),IF(C223&gt;0,VLOOKUP(C223,КФСР!A54:B1566,2),IF(D223&gt;0,VLOOKUP(D223,Программа!A$1:B$5100,2),IF(F223&gt;0,VLOOKUP(F223,КВР!A$1:B$5001,2),IF(E223&gt;0,VLOOKUP(E223,Направление!A$1:B$4830,2))))))</f>
        <v>Развитие системы финансовой поддержки субъектов малого и среднего предпринимательства</v>
      </c>
      <c r="B223" s="158"/>
      <c r="C223" s="153"/>
      <c r="D223" s="154" t="s">
        <v>670</v>
      </c>
      <c r="E223" s="153"/>
      <c r="F223" s="155"/>
      <c r="G223" s="168">
        <v>4000001</v>
      </c>
      <c r="H223" s="168">
        <f>H224+H226</f>
        <v>0</v>
      </c>
      <c r="I223" s="161">
        <f t="shared" si="2"/>
        <v>4000001</v>
      </c>
    </row>
    <row r="224" spans="1:9" s="150" customFormat="1" ht="47.25" hidden="1" x14ac:dyDescent="0.25">
      <c r="A224" s="157" t="str">
        <f>IF(B224&gt;0,VLOOKUP(B224,КВСР!A55:B1220,2),IF(C224&gt;0,VLOOKUP(C224,КФСР!A55:B1567,2),IF(D224&gt;0,VLOOKUP(D224,Программа!A$1:B$5100,2),IF(F224&gt;0,VLOOKUP(F224,КВР!A$1:B$5001,2),IF(E224&gt;0,VLOOKUP(E224,Направление!A$1:B$4830,2))))))</f>
        <v>Субсидия на мероприятия по  содействию развития малого и среднего предпринимательства</v>
      </c>
      <c r="B224" s="158"/>
      <c r="C224" s="153"/>
      <c r="D224" s="154"/>
      <c r="E224" s="153">
        <v>10300</v>
      </c>
      <c r="F224" s="155"/>
      <c r="G224" s="168">
        <v>0</v>
      </c>
      <c r="H224" s="168">
        <f>H225</f>
        <v>0</v>
      </c>
      <c r="I224" s="161">
        <f t="shared" si="2"/>
        <v>0</v>
      </c>
    </row>
    <row r="225" spans="1:9" s="150" customFormat="1" hidden="1" x14ac:dyDescent="0.25">
      <c r="A225" s="157" t="str">
        <f>IF(B225&gt;0,VLOOKUP(B225,КВСР!A56:B1221,2),IF(C225&gt;0,VLOOKUP(C225,КФСР!A56:B1568,2),IF(D225&gt;0,VLOOKUP(D225,Программа!A$1:B$5100,2),IF(F225&gt;0,VLOOKUP(F225,КВР!A$1:B$5001,2),IF(E225&gt;0,VLOOKUP(E225,Направление!A$1:B$4830,2))))))</f>
        <v>Иные бюджетные ассигнования</v>
      </c>
      <c r="B225" s="158"/>
      <c r="C225" s="153"/>
      <c r="D225" s="154"/>
      <c r="E225" s="153"/>
      <c r="F225" s="155">
        <v>800</v>
      </c>
      <c r="G225" s="616">
        <v>0</v>
      </c>
      <c r="H225" s="169"/>
      <c r="I225" s="161">
        <f t="shared" si="2"/>
        <v>0</v>
      </c>
    </row>
    <row r="226" spans="1:9" s="150" customFormat="1" ht="94.5" x14ac:dyDescent="0.25">
      <c r="A226" s="157" t="str">
        <f>IF(B226&gt;0,VLOOKUP(B226,КВСР!A57:B1222,2),IF(C226&gt;0,VLOOKUP(C226,КФСР!A57:B1569,2),IF(D226&gt;0,VLOOKUP(D226,Программа!A$1:B$5100,2),IF(F226&gt;0,VLOOKUP(F226,КВР!A$1:B$5001,2),IF(E226&gt;0,VLOOKUP(E226,Направление!A$1:B$4830,2))))))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v>
      </c>
      <c r="B226" s="158"/>
      <c r="C226" s="153"/>
      <c r="D226" s="154"/>
      <c r="E226" s="153" t="s">
        <v>3307</v>
      </c>
      <c r="F226" s="155"/>
      <c r="G226" s="616">
        <v>4000001</v>
      </c>
      <c r="H226" s="616">
        <f>H227</f>
        <v>0</v>
      </c>
      <c r="I226" s="161">
        <f t="shared" si="2"/>
        <v>4000001</v>
      </c>
    </row>
    <row r="227" spans="1:9" s="150" customFormat="1" x14ac:dyDescent="0.25">
      <c r="A227" s="157" t="str">
        <f>IF(B227&gt;0,VLOOKUP(B227,КВСР!A58:B1223,2),IF(C227&gt;0,VLOOKUP(C227,КФСР!A58:B1570,2),IF(D227&gt;0,VLOOKUP(D227,Программа!A$1:B$5100,2),IF(F227&gt;0,VLOOKUP(F227,КВР!A$1:B$5001,2),IF(E227&gt;0,VLOOKUP(E227,Направление!A$1:B$4830,2))))))</f>
        <v>Иные бюджетные ассигнования</v>
      </c>
      <c r="B227" s="158"/>
      <c r="C227" s="153"/>
      <c r="D227" s="154"/>
      <c r="E227" s="153"/>
      <c r="F227" s="155">
        <v>800</v>
      </c>
      <c r="G227" s="616">
        <v>4000001</v>
      </c>
      <c r="H227" s="169"/>
      <c r="I227" s="161">
        <f t="shared" si="2"/>
        <v>4000001</v>
      </c>
    </row>
    <row r="228" spans="1:9" s="150" customFormat="1" ht="47.25" x14ac:dyDescent="0.25">
      <c r="A228" s="157" t="str">
        <f>IF(B228&gt;0,VLOOKUP(B228,КВСР!A49:B1214,2),IF(C228&gt;0,VLOOKUP(C228,КФСР!A49:B1561,2),IF(D228&gt;0,VLOOKUP(D228,Программа!A$1:B$5100,2),IF(F228&gt;0,VLOOKUP(F228,КВР!A$1:B$5001,2),IF(E228&gt;0,VLOOKUP(E228,Направление!A$1:B$4830,2))))))</f>
        <v>Муниципальная целевая программа "Развитие потребительского рынка Тутаевского муниципального района "</v>
      </c>
      <c r="B228" s="158"/>
      <c r="C228" s="153"/>
      <c r="D228" s="154" t="s">
        <v>672</v>
      </c>
      <c r="E228" s="153"/>
      <c r="F228" s="155"/>
      <c r="G228" s="504">
        <v>230586</v>
      </c>
      <c r="H228" s="159">
        <f>H229</f>
        <v>-55000</v>
      </c>
      <c r="I228" s="161">
        <f t="shared" si="2"/>
        <v>175586</v>
      </c>
    </row>
    <row r="229" spans="1:9" s="150" customFormat="1" ht="47.25" x14ac:dyDescent="0.25">
      <c r="A229" s="157" t="str">
        <f>IF(B229&gt;0,VLOOKUP(B229,КВСР!A50:B1215,2),IF(C229&gt;0,VLOOKUP(C229,КФСР!A50:B1562,2),IF(D229&gt;0,VLOOKUP(D229,Программа!A$1:B$5100,2),IF(F229&gt;0,VLOOKUP(F229,КВР!A$1:B$5001,2),IF(E229&gt;0,VLOOKUP(E229,Направление!A$1:B$4830,2))))))</f>
        <v>Обеспечение доступности товаров для сельского населения путем оказания государственной поддержки</v>
      </c>
      <c r="B229" s="158"/>
      <c r="C229" s="153"/>
      <c r="D229" s="154" t="s">
        <v>674</v>
      </c>
      <c r="E229" s="153"/>
      <c r="F229" s="155"/>
      <c r="G229" s="504">
        <v>230586</v>
      </c>
      <c r="H229" s="159">
        <f>H232+H234+H230</f>
        <v>-55000</v>
      </c>
      <c r="I229" s="161">
        <f t="shared" si="2"/>
        <v>175586</v>
      </c>
    </row>
    <row r="230" spans="1:9" s="150" customFormat="1" ht="126" x14ac:dyDescent="0.25">
      <c r="A230" s="157" t="str">
        <f>IF(B230&gt;0,VLOOKUP(B230,КВСР!A51:B1216,2),IF(C230&gt;0,VLOOKUP(C230,КФСР!A51:B1563,2),IF(D230&gt;0,VLOOKUP(D230,Программа!A$1:B$5100,2),IF(F230&gt;0,VLOOKUP(F230,КВР!A$1:B$5001,2),IF(E230&gt;0,VLOOKUP(E230,Направление!A$1:B$4830,2))))))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v>
      </c>
      <c r="B230" s="158"/>
      <c r="C230" s="153"/>
      <c r="D230" s="154"/>
      <c r="E230" s="418">
        <v>72880</v>
      </c>
      <c r="F230" s="155"/>
      <c r="G230" s="504">
        <v>82532</v>
      </c>
      <c r="H230" s="159">
        <f>H231</f>
        <v>0</v>
      </c>
      <c r="I230" s="161">
        <f>SUM(G230:H230)</f>
        <v>82532</v>
      </c>
    </row>
    <row r="231" spans="1:9" s="150" customFormat="1" x14ac:dyDescent="0.25">
      <c r="A231" s="157" t="str">
        <f>IF(B231&gt;0,VLOOKUP(B231,КВСР!A52:B1217,2),IF(C231&gt;0,VLOOKUP(C231,КФСР!A52:B1564,2),IF(D231&gt;0,VLOOKUP(D231,Программа!A$1:B$5100,2),IF(F231&gt;0,VLOOKUP(F231,КВР!A$1:B$5001,2),IF(E231&gt;0,VLOOKUP(E231,Направление!A$1:B$4830,2))))))</f>
        <v>Иные бюджетные ассигнования</v>
      </c>
      <c r="B231" s="158"/>
      <c r="C231" s="153"/>
      <c r="D231" s="154"/>
      <c r="E231" s="153"/>
      <c r="F231" s="155">
        <v>800</v>
      </c>
      <c r="G231" s="504">
        <v>82532</v>
      </c>
      <c r="H231" s="490"/>
      <c r="I231" s="161">
        <f>SUM(G231:H231)</f>
        <v>82532</v>
      </c>
    </row>
    <row r="232" spans="1:9" s="150" customFormat="1" ht="110.25" x14ac:dyDescent="0.25">
      <c r="A232" s="157" t="str">
        <f>IF(B232&gt;0,VLOOKUP(B232,КВСР!A51:B1216,2),IF(C232&gt;0,VLOOKUP(C232,КФСР!A51:B1563,2),IF(D232&gt;0,VLOOKUP(D232,Программа!A$1:B$5100,2),IF(F232&gt;0,VLOOKUP(F232,КВР!A$1:B$5001,2),IF(E232&gt;0,VLOOKUP(E232,Направление!A$1:B$4830,2))))))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32" s="158"/>
      <c r="C232" s="153"/>
      <c r="D232" s="154"/>
      <c r="E232" s="153">
        <v>12880</v>
      </c>
      <c r="F232" s="155"/>
      <c r="G232" s="504">
        <v>105000</v>
      </c>
      <c r="H232" s="504">
        <f>H233</f>
        <v>-55000</v>
      </c>
      <c r="I232" s="161">
        <f t="shared" si="2"/>
        <v>50000</v>
      </c>
    </row>
    <row r="233" spans="1:9" s="150" customFormat="1" x14ac:dyDescent="0.25">
      <c r="A233" s="157" t="str">
        <f>IF(B233&gt;0,VLOOKUP(B233,КВСР!A52:B1217,2),IF(C233&gt;0,VLOOKUP(C233,КФСР!A52:B1564,2),IF(D233&gt;0,VLOOKUP(D233,Программа!A$1:B$5100,2),IF(F233&gt;0,VLOOKUP(F233,КВР!A$1:B$5001,2),IF(E233&gt;0,VLOOKUP(E233,Направление!A$1:B$4830,2))))))</f>
        <v>Иные бюджетные ассигнования</v>
      </c>
      <c r="B233" s="158"/>
      <c r="C233" s="153"/>
      <c r="D233" s="154"/>
      <c r="E233" s="153"/>
      <c r="F233" s="155">
        <v>800</v>
      </c>
      <c r="G233" s="504">
        <v>105000</v>
      </c>
      <c r="H233" s="490">
        <v>-55000</v>
      </c>
      <c r="I233" s="161">
        <f>G233+H233</f>
        <v>50000</v>
      </c>
    </row>
    <row r="234" spans="1:9" s="150" customFormat="1" ht="47.25" x14ac:dyDescent="0.25">
      <c r="A234" s="157" t="str">
        <f>IF(B234&gt;0,VLOOKUP(B234,КВСР!A53:B1218,2),IF(C234&gt;0,VLOOKUP(C234,КФСР!A53:B1565,2),IF(D234&gt;0,VLOOKUP(D234,Программа!A$1:B$5100,2),IF(F234&gt;0,VLOOKUP(F234,КВР!A$1:B$5001,2),IF(E234&gt;0,VLOOKUP(E234,Направление!A$1:B$4830,2))))))</f>
        <v>Обеспечение мероприятий по организации населению услуг торговли</v>
      </c>
      <c r="B234" s="158"/>
      <c r="C234" s="153"/>
      <c r="D234" s="154"/>
      <c r="E234" s="153">
        <v>29526</v>
      </c>
      <c r="F234" s="155"/>
      <c r="G234" s="504">
        <v>43054</v>
      </c>
      <c r="H234" s="159">
        <f>H235</f>
        <v>0</v>
      </c>
      <c r="I234" s="161">
        <f t="shared" si="2"/>
        <v>43054</v>
      </c>
    </row>
    <row r="235" spans="1:9" s="150" customFormat="1" x14ac:dyDescent="0.25">
      <c r="A235" s="157" t="str">
        <f>IF(B235&gt;0,VLOOKUP(B235,КВСР!A54:B1219,2),IF(C235&gt;0,VLOOKUP(C235,КФСР!A54:B1566,2),IF(D235&gt;0,VLOOKUP(D235,Программа!A$1:B$5100,2),IF(F235&gt;0,VLOOKUP(F235,КВР!A$1:B$5001,2),IF(E235&gt;0,VLOOKUP(E235,Направление!A$1:B$4830,2))))))</f>
        <v>Иные бюджетные ассигнования</v>
      </c>
      <c r="B235" s="158"/>
      <c r="C235" s="153"/>
      <c r="D235" s="154"/>
      <c r="E235" s="153"/>
      <c r="F235" s="155">
        <v>800</v>
      </c>
      <c r="G235" s="504">
        <v>43054</v>
      </c>
      <c r="H235" s="490"/>
      <c r="I235" s="161">
        <f t="shared" si="2"/>
        <v>43054</v>
      </c>
    </row>
    <row r="236" spans="1:9" s="150" customFormat="1" hidden="1" x14ac:dyDescent="0.25">
      <c r="A236" s="157" t="str">
        <f>IF(B236&gt;0,VLOOKUP(B236,КВСР!A52:B1217,2),IF(C236&gt;0,VLOOKUP(C236,КФСР!A52:B1564,2),IF(D236&gt;0,VLOOKUP(D236,Программа!A$1:B$5100,2),IF(F236&gt;0,VLOOKUP(F236,КВР!A$1:B$5001,2),IF(E236&gt;0,VLOOKUP(E236,Направление!A$1:B$4830,2))))))</f>
        <v>Непрограммные расходы бюджета</v>
      </c>
      <c r="B236" s="158"/>
      <c r="C236" s="153"/>
      <c r="D236" s="154" t="s">
        <v>626</v>
      </c>
      <c r="E236" s="153"/>
      <c r="F236" s="155"/>
      <c r="G236" s="504">
        <v>0</v>
      </c>
      <c r="H236" s="159">
        <f>H237</f>
        <v>0</v>
      </c>
      <c r="I236" s="161">
        <f t="shared" si="2"/>
        <v>0</v>
      </c>
    </row>
    <row r="237" spans="1:9" s="150" customFormat="1" ht="31.5" hidden="1" x14ac:dyDescent="0.25">
      <c r="A237" s="157" t="str">
        <f>IF(B237&gt;0,VLOOKUP(B237,КВСР!A53:B1218,2),IF(C237&gt;0,VLOOKUP(C237,КФСР!A53:B1565,2),IF(D237&gt;0,VLOOKUP(D237,Программа!A$1:B$5100,2),IF(F237&gt;0,VLOOKUP(F237,КВР!A$1:B$5001,2),IF(E237&gt;0,VLOOKUP(E237,Направление!A$1:B$4830,2))))))</f>
        <v>Мероприятия в области градостроительства</v>
      </c>
      <c r="B237" s="158"/>
      <c r="C237" s="153"/>
      <c r="D237" s="154"/>
      <c r="E237" s="153">
        <v>10500</v>
      </c>
      <c r="F237" s="155"/>
      <c r="G237" s="504">
        <v>0</v>
      </c>
      <c r="H237" s="159">
        <f>H238</f>
        <v>0</v>
      </c>
      <c r="I237" s="161">
        <f t="shared" si="2"/>
        <v>0</v>
      </c>
    </row>
    <row r="238" spans="1:9" s="150" customFormat="1" ht="63" hidden="1" x14ac:dyDescent="0.25">
      <c r="A238" s="157" t="str">
        <f>IF(B238&gt;0,VLOOKUP(B238,КВСР!A54:B1219,2),IF(C238&gt;0,VLOOKUP(C238,КФСР!A54:B1566,2),IF(D238&gt;0,VLOOKUP(D238,Программа!A$1:B$5100,2),IF(F238&gt;0,VLOOKUP(F238,КВР!A$1:B$5001,2),IF(E238&gt;0,VLOOKUP(E238,Направление!A$1:B$4830,2))))))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8"/>
      <c r="C238" s="153"/>
      <c r="D238" s="154"/>
      <c r="E238" s="153"/>
      <c r="F238" s="155">
        <v>200</v>
      </c>
      <c r="G238" s="504">
        <v>0</v>
      </c>
      <c r="H238" s="159"/>
      <c r="I238" s="161">
        <f t="shared" si="2"/>
        <v>0</v>
      </c>
    </row>
    <row r="239" spans="1:9" s="150" customFormat="1" hidden="1" x14ac:dyDescent="0.25">
      <c r="A239" s="157" t="str">
        <f>IF(B239&gt;0,VLOOKUP(B239,КВСР!A51:B1216,2),IF(C239&gt;0,VLOOKUP(C239,КФСР!A51:B1563,2),IF(D239&gt;0,VLOOKUP(D239,Программа!A$1:B$5100,2),IF(F239&gt;0,VLOOKUP(F239,КВР!A$1:B$5001,2),IF(E239&gt;0,VLOOKUP(E239,Направление!A$1:B$4830,2))))))</f>
        <v>Иные бюджетные ассигнования</v>
      </c>
      <c r="B239" s="158"/>
      <c r="C239" s="153"/>
      <c r="D239" s="155"/>
      <c r="E239" s="153"/>
      <c r="F239" s="155">
        <v>800</v>
      </c>
      <c r="G239" s="502">
        <v>0</v>
      </c>
      <c r="H239" s="160"/>
      <c r="I239" s="161">
        <f t="shared" si="2"/>
        <v>0</v>
      </c>
    </row>
    <row r="240" spans="1:9" s="150" customFormat="1" x14ac:dyDescent="0.25">
      <c r="A240" s="157" t="str">
        <f>IF(B240&gt;0,VLOOKUP(B240,КВСР!A52:B1217,2),IF(C240&gt;0,VLOOKUP(C240,КФСР!A52:B1564,2),IF(D240&gt;0,VLOOKUP(D240,Программа!A$1:B$5100,2),IF(F240&gt;0,VLOOKUP(F240,КВР!A$1:B$5001,2),IF(E240&gt;0,VLOOKUP(E240,Направление!A$1:B$4830,2))))))</f>
        <v>Жилищное хозяйство</v>
      </c>
      <c r="B240" s="158"/>
      <c r="C240" s="153">
        <v>501</v>
      </c>
      <c r="D240" s="155"/>
      <c r="E240" s="153"/>
      <c r="F240" s="155"/>
      <c r="G240" s="502">
        <v>5302790</v>
      </c>
      <c r="H240" s="502">
        <f t="shared" ref="H240:I242" si="3">H241</f>
        <v>0</v>
      </c>
      <c r="I240" s="502">
        <f t="shared" si="3"/>
        <v>5302790</v>
      </c>
    </row>
    <row r="241" spans="1:9" s="150" customFormat="1" ht="31.5" x14ac:dyDescent="0.25">
      <c r="A241" s="157" t="str">
        <f>IF(B241&gt;0,VLOOKUP(B241,КВСР!A53:B1218,2),IF(C241&gt;0,VLOOKUP(C241,КФСР!A53:B1565,2),IF(D241&gt;0,VLOOKUP(D241,Программа!A$1:B$5100,2),IF(F241&gt;0,VLOOKUP(F241,КВР!A$1:B$5001,2),IF(E241&gt;0,VLOOKUP(E241,Направление!A$1:B$4830,2))))))</f>
        <v>Межбюджетные трансферты  поселениям района</v>
      </c>
      <c r="B241" s="158"/>
      <c r="C241" s="153"/>
      <c r="D241" s="155" t="s">
        <v>801</v>
      </c>
      <c r="E241" s="153"/>
      <c r="F241" s="155"/>
      <c r="G241" s="502">
        <v>5302790</v>
      </c>
      <c r="H241" s="502">
        <f t="shared" si="3"/>
        <v>0</v>
      </c>
      <c r="I241" s="502">
        <f t="shared" si="3"/>
        <v>5302790</v>
      </c>
    </row>
    <row r="242" spans="1:9" s="150" customFormat="1" ht="94.5" x14ac:dyDescent="0.25">
      <c r="A242" s="157" t="str">
        <f>IF(B242&gt;0,VLOOKUP(B242,КВСР!A54:B1219,2),IF(C242&gt;0,VLOOKUP(C242,КФСР!A54:B1566,2),IF(D242&gt;0,VLOOKUP(D242,Программа!A$1:B$5100,2),IF(F242&gt;0,VLOOKUP(F242,КВР!A$1:B$5001,2),IF(E242&gt;0,VLOOKUP(E242,Направление!A$1:B$4830,2))))))</f>
        <v>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v>
      </c>
      <c r="B242" s="158"/>
      <c r="C242" s="153"/>
      <c r="D242" s="155"/>
      <c r="E242" s="153">
        <v>90050</v>
      </c>
      <c r="F242" s="155"/>
      <c r="G242" s="502">
        <v>5302790</v>
      </c>
      <c r="H242" s="502">
        <f t="shared" si="3"/>
        <v>0</v>
      </c>
      <c r="I242" s="502">
        <f t="shared" si="3"/>
        <v>5302790</v>
      </c>
    </row>
    <row r="243" spans="1:9" s="150" customFormat="1" x14ac:dyDescent="0.25">
      <c r="A243" s="157" t="str">
        <f>IF(B243&gt;0,VLOOKUP(B243,КВСР!A55:B1220,2),IF(C243&gt;0,VLOOKUP(C243,КФСР!A55:B1567,2),IF(D243&gt;0,VLOOKUP(D243,Программа!A$1:B$5100,2),IF(F243&gt;0,VLOOKUP(F243,КВР!A$1:B$5001,2),IF(E243&gt;0,VLOOKUP(E243,Направление!A$1:B$4830,2))))))</f>
        <v xml:space="preserve"> Межбюджетные трансферты</v>
      </c>
      <c r="B243" s="158"/>
      <c r="C243" s="153"/>
      <c r="D243" s="155"/>
      <c r="E243" s="153"/>
      <c r="F243" s="155">
        <v>500</v>
      </c>
      <c r="G243" s="502">
        <v>5302790</v>
      </c>
      <c r="H243" s="160"/>
      <c r="I243" s="161">
        <f>SUM(G243:H243)</f>
        <v>5302790</v>
      </c>
    </row>
    <row r="244" spans="1:9" s="150" customFormat="1" x14ac:dyDescent="0.25">
      <c r="A244" s="157" t="str">
        <f>IF(B244&gt;0,VLOOKUP(B244,КВСР!A52:B1217,2),IF(C244&gt;0,VLOOKUP(C244,КФСР!A52:B1564,2),IF(D244&gt;0,VLOOKUP(D244,Программа!A$1:B$5100,2),IF(F244&gt;0,VLOOKUP(F244,КВР!A$1:B$5001,2),IF(E244&gt;0,VLOOKUP(E244,Направление!A$1:B$4830,2))))))</f>
        <v>Благоустройство</v>
      </c>
      <c r="B244" s="158"/>
      <c r="C244" s="153">
        <v>503</v>
      </c>
      <c r="D244" s="155"/>
      <c r="E244" s="153"/>
      <c r="F244" s="155"/>
      <c r="G244" s="502">
        <v>56244241.460000001</v>
      </c>
      <c r="H244" s="502">
        <f>H245+H274+H289</f>
        <v>-7345647</v>
      </c>
      <c r="I244" s="161">
        <f t="shared" si="2"/>
        <v>48898594.460000001</v>
      </c>
    </row>
    <row r="245" spans="1:9" s="150" customFormat="1" ht="63" x14ac:dyDescent="0.25">
      <c r="A245" s="157" t="str">
        <f>IF(B245&gt;0,VLOOKUP(B245,КВСР!A53:B1218,2),IF(C245&gt;0,VLOOKUP(C245,КФСР!A53:B1565,2),IF(D245&gt;0,VLOOKUP(D245,Программа!A$1:B$5100,2),IF(F245&gt;0,VLOOKUP(F245,КВР!A$1:B$5001,2),IF(E245&gt;0,VLOOKUP(E245,Направление!A$1:B$4830,2))))))</f>
        <v>Муниципальная программа "Благоустройство  и санитарно-эпидемиологическая безопасность  Тутаевского муниципального района</v>
      </c>
      <c r="B245" s="158"/>
      <c r="C245" s="153"/>
      <c r="D245" s="155" t="s">
        <v>974</v>
      </c>
      <c r="E245" s="153"/>
      <c r="F245" s="155"/>
      <c r="G245" s="502">
        <v>35724105.219999999</v>
      </c>
      <c r="H245" s="502">
        <f>H246+H252</f>
        <v>-290183</v>
      </c>
      <c r="I245" s="161">
        <f t="shared" si="2"/>
        <v>35433922.219999999</v>
      </c>
    </row>
    <row r="246" spans="1:9" s="150" customFormat="1" ht="63" x14ac:dyDescent="0.25">
      <c r="A246" s="157" t="str">
        <f>IF(B246&gt;0,VLOOKUP(B246,КВСР!A54:B1219,2),IF(C246&gt;0,VLOOKUP(C246,КФСР!A54:B1566,2),IF(D246&gt;0,VLOOKUP(D246,Программа!A$1:B$5100,2),IF(F246&gt;0,VLOOKUP(F246,КВР!A$1:B$5001,2),IF(E246&gt;0,VLOOKUP(E246,Направление!A$1:B$4830,2))))))</f>
        <v>Муниципальная целевая программа "Организация и развитие ритуальных услуг и мест захоронения в Тутаевском муниципальном районе"</v>
      </c>
      <c r="B246" s="158"/>
      <c r="C246" s="153"/>
      <c r="D246" s="154" t="s">
        <v>976</v>
      </c>
      <c r="E246" s="153"/>
      <c r="F246" s="155"/>
      <c r="G246" s="502">
        <v>1007324</v>
      </c>
      <c r="H246" s="502">
        <f>H247</f>
        <v>0</v>
      </c>
      <c r="I246" s="161">
        <f t="shared" si="2"/>
        <v>1007324</v>
      </c>
    </row>
    <row r="247" spans="1:9" s="150" customFormat="1" ht="47.25" x14ac:dyDescent="0.25">
      <c r="A247" s="691" t="str">
        <f>IF(B247&gt;0,VLOOKUP(B247,КВСР!A55:B1220,2),IF(C247&gt;0,VLOOKUP(C247,КФСР!A55:B1567,2),IF(D247&gt;0,VLOOKUP(D247,Программа!A$1:B$5100,2),IF(F247&gt;0,VLOOKUP(F247,КВР!A$1:B$5001,2),IF(E247&gt;0,VLOOKUP(E247,Направление!A$1:B$4830,2))))))</f>
        <v>Обеспечение комплекса работ по повышению уровня благоустройства мест погребений</v>
      </c>
      <c r="B247" s="158"/>
      <c r="C247" s="153"/>
      <c r="D247" s="154" t="s">
        <v>978</v>
      </c>
      <c r="E247" s="153"/>
      <c r="F247" s="155"/>
      <c r="G247" s="502">
        <v>1007324</v>
      </c>
      <c r="H247" s="502">
        <f>H248+H250</f>
        <v>0</v>
      </c>
      <c r="I247" s="161">
        <f>SUM(G247:H247)</f>
        <v>1007324</v>
      </c>
    </row>
    <row r="248" spans="1:9" s="150" customFormat="1" ht="47.25" x14ac:dyDescent="0.25">
      <c r="A248" s="691" t="str">
        <f>IF(B248&gt;0,VLOOKUP(B248,КВСР!A56:B1221,2),IF(C248&gt;0,VLOOKUP(C248,КФСР!A56:B1568,2),IF(D248&gt;0,VLOOKUP(D248,Программа!A$1:B$5100,2),IF(F248&gt;0,VLOOKUP(F248,КВР!A$1:B$5001,2),IF(E248&gt;0,VLOOKUP(E248,Направление!A$1:B$4830,2))))))</f>
        <v>Расходы на мероприятия по содержанию мунициальных мест захоронений</v>
      </c>
      <c r="B248" s="158"/>
      <c r="C248" s="153"/>
      <c r="D248" s="154"/>
      <c r="E248" s="153">
        <v>10070</v>
      </c>
      <c r="F248" s="154"/>
      <c r="G248" s="502">
        <v>150000</v>
      </c>
      <c r="H248" s="502">
        <f>H249</f>
        <v>0</v>
      </c>
      <c r="I248" s="161">
        <f t="shared" ref="I248:I355" si="4">SUM(G248:H248)</f>
        <v>150000</v>
      </c>
    </row>
    <row r="249" spans="1:9" s="150" customFormat="1" ht="63" x14ac:dyDescent="0.25">
      <c r="A249" s="691" t="str">
        <f>IF(B249&gt;0,VLOOKUP(B249,КВСР!A57:B1222,2),IF(C249&gt;0,VLOOKUP(C249,КФСР!A57:B1569,2),IF(D249&gt;0,VLOOKUP(D249,Программа!A$1:B$5100,2),IF(F249&gt;0,VLOOKUP(F249,КВР!A$1:B$5001,2),IF(E249&gt;0,VLOOKUP(E249,Направление!A$1:B$4830,2))))))</f>
        <v>Предоставление субсидий бюджетным, автономным учреждениям и иным некоммерческим организациям</v>
      </c>
      <c r="B249" s="158"/>
      <c r="C249" s="153"/>
      <c r="D249" s="154"/>
      <c r="E249" s="153"/>
      <c r="F249" s="155">
        <v>600</v>
      </c>
      <c r="G249" s="502">
        <v>150000</v>
      </c>
      <c r="H249" s="160"/>
      <c r="I249" s="161">
        <f t="shared" si="4"/>
        <v>150000</v>
      </c>
    </row>
    <row r="250" spans="1:9" s="150" customFormat="1" ht="31.5" x14ac:dyDescent="0.25">
      <c r="A250" s="157" t="str">
        <f>IF(B250&gt;0,VLOOKUP(B250,КВСР!A58:B1223,2),IF(C250&gt;0,VLOOKUP(C250,КФСР!A58:B1570,2),IF(D250&gt;0,VLOOKUP(D250,Программа!A$1:B$5100,2),IF(F250&gt;0,VLOOKUP(F250,КВР!A$1:B$5001,2),IF(E250&gt;0,VLOOKUP(E250,Направление!A$1:B$4830,2))))))</f>
        <v>Обеспечение мероприятий по  содержанию мест захоронения</v>
      </c>
      <c r="B250" s="158"/>
      <c r="C250" s="153"/>
      <c r="D250" s="154"/>
      <c r="E250" s="153">
        <v>29316</v>
      </c>
      <c r="F250" s="155"/>
      <c r="G250" s="502">
        <v>857324</v>
      </c>
      <c r="H250" s="502">
        <f>H251</f>
        <v>0</v>
      </c>
      <c r="I250" s="161">
        <f t="shared" si="4"/>
        <v>857324</v>
      </c>
    </row>
    <row r="251" spans="1:9" s="150" customFormat="1" ht="63" x14ac:dyDescent="0.25">
      <c r="A251" s="157" t="str">
        <f>IF(B251&gt;0,VLOOKUP(B251,КВСР!A59:B1224,2),IF(C251&gt;0,VLOOKUP(C251,КФСР!A59:B1571,2),IF(D251&gt;0,VLOOKUP(D251,Программа!A$1:B$5100,2),IF(F251&gt;0,VLOOKUP(F251,КВР!A$1:B$5001,2),IF(E251&gt;0,VLOOKUP(E251,Направление!A$1:B$4830,2))))))</f>
        <v>Предоставление субсидий бюджетным, автономным учреждениям и иным некоммерческим организациям</v>
      </c>
      <c r="B251" s="158"/>
      <c r="C251" s="153"/>
      <c r="D251" s="154"/>
      <c r="E251" s="153"/>
      <c r="F251" s="155">
        <v>600</v>
      </c>
      <c r="G251" s="502">
        <v>857324</v>
      </c>
      <c r="H251" s="160"/>
      <c r="I251" s="161">
        <f t="shared" si="4"/>
        <v>857324</v>
      </c>
    </row>
    <row r="252" spans="1:9" s="150" customFormat="1" ht="63" x14ac:dyDescent="0.25">
      <c r="A252" s="157" t="str">
        <f>IF(B252&gt;0,VLOOKUP(B252,КВСР!A60:B1225,2),IF(C252&gt;0,VLOOKUP(C252,КФСР!A60:B1572,2),IF(D252&gt;0,VLOOKUP(D252,Программа!A$1:B$5100,2),IF(F252&gt;0,VLOOKUP(F252,КВР!A$1:B$5001,2),IF(E252&gt;0,VLOOKUP(E252,Направление!A$1:B$4830,2))))))</f>
        <v>Муниципальная целевая программа "Благоустройство и озеленение территории  в Тутаевского муниципального  района"</v>
      </c>
      <c r="B252" s="158"/>
      <c r="C252" s="153"/>
      <c r="D252" s="154" t="s">
        <v>980</v>
      </c>
      <c r="E252" s="153"/>
      <c r="F252" s="155"/>
      <c r="G252" s="502">
        <v>34716781.219999999</v>
      </c>
      <c r="H252" s="502">
        <f>H253</f>
        <v>-290183</v>
      </c>
      <c r="I252" s="161">
        <f t="shared" si="4"/>
        <v>34426598.219999999</v>
      </c>
    </row>
    <row r="253" spans="1:9" s="150" customFormat="1" ht="63" x14ac:dyDescent="0.25">
      <c r="A253" s="157" t="str">
        <f>IF(B253&gt;0,VLOOKUP(B253,КВСР!A61:B1226,2),IF(C253&gt;0,VLOOKUP(C253,КФСР!A61:B1573,2),IF(D253&gt;0,VLOOKUP(D253,Программа!A$1:B$5100,2),IF(F253&gt;0,VLOOKUP(F253,КВР!A$1:B$5001,2),IF(E253&gt;0,VLOOKUP(E253,Направление!A$1:B$4830,2))))))</f>
        <v>Улучшение уровня внешнего благоустройства и санитарного  состояния территорий Тутаевского муниципального района</v>
      </c>
      <c r="B253" s="158"/>
      <c r="C253" s="153"/>
      <c r="D253" s="154" t="s">
        <v>982</v>
      </c>
      <c r="E253" s="153"/>
      <c r="F253" s="155"/>
      <c r="G253" s="502">
        <v>34716781.219999999</v>
      </c>
      <c r="H253" s="502">
        <f>H256+H258+H260+H262+H264+H266+H268+H272+H254+H270</f>
        <v>-290183</v>
      </c>
      <c r="I253" s="161">
        <f>SUM(G253:H253)</f>
        <v>34426598.219999999</v>
      </c>
    </row>
    <row r="254" spans="1:9" s="150" customFormat="1" ht="63" x14ac:dyDescent="0.25">
      <c r="A254" s="157" t="str">
        <f>IF(B254&gt;0,VLOOKUP(B254,КВСР!A62:B1227,2),IF(C254&gt;0,VLOOKUP(C254,КФСР!A62:B1574,2),IF(D254&gt;0,VLOOKUP(D254,Программа!A$1:B$5100,2),IF(F254&gt;0,VLOOKUP(F254,КВР!A$1:B$5001,2),IF(E254&gt;0,VLOOKUP(E254,Направление!A$1:B$4830,2))))))</f>
        <v>Мероприятия по благоустройству и ремонту дворовых территории в рамках софинансирования инициативного бюджетирования</v>
      </c>
      <c r="B254" s="158"/>
      <c r="C254" s="153"/>
      <c r="D254" s="154"/>
      <c r="E254" s="153">
        <v>25356</v>
      </c>
      <c r="F254" s="155"/>
      <c r="G254" s="502">
        <v>118419</v>
      </c>
      <c r="H254" s="502">
        <f>H255</f>
        <v>0</v>
      </c>
      <c r="I254" s="502">
        <f>I255</f>
        <v>118419</v>
      </c>
    </row>
    <row r="255" spans="1:9" s="150" customFormat="1" ht="63" x14ac:dyDescent="0.25">
      <c r="A255" s="157" t="str">
        <f>IF(B255&gt;0,VLOOKUP(B255,КВСР!A63:B1228,2),IF(C255&gt;0,VLOOKUP(C255,КФСР!A63:B1575,2),IF(D255&gt;0,VLOOKUP(D255,Программа!A$1:B$5100,2),IF(F255&gt;0,VLOOKUP(F255,КВР!A$1:B$5001,2),IF(E255&gt;0,VLOOKUP(E255,Направление!A$1:B$4830,2))))))</f>
        <v>Предоставление субсидий бюджетным, автономным учреждениям и иным некоммерческим организациям</v>
      </c>
      <c r="B255" s="158"/>
      <c r="C255" s="153"/>
      <c r="D255" s="154"/>
      <c r="E255" s="153"/>
      <c r="F255" s="155">
        <v>600</v>
      </c>
      <c r="G255" s="502">
        <v>118419</v>
      </c>
      <c r="H255" s="160"/>
      <c r="I255" s="161">
        <f>SUM(G255:H255)</f>
        <v>118419</v>
      </c>
    </row>
    <row r="256" spans="1:9" s="150" customFormat="1" ht="31.5" x14ac:dyDescent="0.25">
      <c r="A256" s="157" t="str">
        <f>IF(B256&gt;0,VLOOKUP(B256,КВСР!A62:B1227,2),IF(C256&gt;0,VLOOKUP(C256,КФСР!A62:B1574,2),IF(D256&gt;0,VLOOKUP(D256,Программа!A$1:B$5100,2),IF(F256&gt;0,VLOOKUP(F256,КВР!A$1:B$5001,2),IF(E256&gt;0,VLOOKUP(E256,Направление!A$1:B$4830,2))))))</f>
        <v>Обеспечение мероприятий по уличному освещению</v>
      </c>
      <c r="B256" s="158"/>
      <c r="C256" s="153"/>
      <c r="D256" s="154"/>
      <c r="E256" s="153">
        <v>29236</v>
      </c>
      <c r="F256" s="155"/>
      <c r="G256" s="502">
        <v>15251898</v>
      </c>
      <c r="H256" s="502">
        <f>H257</f>
        <v>0</v>
      </c>
      <c r="I256" s="161">
        <f t="shared" si="4"/>
        <v>15251898</v>
      </c>
    </row>
    <row r="257" spans="1:9" s="150" customFormat="1" ht="63" x14ac:dyDescent="0.25">
      <c r="A257" s="157" t="str">
        <f>IF(B257&gt;0,VLOOKUP(B257,КВСР!A63:B1228,2),IF(C257&gt;0,VLOOKUP(C257,КФСР!A63:B1575,2),IF(D257&gt;0,VLOOKUP(D257,Программа!A$1:B$5100,2),IF(F257&gt;0,VLOOKUP(F257,КВР!A$1:B$5001,2),IF(E257&gt;0,VLOOKUP(E257,Направление!A$1:B$4830,2))))))</f>
        <v>Предоставление субсидий бюджетным, автономным учреждениям и иным некоммерческим организациям</v>
      </c>
      <c r="B257" s="158"/>
      <c r="C257" s="153"/>
      <c r="D257" s="154"/>
      <c r="E257" s="153"/>
      <c r="F257" s="155">
        <v>600</v>
      </c>
      <c r="G257" s="502">
        <v>15251898</v>
      </c>
      <c r="H257" s="160"/>
      <c r="I257" s="161">
        <f t="shared" si="4"/>
        <v>15251898</v>
      </c>
    </row>
    <row r="258" spans="1:9" s="150" customFormat="1" ht="63" x14ac:dyDescent="0.25">
      <c r="A258" s="157" t="str">
        <f>IF(B258&gt;0,VLOOKUP(B258,КВСР!A64:B1229,2),IF(C258&gt;0,VLOOKUP(C258,КФСР!A64:B1576,2),IF(D258&gt;0,VLOOKUP(D258,Программа!A$1:B$5100,2),IF(F258&gt;0,VLOOKUP(F258,КВР!A$1:B$5001,2),IF(E258&gt;0,VLOOKUP(E258,Направление!A$1:B$4830,2))))))</f>
        <v>Обеспечение мероприятий по техническому содержанию, текущему и капитальному ремонту сетей уличного освещения</v>
      </c>
      <c r="B258" s="158"/>
      <c r="C258" s="153"/>
      <c r="D258" s="154"/>
      <c r="E258" s="153">
        <v>29246</v>
      </c>
      <c r="F258" s="155"/>
      <c r="G258" s="502">
        <v>2948102</v>
      </c>
      <c r="H258" s="502">
        <f>H259</f>
        <v>0</v>
      </c>
      <c r="I258" s="161">
        <f t="shared" si="4"/>
        <v>2948102</v>
      </c>
    </row>
    <row r="259" spans="1:9" s="150" customFormat="1" ht="63" x14ac:dyDescent="0.25">
      <c r="A259" s="157" t="str">
        <f>IF(B259&gt;0,VLOOKUP(B259,КВСР!A65:B1230,2),IF(C259&gt;0,VLOOKUP(C259,КФСР!A65:B1577,2),IF(D259&gt;0,VLOOKUP(D259,Программа!A$1:B$5100,2),IF(F259&gt;0,VLOOKUP(F259,КВР!A$1:B$5001,2),IF(E259&gt;0,VLOOKUP(E259,Направление!A$1:B$4830,2))))))</f>
        <v>Предоставление субсидий бюджетным, автономным учреждениям и иным некоммерческим организациям</v>
      </c>
      <c r="B259" s="158"/>
      <c r="C259" s="153"/>
      <c r="D259" s="154"/>
      <c r="E259" s="153"/>
      <c r="F259" s="155">
        <v>600</v>
      </c>
      <c r="G259" s="502">
        <v>2948102</v>
      </c>
      <c r="H259" s="160"/>
      <c r="I259" s="161">
        <f t="shared" si="4"/>
        <v>2948102</v>
      </c>
    </row>
    <row r="260" spans="1:9" s="150" customFormat="1" ht="47.25" x14ac:dyDescent="0.25">
      <c r="A260" s="157" t="str">
        <f>IF(B260&gt;0,VLOOKUP(B260,КВСР!A66:B1231,2),IF(C260&gt;0,VLOOKUP(C260,КФСР!A66:B1578,2),IF(D260&gt;0,VLOOKUP(D260,Программа!A$1:B$5100,2),IF(F260&gt;0,VLOOKUP(F260,КВР!A$1:B$5001,2),IF(E260&gt;0,VLOOKUP(E260,Направление!A$1:B$4830,2))))))</f>
        <v>Содержание и организация деятельности по благоустройству на территории поселения</v>
      </c>
      <c r="B260" s="158"/>
      <c r="C260" s="153"/>
      <c r="D260" s="154"/>
      <c r="E260" s="153">
        <v>29256</v>
      </c>
      <c r="F260" s="155"/>
      <c r="G260" s="502">
        <v>5862800</v>
      </c>
      <c r="H260" s="502">
        <f>H261</f>
        <v>0</v>
      </c>
      <c r="I260" s="161">
        <f t="shared" si="4"/>
        <v>5862800</v>
      </c>
    </row>
    <row r="261" spans="1:9" s="150" customFormat="1" ht="63" x14ac:dyDescent="0.25">
      <c r="A261" s="157" t="str">
        <f>IF(B261&gt;0,VLOOKUP(B261,КВСР!A67:B1232,2),IF(C261&gt;0,VLOOKUP(C261,КФСР!A67:B1579,2),IF(D261&gt;0,VLOOKUP(D261,Программа!A$1:B$5100,2),IF(F261&gt;0,VLOOKUP(F261,КВР!A$1:B$5001,2),IF(E261&gt;0,VLOOKUP(E261,Направление!A$1:B$4830,2))))))</f>
        <v>Предоставление субсидий бюджетным, автономным учреждениям и иным некоммерческим организациям</v>
      </c>
      <c r="B261" s="158"/>
      <c r="C261" s="153"/>
      <c r="D261" s="154"/>
      <c r="E261" s="153"/>
      <c r="F261" s="155">
        <v>600</v>
      </c>
      <c r="G261" s="502">
        <v>5862800</v>
      </c>
      <c r="H261" s="160"/>
      <c r="I261" s="161">
        <f t="shared" si="4"/>
        <v>5862800</v>
      </c>
    </row>
    <row r="262" spans="1:9" s="150" customFormat="1" ht="31.5" x14ac:dyDescent="0.25">
      <c r="A262" s="157" t="str">
        <f>IF(B262&gt;0,VLOOKUP(B262,КВСР!A68:B1233,2),IF(C262&gt;0,VLOOKUP(C262,КФСР!A68:B1580,2),IF(D262&gt;0,VLOOKUP(D262,Программа!A$1:B$5100,2),IF(F262&gt;0,VLOOKUP(F262,КВР!A$1:B$5001,2),IF(E262&gt;0,VLOOKUP(E262,Направление!A$1:B$4830,2))))))</f>
        <v>Обеспечение мероприятий в области благоустройства и озеленения</v>
      </c>
      <c r="B262" s="158"/>
      <c r="C262" s="153"/>
      <c r="D262" s="154"/>
      <c r="E262" s="153">
        <v>29266</v>
      </c>
      <c r="F262" s="155"/>
      <c r="G262" s="502">
        <v>2156455</v>
      </c>
      <c r="H262" s="502">
        <f>H263</f>
        <v>2200000</v>
      </c>
      <c r="I262" s="161">
        <f t="shared" si="4"/>
        <v>4356455</v>
      </c>
    </row>
    <row r="263" spans="1:9" s="150" customFormat="1" ht="63" x14ac:dyDescent="0.25">
      <c r="A263" s="157" t="str">
        <f>IF(B263&gt;0,VLOOKUP(B263,КВСР!A69:B1234,2),IF(C263&gt;0,VLOOKUP(C263,КФСР!A69:B1581,2),IF(D263&gt;0,VLOOKUP(D263,Программа!A$1:B$5100,2),IF(F263&gt;0,VLOOKUP(F263,КВР!A$1:B$5001,2),IF(E263&gt;0,VLOOKUP(E263,Направление!A$1:B$4830,2))))))</f>
        <v>Предоставление субсидий бюджетным, автономным учреждениям и иным некоммерческим организациям</v>
      </c>
      <c r="B263" s="158"/>
      <c r="C263" s="153"/>
      <c r="D263" s="154"/>
      <c r="E263" s="153"/>
      <c r="F263" s="155">
        <v>600</v>
      </c>
      <c r="G263" s="502">
        <v>2156455</v>
      </c>
      <c r="H263" s="160">
        <v>2200000</v>
      </c>
      <c r="I263" s="161">
        <f t="shared" si="4"/>
        <v>4356455</v>
      </c>
    </row>
    <row r="264" spans="1:9" s="150" customFormat="1" ht="47.25" x14ac:dyDescent="0.25">
      <c r="A264" s="157" t="str">
        <f>IF(B264&gt;0,VLOOKUP(B264,КВСР!A70:B1235,2),IF(C264&gt;0,VLOOKUP(C264,КФСР!A70:B1582,2),IF(D264&gt;0,VLOOKUP(D264,Программа!A$1:B$5100,2),IF(F264&gt;0,VLOOKUP(F264,КВР!A$1:B$5001,2),IF(E264&gt;0,VLOOKUP(E264,Направление!A$1:B$4830,2))))))</f>
        <v>Обеспечение доп.финансирования мероприятий  по формированию современной городской среды</v>
      </c>
      <c r="B264" s="158"/>
      <c r="C264" s="153"/>
      <c r="D264" s="154"/>
      <c r="E264" s="153">
        <v>29656</v>
      </c>
      <c r="F264" s="155"/>
      <c r="G264" s="502">
        <v>100000</v>
      </c>
      <c r="H264" s="502">
        <f>H265</f>
        <v>0</v>
      </c>
      <c r="I264" s="502">
        <f>I265</f>
        <v>100000</v>
      </c>
    </row>
    <row r="265" spans="1:9" s="150" customFormat="1" ht="63" x14ac:dyDescent="0.25">
      <c r="A265" s="157" t="str">
        <f>IF(B265&gt;0,VLOOKUP(B265,КВСР!A71:B1236,2),IF(C265&gt;0,VLOOKUP(C265,КФСР!A71:B1583,2),IF(D265&gt;0,VLOOKUP(D265,Программа!A$1:B$5100,2),IF(F265&gt;0,VLOOKUP(F265,КВР!A$1:B$5001,2),IF(E265&gt;0,VLOOKUP(E265,Направление!A$1:B$4830,2))))))</f>
        <v>Предоставление субсидий бюджетным, автономным учреждениям и иным некоммерческим организациям</v>
      </c>
      <c r="B265" s="158"/>
      <c r="C265" s="153"/>
      <c r="D265" s="154"/>
      <c r="E265" s="153"/>
      <c r="F265" s="155">
        <v>600</v>
      </c>
      <c r="G265" s="502">
        <v>100000</v>
      </c>
      <c r="H265" s="160"/>
      <c r="I265" s="161">
        <f>SUM(G265:H265)</f>
        <v>100000</v>
      </c>
    </row>
    <row r="266" spans="1:9" s="150" customFormat="1" ht="47.25" x14ac:dyDescent="0.25">
      <c r="A266" s="157" t="str">
        <f>IF(B266&gt;0,VLOOKUP(B266,КВСР!A72:B1237,2),IF(C266&gt;0,VLOOKUP(C266,КФСР!A72:B1584,2),IF(D266&gt;0,VLOOKUP(D266,Программа!A$1:B$5100,2),IF(F266&gt;0,VLOOKUP(F266,КВР!A$1:B$5001,2),IF(E266&gt;0,VLOOKUP(E266,Направление!A$1:B$4830,2))))))</f>
        <v xml:space="preserve">Мероприятия по содержанию территории города  из средств гранта района </v>
      </c>
      <c r="B266" s="158"/>
      <c r="C266" s="153"/>
      <c r="D266" s="154"/>
      <c r="E266" s="153">
        <v>75876</v>
      </c>
      <c r="F266" s="155"/>
      <c r="G266" s="502">
        <v>5403000</v>
      </c>
      <c r="H266" s="502">
        <f>H267</f>
        <v>-2490183</v>
      </c>
      <c r="I266" s="502">
        <f>I267</f>
        <v>2912817</v>
      </c>
    </row>
    <row r="267" spans="1:9" s="150" customFormat="1" ht="63" x14ac:dyDescent="0.25">
      <c r="A267" s="157" t="str">
        <f>IF(B267&gt;0,VLOOKUP(B267,КВСР!A73:B1238,2),IF(C267&gt;0,VLOOKUP(C267,КФСР!A73:B1585,2),IF(D267&gt;0,VLOOKUP(D267,Программа!A$1:B$5100,2),IF(F267&gt;0,VLOOKUP(F267,КВР!A$1:B$5001,2),IF(E267&gt;0,VLOOKUP(E267,Направление!A$1:B$4830,2))))))</f>
        <v>Предоставление субсидий бюджетным, автономным учреждениям и иным некоммерческим организациям</v>
      </c>
      <c r="B267" s="158"/>
      <c r="C267" s="153"/>
      <c r="D267" s="154"/>
      <c r="E267" s="153"/>
      <c r="F267" s="155">
        <v>600</v>
      </c>
      <c r="G267" s="502">
        <v>5403000</v>
      </c>
      <c r="H267" s="160">
        <f>-2500000+9817</f>
        <v>-2490183</v>
      </c>
      <c r="I267" s="161">
        <f>SUM(G267:H267)</f>
        <v>2912817</v>
      </c>
    </row>
    <row r="268" spans="1:9" s="150" customFormat="1" ht="63" x14ac:dyDescent="0.25">
      <c r="A268" s="157" t="str">
        <f>IF(B268&gt;0,VLOOKUP(B268,КВСР!A74:B1239,2),IF(C268&gt;0,VLOOKUP(C268,КФСР!A74:B1586,2),IF(D268&gt;0,VLOOKUP(D268,Программа!A$1:B$5100,2),IF(F268&gt;0,VLOOKUP(F268,КВР!A$1:B$5001,2),IF(E268&gt;0,VLOOKUP(E268,Направление!A$1:B$4830,2))))))</f>
        <v>Мероприятия по благоустройству и ремонту дворовых  территории в рамках софинансирования инициативного бюджетирования</v>
      </c>
      <c r="B268" s="158"/>
      <c r="C268" s="153"/>
      <c r="D268" s="154"/>
      <c r="E268" s="153">
        <v>75356</v>
      </c>
      <c r="F268" s="155"/>
      <c r="G268" s="502">
        <v>2249938.2200000002</v>
      </c>
      <c r="H268" s="502">
        <f>H269</f>
        <v>0</v>
      </c>
      <c r="I268" s="161">
        <f>SUM(G268:H268)</f>
        <v>2249938.2200000002</v>
      </c>
    </row>
    <row r="269" spans="1:9" s="150" customFormat="1" ht="63" x14ac:dyDescent="0.25">
      <c r="A269" s="157" t="str">
        <f>IF(B269&gt;0,VLOOKUP(B269,КВСР!A75:B1240,2),IF(C269&gt;0,VLOOKUP(C269,КФСР!A75:B1587,2),IF(D269&gt;0,VLOOKUP(D269,Программа!A$1:B$5100,2),IF(F269&gt;0,VLOOKUP(F269,КВР!A$1:B$5001,2),IF(E269&gt;0,VLOOKUP(E269,Направление!A$1:B$4830,2))))))</f>
        <v>Предоставление субсидий бюджетным, автономным учреждениям и иным некоммерческим организациям</v>
      </c>
      <c r="B269" s="158"/>
      <c r="C269" s="153"/>
      <c r="D269" s="154"/>
      <c r="E269" s="153"/>
      <c r="F269" s="155">
        <v>600</v>
      </c>
      <c r="G269" s="502">
        <v>2249938.2200000002</v>
      </c>
      <c r="H269" s="160"/>
      <c r="I269" s="161">
        <f>SUM(G269:H269)</f>
        <v>2249938.2200000002</v>
      </c>
    </row>
    <row r="270" spans="1:9" s="150" customFormat="1" ht="47.25" x14ac:dyDescent="0.25">
      <c r="A270" s="157" t="str">
        <f>IF(B270&gt;0,VLOOKUP(B270,КВСР!A76:B1241,2),IF(C270&gt;0,VLOOKUP(C270,КФСР!A76:B1588,2),IF(D270&gt;0,VLOOKUP(D270,Программа!A$1:B$5100,2),IF(F270&gt;0,VLOOKUP(F270,КВР!A$1:B$5001,2),IF(E270&gt;0,VLOOKUP(E270,Направление!A$1:B$4830,2))))))</f>
        <v>Обеспечение мероприятий по благоустргойству территории , предкусмотренных по НПА ЯО</v>
      </c>
      <c r="B270" s="158"/>
      <c r="C270" s="153"/>
      <c r="D270" s="154"/>
      <c r="E270" s="153">
        <v>73266</v>
      </c>
      <c r="F270" s="155"/>
      <c r="G270" s="502">
        <v>626169</v>
      </c>
      <c r="H270" s="502">
        <f>H271</f>
        <v>0</v>
      </c>
      <c r="I270" s="502">
        <f>I271</f>
        <v>626169</v>
      </c>
    </row>
    <row r="271" spans="1:9" s="150" customFormat="1" ht="63" x14ac:dyDescent="0.25">
      <c r="A271" s="157" t="str">
        <f>IF(B271&gt;0,VLOOKUP(B271,КВСР!A77:B1242,2),IF(C271&gt;0,VLOOKUP(C271,КФСР!A77:B1589,2),IF(D271&gt;0,VLOOKUP(D271,Программа!A$1:B$5100,2),IF(F271&gt;0,VLOOKUP(F271,КВР!A$1:B$5001,2),IF(E271&gt;0,VLOOKUP(E271,Направление!A$1:B$4830,2))))))</f>
        <v>Предоставление субсидий бюджетным, автономным учреждениям и иным некоммерческим организациям</v>
      </c>
      <c r="B271" s="158"/>
      <c r="C271" s="153"/>
      <c r="D271" s="154"/>
      <c r="E271" s="153"/>
      <c r="F271" s="155">
        <v>600</v>
      </c>
      <c r="G271" s="502">
        <v>626169</v>
      </c>
      <c r="H271" s="160"/>
      <c r="I271" s="161">
        <f>SUM(G271:H271)</f>
        <v>626169</v>
      </c>
    </row>
    <row r="272" spans="1:9" s="150" customFormat="1" ht="31.5" hidden="1" x14ac:dyDescent="0.25">
      <c r="A272" s="157" t="str">
        <f>IF(B272&gt;0,VLOOKUP(B272,КВСР!A76:B1241,2),IF(C272&gt;0,VLOOKUP(C272,КФСР!A76:B1588,2),IF(D272&gt;0,VLOOKUP(D272,Программа!A$1:B$5100,2),IF(F272&gt;0,VLOOKUP(F272,КВР!A$1:B$5001,2),IF(E272&gt;0,VLOOKUP(E272,Направление!A$1:B$4830,2))))))</f>
        <v>Обеспечение мероприятий в области благоустройства и озеленения</v>
      </c>
      <c r="B272" s="158"/>
      <c r="C272" s="153"/>
      <c r="D272" s="154"/>
      <c r="E272" s="153">
        <v>29266</v>
      </c>
      <c r="F272" s="155"/>
      <c r="G272" s="502">
        <v>0</v>
      </c>
      <c r="H272" s="502">
        <f>H273</f>
        <v>0</v>
      </c>
      <c r="I272" s="502">
        <f>I273</f>
        <v>0</v>
      </c>
    </row>
    <row r="273" spans="1:9" s="150" customFormat="1" ht="63" hidden="1" x14ac:dyDescent="0.25">
      <c r="A273" s="157" t="str">
        <f>IF(B273&gt;0,VLOOKUP(B273,КВСР!A77:B1242,2),IF(C273&gt;0,VLOOKUP(C273,КФСР!A77:B1589,2),IF(D273&gt;0,VLOOKUP(D273,Программа!A$1:B$5100,2),IF(F273&gt;0,VLOOKUP(F273,КВР!A$1:B$5001,2),IF(E273&gt;0,VLOOKUP(E273,Направление!A$1:B$4830,2))))))</f>
        <v>Предоставление субсидий бюджетным, автономным учреждениям и иным некоммерческим организациям</v>
      </c>
      <c r="B273" s="158"/>
      <c r="C273" s="153"/>
      <c r="D273" s="154"/>
      <c r="E273" s="153"/>
      <c r="F273" s="155">
        <v>600</v>
      </c>
      <c r="G273" s="502">
        <v>0</v>
      </c>
      <c r="H273" s="160"/>
      <c r="I273" s="161">
        <f>SUM(G273:H273)</f>
        <v>0</v>
      </c>
    </row>
    <row r="274" spans="1:9" s="150" customFormat="1" ht="63" x14ac:dyDescent="0.25">
      <c r="A274" s="157" t="str">
        <f>IF(B274&gt;0,VLOOKUP(B274,КВСР!A70:B1235,2),IF(C274&gt;0,VLOOKUP(C274,КФСР!A70:B1582,2),IF(D274&gt;0,VLOOKUP(D274,Программа!A$1:B$5100,2),IF(F274&gt;0,VLOOKUP(F274,КВР!A$1:B$5001,2),IF(E274&gt;0,VLOOKUP(E274,Направление!A$1:B$4830,2))))))</f>
        <v>Муниципальная программа "Формирование  современной городской среды"  Тутаевского муниципального района</v>
      </c>
      <c r="B274" s="158"/>
      <c r="C274" s="153"/>
      <c r="D274" s="154" t="s">
        <v>3167</v>
      </c>
      <c r="E274" s="153"/>
      <c r="F274" s="155"/>
      <c r="G274" s="502">
        <v>17127950.620000001</v>
      </c>
      <c r="H274" s="502">
        <f>H275+H284</f>
        <v>-7055464</v>
      </c>
      <c r="I274" s="161">
        <f t="shared" si="4"/>
        <v>10072486.620000001</v>
      </c>
    </row>
    <row r="275" spans="1:9" s="150" customFormat="1" ht="31.5" x14ac:dyDescent="0.25">
      <c r="A275" s="157" t="str">
        <f>IF(B275&gt;0,VLOOKUP(B275,КВСР!A71:B1236,2),IF(C275&gt;0,VLOOKUP(C275,КФСР!A71:B1583,2),IF(D275&gt;0,VLOOKUP(D275,Программа!A$1:B$5100,2),IF(F275&gt;0,VLOOKUP(F275,КВР!A$1:B$5001,2),IF(E275&gt;0,VLOOKUP(E275,Направление!A$1:B$4830,2))))))</f>
        <v>Повышение уровня благоустройства дворовых территорий</v>
      </c>
      <c r="B275" s="158"/>
      <c r="C275" s="153"/>
      <c r="D275" s="154" t="s">
        <v>3195</v>
      </c>
      <c r="E275" s="153"/>
      <c r="F275" s="155"/>
      <c r="G275" s="502">
        <v>12056203.620000001</v>
      </c>
      <c r="H275" s="502">
        <f>H276+H282+H278+H280</f>
        <v>-3199450</v>
      </c>
      <c r="I275" s="161">
        <f t="shared" si="4"/>
        <v>8856753.620000001</v>
      </c>
    </row>
    <row r="276" spans="1:9" s="150" customFormat="1" ht="47.25" x14ac:dyDescent="0.25">
      <c r="A276" s="157" t="str">
        <f>IF(B276&gt;0,VLOOKUP(B276,КВСР!A72:B1237,2),IF(C276&gt;0,VLOOKUP(C276,КФСР!A72:B1584,2),IF(D276&gt;0,VLOOKUP(D276,Программа!A$1:B$5100,2),IF(F276&gt;0,VLOOKUP(F276,КВР!A$1:B$5001,2),IF(E276&gt;0,VLOOKUP(E276,Направление!A$1:B$4830,2))))))</f>
        <v>Обеспечение  мероприятий по формированию современной городской среды</v>
      </c>
      <c r="B276" s="158"/>
      <c r="C276" s="153"/>
      <c r="D276" s="154"/>
      <c r="E276" s="153" t="s">
        <v>3279</v>
      </c>
      <c r="F276" s="155"/>
      <c r="G276" s="502">
        <v>4441253</v>
      </c>
      <c r="H276" s="502">
        <f>H277</f>
        <v>-3199450</v>
      </c>
      <c r="I276" s="161">
        <f t="shared" si="4"/>
        <v>1241803</v>
      </c>
    </row>
    <row r="277" spans="1:9" s="150" customFormat="1" ht="63" x14ac:dyDescent="0.25">
      <c r="A277" s="157" t="str">
        <f>IF(B277&gt;0,VLOOKUP(B277,КВСР!A73:B1238,2),IF(C277&gt;0,VLOOKUP(C277,КФСР!A73:B1585,2),IF(D277&gt;0,VLOOKUP(D277,Программа!A$1:B$5100,2),IF(F277&gt;0,VLOOKUP(F277,КВР!A$1:B$5001,2),IF(E277&gt;0,VLOOKUP(E277,Направление!A$1:B$4830,2))))))</f>
        <v>Предоставление субсидий бюджетным, автономным учреждениям и иным некоммерческим организациям</v>
      </c>
      <c r="B277" s="158"/>
      <c r="C277" s="153"/>
      <c r="D277" s="154"/>
      <c r="E277" s="153"/>
      <c r="F277" s="155">
        <v>600</v>
      </c>
      <c r="G277" s="502">
        <v>4441253</v>
      </c>
      <c r="H277" s="160">
        <v>-3199450</v>
      </c>
      <c r="I277" s="161">
        <f t="shared" si="4"/>
        <v>1241803</v>
      </c>
    </row>
    <row r="278" spans="1:9" s="150" customFormat="1" ht="47.25" x14ac:dyDescent="0.25">
      <c r="A278" s="157" t="str">
        <f>IF(B278&gt;0,VLOOKUP(B278,КВСР!A74:B1239,2),IF(C278&gt;0,VLOOKUP(C278,КФСР!A74:B1586,2),IF(D278&gt;0,VLOOKUP(D278,Программа!A$1:B$5100,2),IF(F278&gt;0,VLOOKUP(F278,КВР!A$1:B$5001,2),IF(E278&gt;0,VLOOKUP(E278,Направление!A$1:B$4830,2))))))</f>
        <v>Обеспечение доп.финансирования мероприятий  по формированию современной городской среды</v>
      </c>
      <c r="B278" s="158"/>
      <c r="C278" s="153"/>
      <c r="D278" s="154"/>
      <c r="E278" s="153">
        <v>29656</v>
      </c>
      <c r="F278" s="155"/>
      <c r="G278" s="502">
        <v>822765</v>
      </c>
      <c r="H278" s="502">
        <f>H279</f>
        <v>0</v>
      </c>
      <c r="I278" s="502">
        <f>I279</f>
        <v>822765</v>
      </c>
    </row>
    <row r="279" spans="1:9" s="150" customFormat="1" ht="63" x14ac:dyDescent="0.25">
      <c r="A279" s="157" t="str">
        <f>IF(B279&gt;0,VLOOKUP(B279,КВСР!A75:B1240,2),IF(C279&gt;0,VLOOKUP(C279,КФСР!A75:B1587,2),IF(D279&gt;0,VLOOKUP(D279,Программа!A$1:B$5100,2),IF(F279&gt;0,VLOOKUP(F279,КВР!A$1:B$5001,2),IF(E279&gt;0,VLOOKUP(E279,Направление!A$1:B$4830,2))))))</f>
        <v>Предоставление субсидий бюджетным, автономным учреждениям и иным некоммерческим организациям</v>
      </c>
      <c r="B279" s="158"/>
      <c r="C279" s="153"/>
      <c r="D279" s="154"/>
      <c r="E279" s="153"/>
      <c r="F279" s="155">
        <v>600</v>
      </c>
      <c r="G279" s="502">
        <v>822765</v>
      </c>
      <c r="H279" s="160"/>
      <c r="I279" s="161">
        <f>SUM(G279:H279)</f>
        <v>822765</v>
      </c>
    </row>
    <row r="280" spans="1:9" s="150" customFormat="1" ht="47.25" x14ac:dyDescent="0.25">
      <c r="A280" s="157" t="str">
        <f>IF(B280&gt;0,VLOOKUP(B280,КВСР!A76:B1241,2),IF(C280&gt;0,VLOOKUP(C280,КФСР!A76:B1588,2),IF(D280&gt;0,VLOOKUP(D280,Программа!A$1:B$5100,2),IF(F280&gt;0,VLOOKUP(F280,КВР!A$1:B$5001,2),IF(E280&gt;0,VLOOKUP(E280,Направление!A$1:B$4830,2))))))</f>
        <v>Обеспечение мероприятий по благоустргойству территории , предкусмотренных по НПА ЯО</v>
      </c>
      <c r="B280" s="158"/>
      <c r="C280" s="153"/>
      <c r="D280" s="154"/>
      <c r="E280" s="153">
        <v>73266</v>
      </c>
      <c r="F280" s="155"/>
      <c r="G280" s="502">
        <v>3400000</v>
      </c>
      <c r="H280" s="502">
        <f>H281</f>
        <v>0</v>
      </c>
      <c r="I280" s="502">
        <f>I281</f>
        <v>3400000</v>
      </c>
    </row>
    <row r="281" spans="1:9" s="150" customFormat="1" ht="63" x14ac:dyDescent="0.25">
      <c r="A281" s="157" t="str">
        <f>IF(B281&gt;0,VLOOKUP(B281,КВСР!A77:B1242,2),IF(C281&gt;0,VLOOKUP(C281,КФСР!A77:B1589,2),IF(D281&gt;0,VLOOKUP(D281,Программа!A$1:B$5100,2),IF(F281&gt;0,VLOOKUP(F281,КВР!A$1:B$5001,2),IF(E281&gt;0,VLOOKUP(E281,Направление!A$1:B$4830,2))))))</f>
        <v>Предоставление субсидий бюджетным, автономным учреждениям и иным некоммерческим организациям</v>
      </c>
      <c r="B281" s="158"/>
      <c r="C281" s="153"/>
      <c r="D281" s="154"/>
      <c r="E281" s="153"/>
      <c r="F281" s="155">
        <v>600</v>
      </c>
      <c r="G281" s="502">
        <v>3400000</v>
      </c>
      <c r="H281" s="160"/>
      <c r="I281" s="161">
        <f>SUM(G281:H281)</f>
        <v>3400000</v>
      </c>
    </row>
    <row r="282" spans="1:9" s="150" customFormat="1" ht="31.5" x14ac:dyDescent="0.25">
      <c r="A282" s="157" t="str">
        <f>IF(B282&gt;0,VLOOKUP(B282,КВСР!A74:B1239,2),IF(C282&gt;0,VLOOKUP(C282,КФСР!A74:B1586,2),IF(D282&gt;0,VLOOKUP(D282,Программа!A$1:B$5100,2),IF(F282&gt;0,VLOOKUP(F282,КВР!A$1:B$5001,2),IF(E282&gt;0,VLOOKUP(E282,Направление!A$1:B$4830,2))))))</f>
        <v xml:space="preserve">Субсидия на формирование современной городской среды </v>
      </c>
      <c r="B282" s="158"/>
      <c r="C282" s="153"/>
      <c r="D282" s="154"/>
      <c r="E282" s="153">
        <v>75556</v>
      </c>
      <c r="F282" s="155"/>
      <c r="G282" s="502">
        <v>3392185.62</v>
      </c>
      <c r="H282" s="502">
        <f>H283</f>
        <v>0</v>
      </c>
      <c r="I282" s="161">
        <f t="shared" ref="I282:I291" si="5">SUM(G282:H282)</f>
        <v>3392185.62</v>
      </c>
    </row>
    <row r="283" spans="1:9" s="150" customFormat="1" ht="63" x14ac:dyDescent="0.25">
      <c r="A283" s="157" t="str">
        <f>IF(B283&gt;0,VLOOKUP(B283,КВСР!A75:B1240,2),IF(C283&gt;0,VLOOKUP(C283,КФСР!A75:B1587,2),IF(D283&gt;0,VLOOKUP(D283,Программа!A$1:B$5100,2),IF(F283&gt;0,VLOOKUP(F283,КВР!A$1:B$5001,2),IF(E283&gt;0,VLOOKUP(E283,Направление!A$1:B$4830,2))))))</f>
        <v>Предоставление субсидий бюджетным, автономным учреждениям и иным некоммерческим организациям</v>
      </c>
      <c r="B283" s="158"/>
      <c r="C283" s="153"/>
      <c r="D283" s="154"/>
      <c r="E283" s="153"/>
      <c r="F283" s="155">
        <v>600</v>
      </c>
      <c r="G283" s="502">
        <v>3392185.62</v>
      </c>
      <c r="H283" s="160"/>
      <c r="I283" s="161">
        <f t="shared" si="5"/>
        <v>3392185.62</v>
      </c>
    </row>
    <row r="284" spans="1:9" s="150" customFormat="1" ht="31.5" x14ac:dyDescent="0.25">
      <c r="A284" s="157" t="str">
        <f>IF(B284&gt;0,VLOOKUP(B284,КВСР!A76:B1241,2),IF(C284&gt;0,VLOOKUP(C284,КФСР!A76:B1588,2),IF(D284&gt;0,VLOOKUP(D284,Программа!A$1:B$5100,2),IF(F284&gt;0,VLOOKUP(F284,КВР!A$1:B$5001,2),IF(E284&gt;0,VLOOKUP(E284,Направление!A$1:B$4830,2))))))</f>
        <v>Повышение  уровня благоустройства  мест массового отдыха людей</v>
      </c>
      <c r="B284" s="158"/>
      <c r="C284" s="153"/>
      <c r="D284" s="154" t="s">
        <v>3196</v>
      </c>
      <c r="E284" s="153"/>
      <c r="F284" s="155"/>
      <c r="G284" s="502">
        <v>5071747</v>
      </c>
      <c r="H284" s="502">
        <f>H285+H287</f>
        <v>-3856014</v>
      </c>
      <c r="I284" s="502">
        <f>SUM(G284:H284)</f>
        <v>1215733</v>
      </c>
    </row>
    <row r="285" spans="1:9" s="150" customFormat="1" ht="78.75" hidden="1" x14ac:dyDescent="0.25">
      <c r="A285" s="157" t="str">
        <f>IF(B285&gt;0,VLOOKUP(B285,КВСР!A77:B1242,2),IF(C285&gt;0,VLOOKUP(C285,КФСР!A77:B1589,2),IF(D285&gt;0,VLOOKUP(D285,Программа!A$1:B$5100,2),IF(F285&gt;0,VLOOKUP(F285,КВР!A$1:B$5001,2),IF(E285&gt;0,VLOOKUP(E285,Направление!A$1:B$4830,2))))))</f>
        <v>Обеспечение  мероприятий по формированию современной городской среды в области благоустройства мест массового отдыха</v>
      </c>
      <c r="B285" s="158"/>
      <c r="C285" s="153"/>
      <c r="D285" s="154"/>
      <c r="E285" s="153" t="s">
        <v>3381</v>
      </c>
      <c r="F285" s="155"/>
      <c r="G285" s="502">
        <v>3856014</v>
      </c>
      <c r="H285" s="502">
        <f>H286</f>
        <v>-3856014</v>
      </c>
      <c r="I285" s="502">
        <f>I286</f>
        <v>0</v>
      </c>
    </row>
    <row r="286" spans="1:9" s="150" customFormat="1" ht="63" hidden="1" x14ac:dyDescent="0.25">
      <c r="A286" s="157" t="str">
        <f>IF(B286&gt;0,VLOOKUP(B286,КВСР!A78:B1243,2),IF(C286&gt;0,VLOOKUP(C286,КФСР!A78:B1590,2),IF(D286&gt;0,VLOOKUP(D286,Программа!A$1:B$5100,2),IF(F286&gt;0,VLOOKUP(F286,КВР!A$1:B$5001,2),IF(E286&gt;0,VLOOKUP(E286,Направление!A$1:B$4830,2))))))</f>
        <v>Предоставление субсидий бюджетным, автономным учреждениям и иным некоммерческим организациям</v>
      </c>
      <c r="B286" s="158"/>
      <c r="C286" s="153"/>
      <c r="D286" s="154"/>
      <c r="E286" s="153"/>
      <c r="F286" s="155">
        <v>600</v>
      </c>
      <c r="G286" s="502">
        <v>3856014</v>
      </c>
      <c r="H286" s="160">
        <v>-3856014</v>
      </c>
      <c r="I286" s="161">
        <f>SUM(G286:H286)</f>
        <v>0</v>
      </c>
    </row>
    <row r="287" spans="1:9" s="150" customFormat="1" ht="63" x14ac:dyDescent="0.25">
      <c r="A287" s="157" t="str">
        <f>IF(B287&gt;0,VLOOKUP(B287,КВСР!A79:B1244,2),IF(C287&gt;0,VLOOKUP(C287,КФСР!A79:B1591,2),IF(D287&gt;0,VLOOKUP(D287,Программа!A$1:B$5100,2),IF(F287&gt;0,VLOOKUP(F287,КВР!A$1:B$5001,2),IF(E287&gt;0,VLOOKUP(E287,Направление!A$1:B$4830,2))))))</f>
        <v>Обеспечение мероприятий по обустройству мест массового отдыха в рамках реализации губернаторского проекта «Решаем вместе!»</v>
      </c>
      <c r="B287" s="158"/>
      <c r="C287" s="153"/>
      <c r="D287" s="154"/>
      <c r="E287" s="153">
        <v>29676</v>
      </c>
      <c r="F287" s="155"/>
      <c r="G287" s="502">
        <v>1215733</v>
      </c>
      <c r="H287" s="502">
        <f>H288</f>
        <v>0</v>
      </c>
      <c r="I287" s="502">
        <f>I288</f>
        <v>1215733</v>
      </c>
    </row>
    <row r="288" spans="1:9" s="150" customFormat="1" ht="63" x14ac:dyDescent="0.25">
      <c r="A288" s="157" t="str">
        <f>IF(B288&gt;0,VLOOKUP(B288,КВСР!A80:B1245,2),IF(C288&gt;0,VLOOKUP(C288,КФСР!A80:B1592,2),IF(D288&gt;0,VLOOKUP(D288,Программа!A$1:B$5100,2),IF(F288&gt;0,VLOOKUP(F288,КВР!A$1:B$5001,2),IF(E288&gt;0,VLOOKUP(E288,Направление!A$1:B$4830,2))))))</f>
        <v>Предоставление субсидий бюджетным, автономным учреждениям и иным некоммерческим организациям</v>
      </c>
      <c r="B288" s="158"/>
      <c r="C288" s="153"/>
      <c r="D288" s="154"/>
      <c r="E288" s="153"/>
      <c r="F288" s="155">
        <v>600</v>
      </c>
      <c r="G288" s="502">
        <v>1215733</v>
      </c>
      <c r="H288" s="160"/>
      <c r="I288" s="161">
        <f>SUM(G288:H288)</f>
        <v>1215733</v>
      </c>
    </row>
    <row r="289" spans="1:9" s="150" customFormat="1" ht="31.5" x14ac:dyDescent="0.25">
      <c r="A289" s="157" t="str">
        <f>IF(B289&gt;0,VLOOKUP(B289,КВСР!A76:B1241,2),IF(C289&gt;0,VLOOKUP(C289,КФСР!A76:B1588,2),IF(D289&gt;0,VLOOKUP(D289,Программа!A$1:B$5100,2),IF(F289&gt;0,VLOOKUP(F289,КВР!A$1:B$5001,2),IF(E289&gt;0,VLOOKUP(E289,Направление!A$1:B$4830,2))))))</f>
        <v>Межбюджетные трансферты  поселениям района</v>
      </c>
      <c r="B289" s="158"/>
      <c r="C289" s="153"/>
      <c r="D289" s="154" t="s">
        <v>801</v>
      </c>
      <c r="E289" s="153"/>
      <c r="F289" s="155"/>
      <c r="G289" s="502">
        <v>3392185.62</v>
      </c>
      <c r="H289" s="502">
        <f>H290</f>
        <v>0</v>
      </c>
      <c r="I289" s="161">
        <f t="shared" si="5"/>
        <v>3392185.62</v>
      </c>
    </row>
    <row r="290" spans="1:9" s="150" customFormat="1" ht="47.25" x14ac:dyDescent="0.25">
      <c r="A290" s="157" t="str">
        <f>IF(B290&gt;0,VLOOKUP(B290,КВСР!A77:B1242,2),IF(C290&gt;0,VLOOKUP(C290,КФСР!A77:B1589,2),IF(D290&gt;0,VLOOKUP(D290,Программа!A$1:B$5100,2),IF(F290&gt;0,VLOOKUP(F290,КВР!A$1:B$5001,2),IF(E290&gt;0,VLOOKUP(E290,Направление!A$1:B$4830,2))))))</f>
        <v>Субсидия на формирование современной городской среды  (кредиторская задолженность)</v>
      </c>
      <c r="B290" s="158"/>
      <c r="C290" s="153"/>
      <c r="D290" s="154"/>
      <c r="E290" s="153">
        <v>75550</v>
      </c>
      <c r="F290" s="155"/>
      <c r="G290" s="502">
        <v>3392185.62</v>
      </c>
      <c r="H290" s="502">
        <f>H291</f>
        <v>0</v>
      </c>
      <c r="I290" s="161">
        <f t="shared" si="5"/>
        <v>3392185.62</v>
      </c>
    </row>
    <row r="291" spans="1:9" s="150" customFormat="1" x14ac:dyDescent="0.25">
      <c r="A291" s="157" t="str">
        <f>IF(B291&gt;0,VLOOKUP(B291,КВСР!A78:B1243,2),IF(C291&gt;0,VLOOKUP(C291,КФСР!A78:B1590,2),IF(D291&gt;0,VLOOKUP(D291,Программа!A$1:B$5100,2),IF(F291&gt;0,VLOOKUP(F291,КВР!A$1:B$5001,2),IF(E291&gt;0,VLOOKUP(E291,Направление!A$1:B$4830,2))))))</f>
        <v xml:space="preserve"> Межбюджетные трансферты</v>
      </c>
      <c r="B291" s="158"/>
      <c r="C291" s="153"/>
      <c r="D291" s="154"/>
      <c r="E291" s="153"/>
      <c r="F291" s="155">
        <v>500</v>
      </c>
      <c r="G291" s="502">
        <v>3392185.62</v>
      </c>
      <c r="H291" s="160"/>
      <c r="I291" s="161">
        <f t="shared" si="5"/>
        <v>3392185.62</v>
      </c>
    </row>
    <row r="292" spans="1:9" s="150" customFormat="1" ht="31.5" x14ac:dyDescent="0.25">
      <c r="A292" s="157" t="str">
        <f>IF(B292&gt;0,VLOOKUP(B292,КВСР!A58:B1223,2),IF(C292&gt;0,VLOOKUP(C292,КФСР!A58:B1570,2),IF(D292&gt;0,VLOOKUP(D292,Программа!A$1:B$5100,2),IF(F292&gt;0,VLOOKUP(F292,КВР!A$1:B$5001,2),IF(E292&gt;0,VLOOKUP(E292,Направление!A$1:B$4830,2))))))</f>
        <v>Другие вопросы в области охраны окружающей среды</v>
      </c>
      <c r="B292" s="158"/>
      <c r="C292" s="153">
        <v>605</v>
      </c>
      <c r="D292" s="155"/>
      <c r="E292" s="153"/>
      <c r="F292" s="155"/>
      <c r="G292" s="168">
        <v>913855.13</v>
      </c>
      <c r="H292" s="168">
        <f>H293</f>
        <v>-121936</v>
      </c>
      <c r="I292" s="161">
        <f t="shared" si="4"/>
        <v>791919.13</v>
      </c>
    </row>
    <row r="293" spans="1:9" s="150" customFormat="1" ht="63" x14ac:dyDescent="0.25">
      <c r="A293" s="157" t="str">
        <f>IF(B293&gt;0,VLOOKUP(B293,КВСР!A59:B1224,2),IF(C293&gt;0,VLOOKUP(C293,КФСР!A59:B1571,2),IF(D293&gt;0,VLOOKUP(D293,Программа!A$1:B$5100,2),IF(F293&gt;0,VLOOKUP(F293,КВР!A$1:B$5001,2),IF(E293&gt;0,VLOOKUP(E293,Направление!A$1:B$4830,2))))))</f>
        <v>Муниципальная программа "Охрана окружающей среды и рациональное природопользование в Тутаевском муниципальном районе"</v>
      </c>
      <c r="B293" s="158"/>
      <c r="C293" s="153"/>
      <c r="D293" s="155" t="s">
        <v>2914</v>
      </c>
      <c r="E293" s="153"/>
      <c r="F293" s="155"/>
      <c r="G293" s="168">
        <v>913855.13</v>
      </c>
      <c r="H293" s="168">
        <f>H294</f>
        <v>-121936</v>
      </c>
      <c r="I293" s="161">
        <f t="shared" si="4"/>
        <v>791919.13</v>
      </c>
    </row>
    <row r="294" spans="1:9" s="150" customFormat="1" ht="63" x14ac:dyDescent="0.25">
      <c r="A294" s="157" t="str">
        <f>IF(B294&gt;0,VLOOKUP(B294,КВСР!A60:B1225,2),IF(C294&gt;0,VLOOKUP(C294,КФСР!A60:B1572,2),IF(D294&gt;0,VLOOKUP(D294,Программа!A$1:B$5100,2),IF(F294&gt;0,VLOOKUP(F294,КВР!A$1:B$5001,2),IF(E294&gt;0,VLOOKUP(E294,Направление!A$1:B$4830,2))))))</f>
        <v>Проведение мероприятий по охране окружающей среды и природопользованию на территории Тутаевского муниципального района</v>
      </c>
      <c r="B294" s="158"/>
      <c r="C294" s="153"/>
      <c r="D294" s="155" t="s">
        <v>2962</v>
      </c>
      <c r="E294" s="153"/>
      <c r="F294" s="155"/>
      <c r="G294" s="168">
        <v>913855.13</v>
      </c>
      <c r="H294" s="168">
        <f>H295</f>
        <v>-121936</v>
      </c>
      <c r="I294" s="161">
        <f t="shared" si="4"/>
        <v>791919.13</v>
      </c>
    </row>
    <row r="295" spans="1:9" s="150" customFormat="1" ht="31.5" x14ac:dyDescent="0.25">
      <c r="A295" s="157" t="str">
        <f>IF(B295&gt;0,VLOOKUP(B295,КВСР!A60:B1225,2),IF(C295&gt;0,VLOOKUP(C295,КФСР!A60:B1572,2),IF(D295&gt;0,VLOOKUP(D295,Программа!A$1:B$5100,2),IF(F295&gt;0,VLOOKUP(F295,КВР!A$1:B$5001,2),IF(E295&gt;0,VLOOKUP(E295,Направление!A$1:B$4830,2))))))</f>
        <v>Расходы на природоохранные мероприятия</v>
      </c>
      <c r="B295" s="158"/>
      <c r="C295" s="153"/>
      <c r="D295" s="155"/>
      <c r="E295" s="153">
        <v>10600</v>
      </c>
      <c r="F295" s="155"/>
      <c r="G295" s="168">
        <v>913855.13</v>
      </c>
      <c r="H295" s="168">
        <f>H296</f>
        <v>-121936</v>
      </c>
      <c r="I295" s="161">
        <f t="shared" si="4"/>
        <v>791919.13</v>
      </c>
    </row>
    <row r="296" spans="1:9" s="150" customFormat="1" ht="63" x14ac:dyDescent="0.25">
      <c r="A296" s="157" t="str">
        <f>IF(B296&gt;0,VLOOKUP(B296,КВСР!A61:B1226,2),IF(C296&gt;0,VLOOKUP(C296,КФСР!A61:B1573,2),IF(D296&gt;0,VLOOKUP(D296,Программа!A$1:B$5100,2),IF(F296&gt;0,VLOOKUP(F296,КВР!A$1:B$5001,2),IF(E296&gt;0,VLOOKUP(E296,Направление!A$1:B$4830,2))))))</f>
        <v xml:space="preserve">Закупка товаров, работ и услуг для обеспечения государственных (муниципальных) нужд
</v>
      </c>
      <c r="B296" s="158"/>
      <c r="C296" s="153"/>
      <c r="D296" s="155"/>
      <c r="E296" s="153"/>
      <c r="F296" s="155">
        <v>200</v>
      </c>
      <c r="G296" s="502">
        <v>913855.13</v>
      </c>
      <c r="H296" s="160">
        <v>-121936</v>
      </c>
      <c r="I296" s="161">
        <f t="shared" si="4"/>
        <v>791919.13</v>
      </c>
    </row>
    <row r="297" spans="1:9" s="150" customFormat="1" hidden="1" x14ac:dyDescent="0.25">
      <c r="A297" s="157" t="str">
        <f>IF(B297&gt;0,VLOOKUP(B297,КВСР!A62:B1227,2),IF(C297&gt;0,VLOOKUP(C297,КФСР!A62:B1574,2),IF(D297&gt;0,VLOOKUP(D297,Программа!A$1:B$5100,2),IF(F297&gt;0,VLOOKUP(F297,КВР!A$1:B$5001,2),IF(E297&gt;0,VLOOKUP(E297,Направление!A$1:B$4830,2))))))</f>
        <v>Общее образование</v>
      </c>
      <c r="B297" s="158"/>
      <c r="C297" s="153">
        <v>702</v>
      </c>
      <c r="D297" s="155"/>
      <c r="E297" s="153"/>
      <c r="F297" s="155"/>
      <c r="G297" s="502">
        <v>0</v>
      </c>
      <c r="H297" s="502">
        <f>H298</f>
        <v>0</v>
      </c>
      <c r="I297" s="161">
        <f t="shared" si="4"/>
        <v>0</v>
      </c>
    </row>
    <row r="298" spans="1:9" s="150" customFormat="1" hidden="1" x14ac:dyDescent="0.25">
      <c r="A298" s="157" t="str">
        <f>IF(B298&gt;0,VLOOKUP(B298,КВСР!A63:B1228,2),IF(C298&gt;0,VLOOKUP(C298,КФСР!A63:B1575,2),IF(D298&gt;0,VLOOKUP(D298,Программа!A$1:B$5100,2),IF(F298&gt;0,VLOOKUP(F298,КВР!A$1:B$5001,2),IF(E298&gt;0,VLOOKUP(E298,Направление!A$1:B$4830,2))))))</f>
        <v>Непрограммные расходы бюджета</v>
      </c>
      <c r="B298" s="158"/>
      <c r="C298" s="153"/>
      <c r="D298" s="155" t="s">
        <v>626</v>
      </c>
      <c r="E298" s="153"/>
      <c r="F298" s="155"/>
      <c r="G298" s="502">
        <v>0</v>
      </c>
      <c r="H298" s="502">
        <f>H299</f>
        <v>0</v>
      </c>
      <c r="I298" s="161">
        <f t="shared" si="4"/>
        <v>0</v>
      </c>
    </row>
    <row r="299" spans="1:9" s="150" customFormat="1" ht="31.5" hidden="1" x14ac:dyDescent="0.25">
      <c r="A299" s="157" t="str">
        <f>IF(B299&gt;0,VLOOKUP(B299,КВСР!A64:B1229,2),IF(C299&gt;0,VLOOKUP(C299,КФСР!A64:B1576,2),IF(D299&gt;0,VLOOKUP(D299,Программа!A$1:B$5100,2),IF(F299&gt;0,VLOOKUP(F299,КВР!A$1:B$5001,2),IF(E299&gt;0,VLOOKUP(E299,Направление!A$1:B$4830,2))))))</f>
        <v>Обеспечение деятельности общеобразовательных учреждений</v>
      </c>
      <c r="B299" s="158"/>
      <c r="C299" s="153"/>
      <c r="D299" s="155"/>
      <c r="E299" s="153">
        <v>13110</v>
      </c>
      <c r="F299" s="155"/>
      <c r="G299" s="502">
        <v>0</v>
      </c>
      <c r="H299" s="502">
        <f>H300</f>
        <v>0</v>
      </c>
      <c r="I299" s="161">
        <f t="shared" si="4"/>
        <v>0</v>
      </c>
    </row>
    <row r="300" spans="1:9" s="150" customFormat="1" ht="63" hidden="1" x14ac:dyDescent="0.25">
      <c r="A300" s="157" t="str">
        <f>IF(B300&gt;0,VLOOKUP(B300,КВСР!A65:B1230,2),IF(C300&gt;0,VLOOKUP(C300,КФСР!A65:B1577,2),IF(D300&gt;0,VLOOKUP(D300,Программа!A$1:B$5100,2),IF(F300&gt;0,VLOOKUP(F300,КВР!A$1:B$5001,2),IF(E300&gt;0,VLOOKUP(E300,Направление!A$1:B$4830,2))))))</f>
        <v>Предоставление субсидий бюджетным, автономным учреждениям и иным некоммерческим организациям</v>
      </c>
      <c r="B300" s="158"/>
      <c r="C300" s="153"/>
      <c r="D300" s="155"/>
      <c r="E300" s="153"/>
      <c r="F300" s="155">
        <v>600</v>
      </c>
      <c r="G300" s="502">
        <v>0</v>
      </c>
      <c r="H300" s="160"/>
      <c r="I300" s="161">
        <f t="shared" si="4"/>
        <v>0</v>
      </c>
    </row>
    <row r="301" spans="1:9" s="150" customFormat="1" x14ac:dyDescent="0.25">
      <c r="A301" s="157" t="str">
        <f>IF(B301&gt;0,VLOOKUP(B301,КВСР!A62:B1227,2),IF(C301&gt;0,VLOOKUP(C301,КФСР!A62:B1574,2),IF(D301&gt;0,VLOOKUP(D301,Программа!A$1:B$5100,2),IF(F301&gt;0,VLOOKUP(F301,КВР!A$1:B$5001,2),IF(E301&gt;0,VLOOKUP(E301,Направление!A$1:B$4830,2))))))</f>
        <v>Культура</v>
      </c>
      <c r="B301" s="158"/>
      <c r="C301" s="153">
        <v>801</v>
      </c>
      <c r="D301" s="154"/>
      <c r="E301" s="153"/>
      <c r="F301" s="155"/>
      <c r="G301" s="504">
        <v>7560754</v>
      </c>
      <c r="H301" s="159">
        <f>H303</f>
        <v>-157590</v>
      </c>
      <c r="I301" s="161">
        <f t="shared" si="4"/>
        <v>7403164</v>
      </c>
    </row>
    <row r="302" spans="1:9" s="150" customFormat="1" ht="63" x14ac:dyDescent="0.25">
      <c r="A302" s="157" t="str">
        <f>IF(B302&gt;0,VLOOKUP(B302,КВСР!A63:B1228,2),IF(C302&gt;0,VLOOKUP(C302,КФСР!A63:B1575,2),IF(D302&gt;0,VLOOKUP(D302,Программа!A$1:B$5100,2),IF(F302&gt;0,VLOOKUP(F302,КВР!A$1:B$5001,2),IF(E302&gt;0,VLOOKUP(E302,Направление!A$1:B$4830,2))))))</f>
        <v>Муниципальная программа  "Развитие культуры, туризма и молодежной политики в Тутаевском муниципальном районе"</v>
      </c>
      <c r="B302" s="158"/>
      <c r="C302" s="153"/>
      <c r="D302" s="154" t="s">
        <v>716</v>
      </c>
      <c r="E302" s="153"/>
      <c r="F302" s="155"/>
      <c r="G302" s="504">
        <v>7560754</v>
      </c>
      <c r="H302" s="504">
        <f>H303</f>
        <v>-157590</v>
      </c>
      <c r="I302" s="161">
        <f t="shared" si="4"/>
        <v>7403164</v>
      </c>
    </row>
    <row r="303" spans="1:9" s="150" customFormat="1" ht="47.25" x14ac:dyDescent="0.25">
      <c r="A303" s="157" t="str">
        <f>IF(B303&gt;0,VLOOKUP(B303,КВСР!A63:B1228,2),IF(C303&gt;0,VLOOKUP(C303,КФСР!A63:B1575,2),IF(D303&gt;0,VLOOKUP(D303,Программа!A$1:B$5100,2),IF(F303&gt;0,VLOOKUP(F303,КВР!A$1:B$5001,2),IF(E303&gt;0,VLOOKUP(E303,Направление!A$1:B$4830,2))))))</f>
        <v>Ведомственная целевая программа «Сохранение и развитие культуры Тутаевского муниципального района»</v>
      </c>
      <c r="B303" s="158"/>
      <c r="C303" s="153"/>
      <c r="D303" s="154" t="s">
        <v>819</v>
      </c>
      <c r="E303" s="153"/>
      <c r="F303" s="155"/>
      <c r="G303" s="168">
        <v>7560754</v>
      </c>
      <c r="H303" s="168">
        <f>H304</f>
        <v>-157590</v>
      </c>
      <c r="I303" s="161">
        <f t="shared" si="4"/>
        <v>7403164</v>
      </c>
    </row>
    <row r="304" spans="1:9" s="150" customFormat="1" ht="31.5" x14ac:dyDescent="0.25">
      <c r="A304" s="157" t="str">
        <f>IF(B304&gt;0,VLOOKUP(B304,КВСР!A64:B1229,2),IF(C304&gt;0,VLOOKUP(C304,КФСР!A64:B1576,2),IF(D304&gt;0,VLOOKUP(D304,Программа!A$1:B$5100,2),IF(F304&gt;0,VLOOKUP(F304,КВР!A$1:B$5001,2),IF(E304&gt;0,VLOOKUP(E304,Направление!A$1:B$4830,2))))))</f>
        <v>Содействие доступу граждан к культурным ценностям</v>
      </c>
      <c r="B304" s="158"/>
      <c r="C304" s="153"/>
      <c r="D304" s="154" t="s">
        <v>838</v>
      </c>
      <c r="E304" s="153"/>
      <c r="F304" s="155"/>
      <c r="G304" s="168">
        <v>7560754</v>
      </c>
      <c r="H304" s="168">
        <f>H309+H305+H307</f>
        <v>-157590</v>
      </c>
      <c r="I304" s="161">
        <f t="shared" si="4"/>
        <v>7403164</v>
      </c>
    </row>
    <row r="305" spans="1:9" s="150" customFormat="1" ht="47.25" x14ac:dyDescent="0.25">
      <c r="A305" s="157" t="str">
        <f>IF(B305&gt;0,VLOOKUP(B305,КВСР!A65:B1230,2),IF(C305&gt;0,VLOOKUP(C305,КФСР!A65:B1577,2),IF(D305&gt;0,VLOOKUP(D305,Программа!A$1:B$5100,2),IF(F305&gt;0,VLOOKUP(F305,КВР!A$1:B$5001,2),IF(E305&gt;0,VLOOKUP(E305,Направление!A$1:B$4830,2))))))</f>
        <v>Расходы на проведение капитального ремонта муниципальных учреждений культуры</v>
      </c>
      <c r="B305" s="158"/>
      <c r="C305" s="153"/>
      <c r="D305" s="154"/>
      <c r="E305" s="153">
        <v>71690</v>
      </c>
      <c r="F305" s="155"/>
      <c r="G305" s="168">
        <v>3171690</v>
      </c>
      <c r="H305" s="168">
        <f>H306</f>
        <v>-157590</v>
      </c>
      <c r="I305" s="161">
        <f t="shared" si="4"/>
        <v>3014100</v>
      </c>
    </row>
    <row r="306" spans="1:9" s="150" customFormat="1" ht="63" x14ac:dyDescent="0.25">
      <c r="A306" s="157" t="str">
        <f>IF(B306&gt;0,VLOOKUP(B306,КВСР!A66:B1231,2),IF(C306&gt;0,VLOOKUP(C306,КФСР!A66:B1578,2),IF(D306&gt;0,VLOOKUP(D306,Программа!A$1:B$5100,2),IF(F306&gt;0,VLOOKUP(F306,КВР!A$1:B$5001,2),IF(E306&gt;0,VLOOKUP(E306,Направление!A$1:B$4830,2))))))</f>
        <v>Предоставление субсидий бюджетным, автономным учреждениям и иным некоммерческим организациям</v>
      </c>
      <c r="B306" s="158"/>
      <c r="C306" s="153"/>
      <c r="D306" s="154"/>
      <c r="E306" s="153"/>
      <c r="F306" s="155">
        <v>600</v>
      </c>
      <c r="G306" s="168">
        <v>3171690</v>
      </c>
      <c r="H306" s="168">
        <v>-157590</v>
      </c>
      <c r="I306" s="161">
        <f t="shared" si="4"/>
        <v>3014100</v>
      </c>
    </row>
    <row r="307" spans="1:9" s="150" customFormat="1" ht="47.25" x14ac:dyDescent="0.25">
      <c r="A307" s="157" t="str">
        <f>IF(B307&gt;0,VLOOKUP(B307,КВСР!A67:B1232,2),IF(C307&gt;0,VLOOKUP(C307,КФСР!A67:B1579,2),IF(D307&gt;0,VLOOKUP(D307,Программа!A$1:B$5100,2),IF(F307&gt;0,VLOOKUP(F307,КВР!A$1:B$5001,2),IF(E307&gt;0,VLOOKUP(E307,Направление!A$1:B$4830,2))))))</f>
        <v>Расходы на реализацию мероприятий инициативного бюджетирования на территории Ярославской области</v>
      </c>
      <c r="B307" s="158"/>
      <c r="C307" s="153"/>
      <c r="D307" s="154"/>
      <c r="E307" s="153">
        <v>75350</v>
      </c>
      <c r="F307" s="155"/>
      <c r="G307" s="168">
        <v>4200365</v>
      </c>
      <c r="H307" s="168">
        <f>H308</f>
        <v>0</v>
      </c>
      <c r="I307" s="161">
        <f t="shared" si="4"/>
        <v>4200365</v>
      </c>
    </row>
    <row r="308" spans="1:9" s="150" customFormat="1" ht="63" x14ac:dyDescent="0.25">
      <c r="A308" s="157" t="str">
        <f>IF(B308&gt;0,VLOOKUP(B308,КВСР!A68:B1233,2),IF(C308&gt;0,VLOOKUP(C308,КФСР!A68:B1580,2),IF(D308&gt;0,VLOOKUP(D308,Программа!A$1:B$5100,2),IF(F308&gt;0,VLOOKUP(F308,КВР!A$1:B$5001,2),IF(E308&gt;0,VLOOKUP(E308,Направление!A$1:B$4830,2))))))</f>
        <v>Предоставление субсидий бюджетным, автономным учреждениям и иным некоммерческим организациям</v>
      </c>
      <c r="B308" s="158"/>
      <c r="C308" s="153"/>
      <c r="D308" s="154"/>
      <c r="E308" s="153"/>
      <c r="F308" s="155">
        <v>600</v>
      </c>
      <c r="G308" s="168">
        <v>4200365</v>
      </c>
      <c r="H308" s="168"/>
      <c r="I308" s="161">
        <f t="shared" si="4"/>
        <v>4200365</v>
      </c>
    </row>
    <row r="309" spans="1:9" s="150" customFormat="1" ht="47.25" x14ac:dyDescent="0.25">
      <c r="A309" s="157" t="str">
        <f>IF(B309&gt;0,VLOOKUP(B309,КВСР!A65:B1230,2),IF(C309&gt;0,VLOOKUP(C309,КФСР!A65:B1577,2),IF(D309&gt;0,VLOOKUP(D309,Программа!A$1:B$5100,2),IF(F309&gt;0,VLOOKUP(F309,КВР!A$1:B$5001,2),IF(E309&gt;0,VLOOKUP(E309,Направление!A$1:B$4830,2))))))</f>
        <v>Расходы на проведение капитального ремонта муниципальных учреждений культуры</v>
      </c>
      <c r="B309" s="158"/>
      <c r="C309" s="153"/>
      <c r="D309" s="155"/>
      <c r="E309" s="153">
        <v>11690</v>
      </c>
      <c r="F309" s="155"/>
      <c r="G309" s="168">
        <v>188699</v>
      </c>
      <c r="H309" s="168">
        <f>H310</f>
        <v>0</v>
      </c>
      <c r="I309" s="161">
        <f t="shared" si="4"/>
        <v>188699</v>
      </c>
    </row>
    <row r="310" spans="1:9" s="150" customFormat="1" ht="63" x14ac:dyDescent="0.25">
      <c r="A310" s="157" t="str">
        <f>IF(B310&gt;0,VLOOKUP(B310,КВСР!A65:B1230,2),IF(C310&gt;0,VLOOKUP(C310,КФСР!A65:B1577,2),IF(D310&gt;0,VLOOKUP(D310,Программа!A$1:B$5100,2),IF(F310&gt;0,VLOOKUP(F310,КВР!A$1:B$5001,2),IF(E310&gt;0,VLOOKUP(E310,Направление!A$1:B$4830,2))))))</f>
        <v>Предоставление субсидий бюджетным, автономным учреждениям и иным некоммерческим организациям</v>
      </c>
      <c r="B310" s="158"/>
      <c r="C310" s="153"/>
      <c r="D310" s="155"/>
      <c r="E310" s="153"/>
      <c r="F310" s="155">
        <v>600</v>
      </c>
      <c r="G310" s="502">
        <v>188699</v>
      </c>
      <c r="H310" s="160"/>
      <c r="I310" s="161">
        <f t="shared" si="4"/>
        <v>188699</v>
      </c>
    </row>
    <row r="311" spans="1:9" s="150" customFormat="1" x14ac:dyDescent="0.25">
      <c r="A311" s="157" t="str">
        <f>IF(B311&gt;0,VLOOKUP(B311,КВСР!A66:B1231,2),IF(C311&gt;0,VLOOKUP(C311,КФСР!A66:B1578,2),IF(D311&gt;0,VLOOKUP(D311,Программа!A$1:B$5100,2),IF(F311&gt;0,VLOOKUP(F311,КВР!A$1:B$5001,2),IF(E311&gt;0,VLOOKUP(E311,Направление!A$1:B$4830,2))))))</f>
        <v>Социальное обслуживание населения</v>
      </c>
      <c r="B311" s="158"/>
      <c r="C311" s="153">
        <v>1002</v>
      </c>
      <c r="D311" s="155"/>
      <c r="E311" s="153"/>
      <c r="F311" s="155"/>
      <c r="G311" s="502">
        <v>4782977</v>
      </c>
      <c r="H311" s="502">
        <f t="shared" ref="H311:I317" si="6">H312</f>
        <v>0</v>
      </c>
      <c r="I311" s="502">
        <f t="shared" si="6"/>
        <v>4782977</v>
      </c>
    </row>
    <row r="312" spans="1:9" s="150" customFormat="1" ht="47.25" x14ac:dyDescent="0.25">
      <c r="A312" s="157" t="str">
        <f>IF(B312&gt;0,VLOOKUP(B312,КВСР!A67:B1232,2),IF(C312&gt;0,VLOOKUP(C312,КФСР!A67:B1579,2),IF(D312&gt;0,VLOOKUP(D312,Программа!A$1:B$5100,2),IF(F312&gt;0,VLOOKUP(F312,КВР!A$1:B$5001,2),IF(E312&gt;0,VLOOKUP(E312,Направление!A$1:B$4830,2))))))</f>
        <v>Муниципальная программа "Социальная поддержка населения Тутаевского муниципального района"</v>
      </c>
      <c r="B312" s="158"/>
      <c r="C312" s="153"/>
      <c r="D312" s="155" t="s">
        <v>695</v>
      </c>
      <c r="E312" s="153"/>
      <c r="F312" s="155"/>
      <c r="G312" s="502">
        <v>4782977</v>
      </c>
      <c r="H312" s="502">
        <f t="shared" si="6"/>
        <v>0</v>
      </c>
      <c r="I312" s="502">
        <f t="shared" si="6"/>
        <v>4782977</v>
      </c>
    </row>
    <row r="313" spans="1:9" s="150" customFormat="1" ht="47.25" x14ac:dyDescent="0.25">
      <c r="A313" s="157" t="str">
        <f>IF(B313&gt;0,VLOOKUP(B313,КВСР!A68:B1233,2),IF(C313&gt;0,VLOOKUP(C313,КФСР!A68:B1580,2),IF(D313&gt;0,VLOOKUP(D313,Программа!A$1:B$5100,2),IF(F313&gt;0,VLOOKUP(F313,КВР!A$1:B$5001,2),IF(E313&gt;0,VLOOKUP(E313,Направление!A$1:B$4830,2))))))</f>
        <v xml:space="preserve">Ведомственная целевая программа «Социальная поддержка населения Тутаевского муниципального района» </v>
      </c>
      <c r="B313" s="158"/>
      <c r="C313" s="153"/>
      <c r="D313" s="154" t="s">
        <v>768</v>
      </c>
      <c r="E313" s="154"/>
      <c r="F313" s="155"/>
      <c r="G313" s="502">
        <v>4782977</v>
      </c>
      <c r="H313" s="502">
        <f t="shared" si="6"/>
        <v>0</v>
      </c>
      <c r="I313" s="502">
        <f t="shared" si="6"/>
        <v>4782977</v>
      </c>
    </row>
    <row r="314" spans="1:9" s="150" customFormat="1" ht="63" x14ac:dyDescent="0.25">
      <c r="A314" s="157" t="str">
        <f>IF(B314&gt;0,VLOOKUP(B314,КВСР!A69:B1234,2),IF(C314&gt;0,VLOOKUP(C314,КФСР!A69:B1581,2),IF(D314&gt;0,VLOOKUP(D314,Программа!A$1:B$5100,2),IF(F314&gt;0,VLOOKUP(F314,КВР!A$1:B$5001,2),IF(E314&gt;0,VLOOKUP(E314,Направление!A$1:B$4830,2))))))</f>
        <v>Предоставление социальных услуг населению Тутаевского муниципального района на основе соблюдения стандартов и нормативов</v>
      </c>
      <c r="B314" s="158"/>
      <c r="C314" s="153"/>
      <c r="D314" s="154" t="s">
        <v>773</v>
      </c>
      <c r="E314" s="154"/>
      <c r="F314" s="155"/>
      <c r="G314" s="502">
        <v>4782977</v>
      </c>
      <c r="H314" s="502">
        <f>H315+H317</f>
        <v>0</v>
      </c>
      <c r="I314" s="502">
        <f>I315+I317</f>
        <v>4782977</v>
      </c>
    </row>
    <row r="315" spans="1:9" s="150" customFormat="1" ht="63" x14ac:dyDescent="0.25">
      <c r="A315" s="157" t="str">
        <f>IF(B315&gt;0,VLOOKUP(B315,КВСР!A69:B1234,2),IF(C315&gt;0,VLOOKUP(C315,КФСР!A69:B1581,2),IF(D315&gt;0,VLOOKUP(D315,Программа!A$1:B$5100,2),IF(F315&gt;0,VLOOKUP(F315,КВР!A$1:B$5001,2),IF(E315&gt;0,VLOOKUP(E315,Направление!A$1:B$4830,2))))))</f>
        <v>Расходы на реализацию меропритий по строительству (реконструкции) учреждений социального обслуживания населения</v>
      </c>
      <c r="B315" s="158"/>
      <c r="C315" s="153"/>
      <c r="D315" s="154"/>
      <c r="E315" s="153">
        <v>76160</v>
      </c>
      <c r="F315" s="155"/>
      <c r="G315" s="502">
        <v>4578000</v>
      </c>
      <c r="H315" s="502">
        <f>H316</f>
        <v>0</v>
      </c>
      <c r="I315" s="161">
        <f t="shared" si="4"/>
        <v>4578000</v>
      </c>
    </row>
    <row r="316" spans="1:9" s="150" customFormat="1" ht="47.25" x14ac:dyDescent="0.25">
      <c r="A316" s="157" t="str">
        <f>IF(B316&gt;0,VLOOKUP(B316,КВСР!A71:B1236,2),IF(C316&gt;0,VLOOKUP(C316,КФСР!A71:B1583,2),IF(D316&gt;0,VLOOKUP(D316,Программа!A$1:B$5100,2),IF(F316&gt;0,VLOOKUP(F316,КВР!A$1:B$5001,2),IF(E316&gt;0,VLOOKUP(E316,Направление!A$1:B$4830,2))))))</f>
        <v>Капитальные вложения в объекты государственной (муниципальной) собственности</v>
      </c>
      <c r="B316" s="158"/>
      <c r="C316" s="153"/>
      <c r="D316" s="154"/>
      <c r="E316" s="154"/>
      <c r="F316" s="155">
        <v>400</v>
      </c>
      <c r="G316" s="502">
        <v>4578000</v>
      </c>
      <c r="H316" s="502"/>
      <c r="I316" s="161">
        <f t="shared" si="4"/>
        <v>4578000</v>
      </c>
    </row>
    <row r="317" spans="1:9" s="150" customFormat="1" ht="63" x14ac:dyDescent="0.25">
      <c r="A317" s="157" t="str">
        <f>IF(B317&gt;0,VLOOKUP(B317,КВСР!A71:B1236,2),IF(C317&gt;0,VLOOKUP(C317,КФСР!A71:B1583,2),IF(D317&gt;0,VLOOKUP(D317,Программа!A$1:B$5100,2),IF(F317&gt;0,VLOOKUP(F317,КВР!A$1:B$5001,2),IF(E317&gt;0,VLOOKUP(E317,Направление!A$1:B$4830,2))))))</f>
        <v>Расходы на реализацию меропритий по строительству (реконструкции) учреждений социального обслуживания населения</v>
      </c>
      <c r="B317" s="158"/>
      <c r="C317" s="153"/>
      <c r="D317" s="155"/>
      <c r="E317" s="153">
        <v>16160</v>
      </c>
      <c r="F317" s="155"/>
      <c r="G317" s="502">
        <v>204977</v>
      </c>
      <c r="H317" s="502">
        <f t="shared" si="6"/>
        <v>0</v>
      </c>
      <c r="I317" s="161">
        <f t="shared" si="4"/>
        <v>204977</v>
      </c>
    </row>
    <row r="318" spans="1:9" s="150" customFormat="1" ht="47.25" x14ac:dyDescent="0.25">
      <c r="A318" s="157" t="str">
        <f>IF(B318&gt;0,VLOOKUP(B318,КВСР!A71:B1236,2),IF(C318&gt;0,VLOOKUP(C318,КФСР!A71:B1583,2),IF(D318&gt;0,VLOOKUP(D318,Программа!A$1:B$5100,2),IF(F318&gt;0,VLOOKUP(F318,КВР!A$1:B$5001,2),IF(E318&gt;0,VLOOKUP(E318,Направление!A$1:B$4830,2))))))</f>
        <v>Капитальные вложения в объекты государственной (муниципальной) собственности</v>
      </c>
      <c r="B318" s="158"/>
      <c r="C318" s="153"/>
      <c r="D318" s="154"/>
      <c r="E318" s="154"/>
      <c r="F318" s="155">
        <v>400</v>
      </c>
      <c r="G318" s="502">
        <v>204977</v>
      </c>
      <c r="H318" s="160"/>
      <c r="I318" s="161">
        <f t="shared" si="4"/>
        <v>204977</v>
      </c>
    </row>
    <row r="319" spans="1:9" s="150" customFormat="1" x14ac:dyDescent="0.25">
      <c r="A319" s="157" t="str">
        <f>IF(B319&gt;0,VLOOKUP(B319,КВСР!A66:B1231,2),IF(C319&gt;0,VLOOKUP(C319,КФСР!A66:B1578,2),IF(D319&gt;0,VLOOKUP(D319,Программа!A$1:B$5100,2),IF(F319&gt;0,VLOOKUP(F319,КВР!A$1:B$5001,2),IF(E319&gt;0,VLOOKUP(E319,Направление!A$1:B$4830,2))))))</f>
        <v>Социальное обеспечение населения</v>
      </c>
      <c r="B319" s="158"/>
      <c r="C319" s="153">
        <v>1003</v>
      </c>
      <c r="D319" s="155"/>
      <c r="E319" s="153"/>
      <c r="F319" s="155"/>
      <c r="G319" s="502">
        <v>4528455</v>
      </c>
      <c r="H319" s="160">
        <f>H320+H333</f>
        <v>-343731</v>
      </c>
      <c r="I319" s="161">
        <f t="shared" si="4"/>
        <v>4184724</v>
      </c>
    </row>
    <row r="320" spans="1:9" s="150" customFormat="1" ht="78.75" x14ac:dyDescent="0.25">
      <c r="A320" s="157" t="str">
        <f>IF(B320&gt;0,VLOOKUP(B320,КВСР!A67:B1232,2),IF(C320&gt;0,VLOOKUP(C320,КФСР!A67:B1579,2),IF(D320&gt;0,VLOOKUP(D320,Программа!A$1:B$5100,2),IF(F320&gt;0,VLOOKUP(F320,КВР!A$1:B$5001,2),IF(E320&gt;0,VLOOKUP(E320,Направление!A$1:B$4830,2))))))</f>
        <v>Муниципальная программа "Стимулирование развития жилищного строительства в Тутаевском муниципальном  районе Ярославской области"</v>
      </c>
      <c r="B320" s="158"/>
      <c r="C320" s="153"/>
      <c r="D320" s="155" t="s">
        <v>930</v>
      </c>
      <c r="E320" s="153"/>
      <c r="F320" s="155"/>
      <c r="G320" s="502">
        <v>4328455</v>
      </c>
      <c r="H320" s="502">
        <f>H321+H327</f>
        <v>-229154</v>
      </c>
      <c r="I320" s="161">
        <f t="shared" si="4"/>
        <v>4099301</v>
      </c>
    </row>
    <row r="321" spans="1:9" s="150" customFormat="1" ht="94.5" x14ac:dyDescent="0.25">
      <c r="A321" s="157" t="str">
        <f>IF(B321&gt;0,VLOOKUP(B321,КВСР!A71:B1236,2),IF(C321&gt;0,VLOOKUP(C321,КФСР!A71:B1583,2),IF(D321&gt;0,VLOOKUP(D321,Программа!A$1:B$5100,2),IF(F321&gt;0,VLOOKUP(F321,КВР!A$1:B$5001,2),IF(E321&gt;0,VLOOKUP(E321,Направление!A$1:B$4830,2))))))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321" s="158"/>
      <c r="C321" s="153"/>
      <c r="D321" s="154" t="s">
        <v>932</v>
      </c>
      <c r="E321" s="153"/>
      <c r="F321" s="155"/>
      <c r="G321" s="502">
        <v>400000</v>
      </c>
      <c r="H321" s="160">
        <f>H322</f>
        <v>-229154</v>
      </c>
      <c r="I321" s="161">
        <f t="shared" si="4"/>
        <v>170846</v>
      </c>
    </row>
    <row r="322" spans="1:9" s="150" customFormat="1" ht="126" x14ac:dyDescent="0.25">
      <c r="A322" s="157" t="str">
        <f>IF(B322&gt;0,VLOOKUP(B322,КВСР!A72:B1237,2),IF(C322&gt;0,VLOOKUP(C322,КФСР!A72:B1584,2),IF(D322&gt;0,VLOOKUP(D322,Программа!A$1:B$5100,2),IF(F322&gt;0,VLOOKUP(F322,КВР!A$1:B$5001,2),IF(E322&gt;0,VLOOKUP(E322,Направление!A$1:B$4830,2))))))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322" s="158"/>
      <c r="C322" s="153"/>
      <c r="D322" s="154" t="s">
        <v>934</v>
      </c>
      <c r="E322" s="153"/>
      <c r="F322" s="155"/>
      <c r="G322" s="502">
        <v>400000</v>
      </c>
      <c r="H322" s="160">
        <f>H323+H325</f>
        <v>-229154</v>
      </c>
      <c r="I322" s="161">
        <f t="shared" si="4"/>
        <v>170846</v>
      </c>
    </row>
    <row r="323" spans="1:9" s="150" customFormat="1" ht="47.25" x14ac:dyDescent="0.25">
      <c r="A323" s="157" t="str">
        <f>IF(B323&gt;0,VLOOKUP(B323,КВСР!A73:B1238,2),IF(C323&gt;0,VLOOKUP(C323,КФСР!A73:B1585,2),IF(D323&gt;0,VLOOKUP(D323,Программа!A$1:B$5100,2),IF(F323&gt;0,VLOOKUP(F323,КВР!A$1:B$5001,2),IF(E323&gt;0,VLOOKUP(E323,Направление!A$1:B$4830,2))))))</f>
        <v>Обеспечение мероприятий в сфере ипотечного жилищного кредитования за счет средств поселений</v>
      </c>
      <c r="B323" s="158"/>
      <c r="C323" s="153"/>
      <c r="D323" s="155"/>
      <c r="E323" s="153">
        <v>21236</v>
      </c>
      <c r="F323" s="155"/>
      <c r="G323" s="502">
        <v>200000</v>
      </c>
      <c r="H323" s="160">
        <f>H324</f>
        <v>-114577</v>
      </c>
      <c r="I323" s="161">
        <f t="shared" si="4"/>
        <v>85423</v>
      </c>
    </row>
    <row r="324" spans="1:9" s="150" customFormat="1" ht="31.5" x14ac:dyDescent="0.25">
      <c r="A324" s="157" t="str">
        <f>IF(B324&gt;0,VLOOKUP(B324,КВСР!A74:B1239,2),IF(C324&gt;0,VLOOKUP(C324,КФСР!A74:B1586,2),IF(D324&gt;0,VLOOKUP(D324,Программа!A$1:B$5100,2),IF(F324&gt;0,VLOOKUP(F324,КВР!A$1:B$5001,2),IF(E324&gt;0,VLOOKUP(E324,Направление!A$1:B$4830,2))))))</f>
        <v>Социальное обеспечение и иные выплаты населению</v>
      </c>
      <c r="B324" s="158"/>
      <c r="C324" s="153"/>
      <c r="D324" s="155"/>
      <c r="E324" s="153"/>
      <c r="F324" s="155">
        <v>300</v>
      </c>
      <c r="G324" s="502">
        <v>200000</v>
      </c>
      <c r="H324" s="160">
        <v>-114577</v>
      </c>
      <c r="I324" s="161">
        <f t="shared" si="4"/>
        <v>85423</v>
      </c>
    </row>
    <row r="325" spans="1:9" s="150" customFormat="1" ht="94.5" x14ac:dyDescent="0.25">
      <c r="A325" s="157" t="str">
        <f>IF(B325&gt;0,VLOOKUP(B325,КВСР!A75:B1240,2),IF(C325&gt;0,VLOOKUP(C325,КФСР!A75:B1587,2),IF(D325&gt;0,VLOOKUP(D325,Программа!A$1:B$5100,2),IF(F325&gt;0,VLOOKUP(F325,КВР!A$1:B$5001,2),IF(E325&gt;0,VLOOKUP(E325,Направление!A$1:B$4830,2))))))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325" s="158"/>
      <c r="C325" s="153"/>
      <c r="D325" s="155"/>
      <c r="E325" s="153">
        <v>71236</v>
      </c>
      <c r="F325" s="155"/>
      <c r="G325" s="502">
        <v>200000</v>
      </c>
      <c r="H325" s="502">
        <f>H326</f>
        <v>-114577</v>
      </c>
      <c r="I325" s="502">
        <f>I326</f>
        <v>85423</v>
      </c>
    </row>
    <row r="326" spans="1:9" s="150" customFormat="1" ht="31.5" x14ac:dyDescent="0.25">
      <c r="A326" s="157" t="str">
        <f>IF(B326&gt;0,VLOOKUP(B326,КВСР!A76:B1241,2),IF(C326&gt;0,VLOOKUP(C326,КФСР!A76:B1588,2),IF(D326&gt;0,VLOOKUP(D326,Программа!A$1:B$5100,2),IF(F326&gt;0,VLOOKUP(F326,КВР!A$1:B$5001,2),IF(E326&gt;0,VLOOKUP(E326,Направление!A$1:B$4830,2))))))</f>
        <v>Социальное обеспечение и иные выплаты населению</v>
      </c>
      <c r="B326" s="158"/>
      <c r="C326" s="153"/>
      <c r="D326" s="155"/>
      <c r="E326" s="153"/>
      <c r="F326" s="155">
        <v>300</v>
      </c>
      <c r="G326" s="502">
        <v>200000</v>
      </c>
      <c r="H326" s="160">
        <v>-114577</v>
      </c>
      <c r="I326" s="161">
        <f>G326+H326</f>
        <v>85423</v>
      </c>
    </row>
    <row r="327" spans="1:9" s="150" customFormat="1" ht="63" x14ac:dyDescent="0.25">
      <c r="A327" s="157" t="str">
        <f>IF(B327&gt;0,VLOOKUP(B327,КВСР!A75:B1240,2),IF(C327&gt;0,VLOOKUP(C327,КФСР!A75:B1587,2),IF(D327&gt;0,VLOOKUP(D327,Программа!A$1:B$5100,2),IF(F327&gt;0,VLOOKUP(F327,КВР!A$1:B$5001,2),IF(E327&gt;0,VLOOKUP(E327,Направление!A$1:B$4830,2))))))</f>
        <v>Муниципальная целевая программа "Предоставление молодым семьям социальных выплат на приобретение(строительство) жилья"</v>
      </c>
      <c r="B327" s="158"/>
      <c r="C327" s="153"/>
      <c r="D327" s="154" t="s">
        <v>944</v>
      </c>
      <c r="E327" s="153"/>
      <c r="F327" s="155"/>
      <c r="G327" s="502">
        <v>3928455</v>
      </c>
      <c r="H327" s="160">
        <f>H328</f>
        <v>0</v>
      </c>
      <c r="I327" s="161">
        <f>SUM(G327:H327)</f>
        <v>3928455</v>
      </c>
    </row>
    <row r="328" spans="1:9" s="150" customFormat="1" ht="47.25" x14ac:dyDescent="0.25">
      <c r="A328" s="157" t="str">
        <f>IF(B328&gt;0,VLOOKUP(B328,КВСР!A76:B1241,2),IF(C328&gt;0,VLOOKUP(C328,КФСР!A76:B1588,2),IF(D328&gt;0,VLOOKUP(D328,Программа!A$1:B$5100,2),IF(F328&gt;0,VLOOKUP(F328,КВР!A$1:B$5001,2),IF(E328&gt;0,VLOOKUP(E328,Направление!A$1:B$4830,2))))))</f>
        <v>Создание условий для поддержки  молодых семей в приобретении (строительстве) жилья</v>
      </c>
      <c r="B328" s="158"/>
      <c r="C328" s="153"/>
      <c r="D328" s="154" t="s">
        <v>946</v>
      </c>
      <c r="E328" s="153"/>
      <c r="F328" s="155"/>
      <c r="G328" s="502">
        <v>3928455</v>
      </c>
      <c r="H328" s="160">
        <f>H329+H331</f>
        <v>0</v>
      </c>
      <c r="I328" s="161">
        <f>SUM(G328:H328)</f>
        <v>3928455</v>
      </c>
    </row>
    <row r="329" spans="1:9" s="150" customFormat="1" ht="63" hidden="1" x14ac:dyDescent="0.25">
      <c r="A329" s="157" t="str">
        <f>IF(B329&gt;0,VLOOKUP(B329,КВСР!A77:B1242,2),IF(C329&gt;0,VLOOKUP(C329,КФСР!A77:B1589,2),IF(D329&gt;0,VLOOKUP(D329,Программа!A$1:B$5100,2),IF(F329&gt;0,VLOOKUP(F329,КВР!A$1:B$5001,2),IF(E329&gt;0,VLOOKUP(E329,Направление!A$1:B$4830,2))))))</f>
        <v xml:space="preserve">Обеспечение мероприятий по улучшению жилищных условий молодых семей, проживающих на территории ЯО </v>
      </c>
      <c r="B329" s="158"/>
      <c r="C329" s="153"/>
      <c r="D329" s="154"/>
      <c r="E329" s="153" t="s">
        <v>3265</v>
      </c>
      <c r="F329" s="155"/>
      <c r="G329" s="502">
        <v>0</v>
      </c>
      <c r="H329" s="160">
        <f>H330</f>
        <v>0</v>
      </c>
      <c r="I329" s="161">
        <f>SUM(G329:H329)</f>
        <v>0</v>
      </c>
    </row>
    <row r="330" spans="1:9" s="150" customFormat="1" ht="31.5" hidden="1" x14ac:dyDescent="0.25">
      <c r="A330" s="157" t="str">
        <f>IF(B330&gt;0,VLOOKUP(B330,КВСР!A78:B1243,2),IF(C330&gt;0,VLOOKUP(C330,КФСР!A78:B1590,2),IF(D330&gt;0,VLOOKUP(D330,Программа!A$1:B$5100,2),IF(F330&gt;0,VLOOKUP(F330,КВР!A$1:B$5001,2),IF(E330&gt;0,VLOOKUP(E330,Направление!A$1:B$4830,2))))))</f>
        <v>Социальное обеспечение и иные выплаты населению</v>
      </c>
      <c r="B330" s="158"/>
      <c r="C330" s="153"/>
      <c r="D330" s="155"/>
      <c r="E330" s="153"/>
      <c r="F330" s="155">
        <v>300</v>
      </c>
      <c r="G330" s="502">
        <v>0</v>
      </c>
      <c r="H330" s="160"/>
      <c r="I330" s="161">
        <f>SUM(G330:H330)</f>
        <v>0</v>
      </c>
    </row>
    <row r="331" spans="1:9" s="150" customFormat="1" ht="47.25" x14ac:dyDescent="0.25">
      <c r="A331" s="157" t="str">
        <f>IF(B331&gt;0,VLOOKUP(B331,КВСР!A79:B1244,2),IF(C331&gt;0,VLOOKUP(C331,КФСР!A79:B1591,2),IF(D331&gt;0,VLOOKUP(D331,Программа!A$1:B$5100,2),IF(F331&gt;0,VLOOKUP(F331,КВР!A$1:B$5001,2),IF(E331&gt;0,VLOOKUP(E331,Направление!A$1:B$4830,2))))))</f>
        <v>Субсидии на мероприятия по господдержке молодых семей в приобретении (строительстве) жилья</v>
      </c>
      <c r="B331" s="158"/>
      <c r="C331" s="153"/>
      <c r="D331" s="155"/>
      <c r="E331" s="153" t="s">
        <v>3383</v>
      </c>
      <c r="F331" s="155"/>
      <c r="G331" s="502">
        <v>3928455</v>
      </c>
      <c r="H331" s="502">
        <f>H332</f>
        <v>0</v>
      </c>
      <c r="I331" s="502">
        <f>I332</f>
        <v>3928455</v>
      </c>
    </row>
    <row r="332" spans="1:9" s="150" customFormat="1" ht="31.5" x14ac:dyDescent="0.25">
      <c r="A332" s="157" t="str">
        <f>IF(B332&gt;0,VLOOKUP(B332,КВСР!A80:B1245,2),IF(C332&gt;0,VLOOKUP(C332,КФСР!A80:B1592,2),IF(D332&gt;0,VLOOKUP(D332,Программа!A$1:B$5100,2),IF(F332&gt;0,VLOOKUP(F332,КВР!A$1:B$5001,2),IF(E332&gt;0,VLOOKUP(E332,Направление!A$1:B$4830,2))))))</f>
        <v>Социальное обеспечение и иные выплаты населению</v>
      </c>
      <c r="B332" s="158"/>
      <c r="C332" s="153"/>
      <c r="D332" s="155"/>
      <c r="E332" s="153"/>
      <c r="F332" s="155">
        <v>300</v>
      </c>
      <c r="G332" s="502">
        <v>3928455</v>
      </c>
      <c r="H332" s="160"/>
      <c r="I332" s="161">
        <f>SUM(G332:H332)</f>
        <v>3928455</v>
      </c>
    </row>
    <row r="333" spans="1:9" s="150" customFormat="1" ht="31.5" x14ac:dyDescent="0.25">
      <c r="A333" s="157" t="str">
        <f>IF(B333&gt;0,VLOOKUP(B333,КВСР!A81:B1246,2),IF(C333&gt;0,VLOOKUP(C333,КФСР!A81:B1593,2),IF(D333&gt;0,VLOOKUP(D333,Программа!A$1:B$5100,2),IF(F333&gt;0,VLOOKUP(F333,КВР!A$1:B$5001,2),IF(E333&gt;0,VLOOKUP(E333,Направление!A$1:B$4830,2))))))</f>
        <v>Межбюджетные трансферты  поселениям района</v>
      </c>
      <c r="B333" s="158"/>
      <c r="C333" s="153"/>
      <c r="D333" s="155" t="s">
        <v>801</v>
      </c>
      <c r="E333" s="153"/>
      <c r="F333" s="155"/>
      <c r="G333" s="502">
        <v>200000</v>
      </c>
      <c r="H333" s="160">
        <f>H334</f>
        <v>-114577</v>
      </c>
      <c r="I333" s="161">
        <f>SUM(G333:H333)</f>
        <v>85423</v>
      </c>
    </row>
    <row r="334" spans="1:9" s="150" customFormat="1" ht="94.5" x14ac:dyDescent="0.25">
      <c r="A334" s="157" t="str">
        <f>IF(B334&gt;0,VLOOKUP(B334,КВСР!A82:B1247,2),IF(C334&gt;0,VLOOKUP(C334,КФСР!A82:B1594,2),IF(D334&gt;0,VLOOKUP(D334,Программа!A$1:B$5100,2),IF(F334&gt;0,VLOOKUP(F334,КВР!A$1:B$5001,2),IF(E334&gt;0,VLOOKUP(E334,Направление!A$1:B$4830,2))))))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334" s="158"/>
      <c r="C334" s="153"/>
      <c r="D334" s="155"/>
      <c r="E334" s="153">
        <v>71230</v>
      </c>
      <c r="F334" s="155"/>
      <c r="G334" s="502">
        <v>200000</v>
      </c>
      <c r="H334" s="160">
        <f>H335</f>
        <v>-114577</v>
      </c>
      <c r="I334" s="161">
        <f>SUM(G334:H334)</f>
        <v>85423</v>
      </c>
    </row>
    <row r="335" spans="1:9" s="150" customFormat="1" x14ac:dyDescent="0.25">
      <c r="A335" s="157" t="str">
        <f>IF(B335&gt;0,VLOOKUP(B335,КВСР!A83:B1248,2),IF(C335&gt;0,VLOOKUP(C335,КФСР!A83:B1595,2),IF(D335&gt;0,VLOOKUP(D335,Программа!A$1:B$5100,2),IF(F335&gt;0,VLOOKUP(F335,КВР!A$1:B$5001,2),IF(E335&gt;0,VLOOKUP(E335,Направление!A$1:B$4830,2))))))</f>
        <v xml:space="preserve"> Межбюджетные трансферты</v>
      </c>
      <c r="B335" s="158"/>
      <c r="C335" s="153"/>
      <c r="D335" s="155"/>
      <c r="E335" s="153"/>
      <c r="F335" s="155">
        <v>500</v>
      </c>
      <c r="G335" s="502">
        <v>200000</v>
      </c>
      <c r="H335" s="160">
        <v>-114577</v>
      </c>
      <c r="I335" s="161">
        <f>SUM(G335:H335)</f>
        <v>85423</v>
      </c>
    </row>
    <row r="336" spans="1:9" s="170" customFormat="1" ht="31.5" x14ac:dyDescent="0.25">
      <c r="A336" s="151" t="str">
        <f>IF(B336&gt;0,VLOOKUP(B336,КВСР!A76:B1241,2),IF(C336&gt;0,VLOOKUP(C336,КФСР!A76:B1588,2),IF(D336&gt;0,VLOOKUP(D336,Программа!A$1:B$5100,2),IF(F336&gt;0,VLOOKUP(F336,КВР!A$1:B$5001,2),IF(E336&gt;0,VLOOKUP(E336,Направление!A$1:B$4830,2))))))</f>
        <v>Департамент муниципального имущества Администрации ТМР</v>
      </c>
      <c r="B336" s="152">
        <v>952</v>
      </c>
      <c r="C336" s="153"/>
      <c r="D336" s="154"/>
      <c r="E336" s="153"/>
      <c r="F336" s="155"/>
      <c r="G336" s="610">
        <v>14782886</v>
      </c>
      <c r="H336" s="156">
        <f>H337+H367+H373</f>
        <v>-1998503</v>
      </c>
      <c r="I336" s="625">
        <f t="shared" si="4"/>
        <v>12784383</v>
      </c>
    </row>
    <row r="337" spans="1:9" s="170" customFormat="1" x14ac:dyDescent="0.25">
      <c r="A337" s="157" t="str">
        <f>IF(B337&gt;0,VLOOKUP(B337,КВСР!A77:B1242,2),IF(C337&gt;0,VLOOKUP(C337,КФСР!A77:B1589,2),IF(D337&gt;0,VLOOKUP(D337,Программа!A$1:B$5100,2),IF(F337&gt;0,VLOOKUP(F337,КВР!A$1:B$5001,2),IF(E337&gt;0,VLOOKUP(E337,Направление!A$1:B$4830,2))))))</f>
        <v>Другие общегосударственные вопросы</v>
      </c>
      <c r="B337" s="158"/>
      <c r="C337" s="153">
        <v>113</v>
      </c>
      <c r="D337" s="154"/>
      <c r="E337" s="153"/>
      <c r="F337" s="155"/>
      <c r="G337" s="611">
        <v>12551697</v>
      </c>
      <c r="H337" s="161">
        <f>H349+H342+H338</f>
        <v>-1384623</v>
      </c>
      <c r="I337" s="161">
        <f t="shared" si="4"/>
        <v>11167074</v>
      </c>
    </row>
    <row r="338" spans="1:9" s="170" customFormat="1" ht="78.75" hidden="1" x14ac:dyDescent="0.25">
      <c r="A338" s="157" t="str">
        <f>IF(B338&gt;0,VLOOKUP(B338,КВСР!A78:B1243,2),IF(C338&gt;0,VLOOKUP(C338,КФСР!A78:B1590,2),IF(D338&gt;0,VLOOKUP(D338,Программа!A$1:B$5100,2),IF(F338&gt;0,VLOOKUP(F338,КВР!A$1:B$5001,2),IF(E338&gt;0,VLOOKUP(E338,Направление!A$1:B$4830,2))))))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338" s="158"/>
      <c r="C338" s="153"/>
      <c r="D338" s="154" t="s">
        <v>638</v>
      </c>
      <c r="E338" s="153"/>
      <c r="F338" s="155"/>
      <c r="G338" s="611">
        <v>0</v>
      </c>
      <c r="H338" s="161">
        <f>H339</f>
        <v>0</v>
      </c>
      <c r="I338" s="161">
        <f t="shared" si="4"/>
        <v>0</v>
      </c>
    </row>
    <row r="339" spans="1:9" s="170" customFormat="1" ht="78.75" hidden="1" x14ac:dyDescent="0.25">
      <c r="A339" s="157" t="str">
        <f>IF(B339&gt;0,VLOOKUP(B339,КВСР!A79:B1244,2),IF(C339&gt;0,VLOOKUP(C339,КФСР!A79:B1591,2),IF(D339&gt;0,VLOOKUP(D339,Программа!A$1:B$5100,2),IF(F339&gt;0,VLOOKUP(F339,КВР!A$1:B$5001,2),IF(E339&gt;0,VLOOKUP(E339,Направление!A$1:B$4830,2))))))</f>
        <v xml:space="preserve">Профессиональное развитие  муниципальных служащих и повышение квалификации руководителей муниципальных учреждений </v>
      </c>
      <c r="B339" s="158"/>
      <c r="C339" s="153"/>
      <c r="D339" s="154" t="s">
        <v>639</v>
      </c>
      <c r="E339" s="153"/>
      <c r="F339" s="155"/>
      <c r="G339" s="611">
        <v>0</v>
      </c>
      <c r="H339" s="161">
        <f>H340</f>
        <v>0</v>
      </c>
      <c r="I339" s="161">
        <f t="shared" si="4"/>
        <v>0</v>
      </c>
    </row>
    <row r="340" spans="1:9" s="170" customFormat="1" ht="31.5" hidden="1" x14ac:dyDescent="0.25">
      <c r="A340" s="157" t="str">
        <f>IF(B340&gt;0,VLOOKUP(B340,КВСР!A80:B1245,2),IF(C340&gt;0,VLOOKUP(C340,КФСР!A80:B1592,2),IF(D340&gt;0,VLOOKUP(D340,Программа!A$1:B$5100,2),IF(F340&gt;0,VLOOKUP(F340,КВР!A$1:B$5001,2),IF(E340&gt;0,VLOOKUP(E340,Направление!A$1:B$4830,2))))))</f>
        <v>Расходы на развитие муниципальной службы</v>
      </c>
      <c r="B340" s="158"/>
      <c r="C340" s="153"/>
      <c r="D340" s="154"/>
      <c r="E340" s="153">
        <v>12200</v>
      </c>
      <c r="F340" s="155"/>
      <c r="G340" s="611">
        <v>0</v>
      </c>
      <c r="H340" s="161">
        <f>H341</f>
        <v>0</v>
      </c>
      <c r="I340" s="161">
        <f t="shared" si="4"/>
        <v>0</v>
      </c>
    </row>
    <row r="341" spans="1:9" s="170" customFormat="1" ht="63" hidden="1" x14ac:dyDescent="0.25">
      <c r="A341" s="157" t="str">
        <f>IF(B341&gt;0,VLOOKUP(B341,КВСР!A81:B1246,2),IF(C341&gt;0,VLOOKUP(C341,КФСР!A81:B1593,2),IF(D341&gt;0,VLOOKUP(D341,Программа!A$1:B$5100,2),IF(F341&gt;0,VLOOKUP(F341,КВР!A$1:B$5001,2),IF(E341&gt;0,VLOOKUP(E341,Направление!A$1:B$4830,2))))))</f>
        <v xml:space="preserve">Закупка товаров, работ и услуг для обеспечения государственных (муниципальных) нужд
</v>
      </c>
      <c r="B341" s="158"/>
      <c r="C341" s="153"/>
      <c r="D341" s="154"/>
      <c r="E341" s="153"/>
      <c r="F341" s="155">
        <v>200</v>
      </c>
      <c r="G341" s="611">
        <v>0</v>
      </c>
      <c r="H341" s="522"/>
      <c r="I341" s="161">
        <f t="shared" si="4"/>
        <v>0</v>
      </c>
    </row>
    <row r="342" spans="1:9" s="170" customFormat="1" ht="63" x14ac:dyDescent="0.25">
      <c r="A342" s="157" t="str">
        <f>IF(B342&gt;0,VLOOKUP(B342,КВСР!A78:B1243,2),IF(C342&gt;0,VLOOKUP(C342,КФСР!A78:B1590,2),IF(D342&gt;0,VLOOKUP(D342,Программа!A$1:B$5100,2),IF(F342&gt;0,VLOOKUP(F342,КВР!A$1:B$5001,2),IF(E342&gt;0,VLOOKUP(E342,Направление!A$1:B$4830,2))))))</f>
        <v>Муниципальная программа "Информатизация управленческой деятельности Администрации Тутаевского муниципального района"</v>
      </c>
      <c r="B342" s="158"/>
      <c r="C342" s="153"/>
      <c r="D342" s="154" t="s">
        <v>642</v>
      </c>
      <c r="E342" s="153"/>
      <c r="F342" s="155"/>
      <c r="G342" s="611">
        <v>460000</v>
      </c>
      <c r="H342" s="161">
        <f>H343+H346</f>
        <v>-224671</v>
      </c>
      <c r="I342" s="161">
        <f t="shared" si="4"/>
        <v>235329</v>
      </c>
    </row>
    <row r="343" spans="1:9" s="170" customFormat="1" ht="31.5" x14ac:dyDescent="0.25">
      <c r="A343" s="157" t="str">
        <f>IF(B343&gt;0,VLOOKUP(B343,КВСР!A79:B1244,2),IF(C343&gt;0,VLOOKUP(C343,КФСР!A79:B1591,2),IF(D343&gt;0,VLOOKUP(D343,Программа!A$1:B$5100,2),IF(F343&gt;0,VLOOKUP(F343,КВР!A$1:B$5001,2),IF(E343&gt;0,VLOOKUP(E343,Направление!A$1:B$4830,2))))))</f>
        <v>Бесперебойное функционирование информационных систем</v>
      </c>
      <c r="B343" s="158"/>
      <c r="C343" s="153"/>
      <c r="D343" s="154" t="s">
        <v>679</v>
      </c>
      <c r="E343" s="153"/>
      <c r="F343" s="155"/>
      <c r="G343" s="611">
        <v>360000</v>
      </c>
      <c r="H343" s="161">
        <f>H344</f>
        <v>-210300</v>
      </c>
      <c r="I343" s="161">
        <f t="shared" si="4"/>
        <v>149700</v>
      </c>
    </row>
    <row r="344" spans="1:9" s="170" customFormat="1" ht="31.5" x14ac:dyDescent="0.25">
      <c r="A344" s="157" t="str">
        <f>IF(B344&gt;0,VLOOKUP(B344,КВСР!A80:B1245,2),IF(C344&gt;0,VLOOKUP(C344,КФСР!A80:B1592,2),IF(D344&gt;0,VLOOKUP(D344,Программа!A$1:B$5100,2),IF(F344&gt;0,VLOOKUP(F344,КВР!A$1:B$5001,2),IF(E344&gt;0,VLOOKUP(E344,Направление!A$1:B$4830,2))))))</f>
        <v>Расходы на проведение мероприятий по информатизации</v>
      </c>
      <c r="B344" s="158"/>
      <c r="C344" s="153"/>
      <c r="D344" s="154"/>
      <c r="E344" s="153">
        <v>12210</v>
      </c>
      <c r="F344" s="155"/>
      <c r="G344" s="611">
        <v>360000</v>
      </c>
      <c r="H344" s="161">
        <f>H345</f>
        <v>-210300</v>
      </c>
      <c r="I344" s="161">
        <f t="shared" si="4"/>
        <v>149700</v>
      </c>
    </row>
    <row r="345" spans="1:9" s="170" customFormat="1" ht="63" x14ac:dyDescent="0.25">
      <c r="A345" s="157" t="str">
        <f>IF(B345&gt;0,VLOOKUP(B345,КВСР!A81:B1246,2),IF(C345&gt;0,VLOOKUP(C345,КФСР!A81:B1593,2),IF(D345&gt;0,VLOOKUP(D345,Программа!A$1:B$5100,2),IF(F345&gt;0,VLOOKUP(F345,КВР!A$1:B$5001,2),IF(E345&gt;0,VLOOKUP(E345,Направление!A$1:B$4830,2))))))</f>
        <v xml:space="preserve">Закупка товаров, работ и услуг для обеспечения государственных (муниципальных) нужд
</v>
      </c>
      <c r="B345" s="158"/>
      <c r="C345" s="153"/>
      <c r="D345" s="154"/>
      <c r="E345" s="153"/>
      <c r="F345" s="155">
        <v>200</v>
      </c>
      <c r="G345" s="612">
        <v>360000</v>
      </c>
      <c r="H345" s="163">
        <v>-210300</v>
      </c>
      <c r="I345" s="161">
        <f t="shared" si="4"/>
        <v>149700</v>
      </c>
    </row>
    <row r="346" spans="1:9" s="170" customFormat="1" ht="63" x14ac:dyDescent="0.25">
      <c r="A346" s="157" t="str">
        <f>IF(B346&gt;0,VLOOKUP(B346,КВСР!A82:B1247,2),IF(C346&gt;0,VLOOKUP(C346,КФСР!A82:B1594,2),IF(D346&gt;0,VLOOKUP(D346,Программа!A$1:B$5100,2),IF(F346&gt;0,VLOOKUP(F346,КВР!A$1:B$5001,2),IF(E346&gt;0,VLOOKUP(E346,Направление!A$1:B$4830,2))))))</f>
        <v>Закупка компьютерного оборудования  и оргтехники для бесперебойного обеспечения деятельности органов местного самоуправления</v>
      </c>
      <c r="B346" s="158"/>
      <c r="C346" s="153"/>
      <c r="D346" s="154" t="s">
        <v>644</v>
      </c>
      <c r="E346" s="153"/>
      <c r="F346" s="155"/>
      <c r="G346" s="611">
        <v>100000</v>
      </c>
      <c r="H346" s="161">
        <f>H347</f>
        <v>-14371</v>
      </c>
      <c r="I346" s="161">
        <f t="shared" si="4"/>
        <v>85629</v>
      </c>
    </row>
    <row r="347" spans="1:9" s="170" customFormat="1" ht="31.5" x14ac:dyDescent="0.25">
      <c r="A347" s="157" t="str">
        <f>IF(B347&gt;0,VLOOKUP(B347,КВСР!A83:B1248,2),IF(C347&gt;0,VLOOKUP(C347,КФСР!A83:B1595,2),IF(D347&gt;0,VLOOKUP(D347,Программа!A$1:B$5100,2),IF(F347&gt;0,VLOOKUP(F347,КВР!A$1:B$5001,2),IF(E347&gt;0,VLOOKUP(E347,Направление!A$1:B$4830,2))))))</f>
        <v>Расходы на проведение мероприятий по информатизации</v>
      </c>
      <c r="B347" s="158"/>
      <c r="C347" s="153"/>
      <c r="D347" s="154"/>
      <c r="E347" s="153">
        <v>12210</v>
      </c>
      <c r="F347" s="155"/>
      <c r="G347" s="611">
        <v>100000</v>
      </c>
      <c r="H347" s="161">
        <f>H348</f>
        <v>-14371</v>
      </c>
      <c r="I347" s="161">
        <f t="shared" si="4"/>
        <v>85629</v>
      </c>
    </row>
    <row r="348" spans="1:9" s="170" customFormat="1" ht="63" x14ac:dyDescent="0.25">
      <c r="A348" s="157" t="str">
        <f>IF(B348&gt;0,VLOOKUP(B348,КВСР!A83:B1248,2),IF(C348&gt;0,VLOOKUP(C348,КФСР!A83:B1595,2),IF(D348&gt;0,VLOOKUP(D348,Программа!A$1:B$5100,2),IF(F348&gt;0,VLOOKUP(F348,КВР!A$1:B$5001,2),IF(E348&gt;0,VLOOKUP(E348,Направление!A$1:B$4830,2))))))</f>
        <v xml:space="preserve">Закупка товаров, работ и услуг для обеспечения государственных (муниципальных) нужд
</v>
      </c>
      <c r="B348" s="158"/>
      <c r="C348" s="153"/>
      <c r="D348" s="154"/>
      <c r="E348" s="153"/>
      <c r="F348" s="155">
        <v>200</v>
      </c>
      <c r="G348" s="612">
        <v>100000</v>
      </c>
      <c r="H348" s="163">
        <v>-14371</v>
      </c>
      <c r="I348" s="161">
        <f t="shared" si="4"/>
        <v>85629</v>
      </c>
    </row>
    <row r="349" spans="1:9" s="170" customFormat="1" x14ac:dyDescent="0.25">
      <c r="A349" s="157" t="str">
        <f>IF(B349&gt;0,VLOOKUP(B349,КВСР!A78:B1243,2),IF(C349&gt;0,VLOOKUP(C349,КФСР!A78:B1590,2),IF(D349&gt;0,VLOOKUP(D349,Программа!A$1:B$5100,2),IF(F349&gt;0,VLOOKUP(F349,КВР!A$1:B$5001,2),IF(E349&gt;0,VLOOKUP(E349,Направление!A$1:B$4830,2))))))</f>
        <v>Непрограммные расходы бюджета</v>
      </c>
      <c r="B349" s="158"/>
      <c r="C349" s="153"/>
      <c r="D349" s="154" t="s">
        <v>626</v>
      </c>
      <c r="E349" s="153"/>
      <c r="F349" s="155"/>
      <c r="G349" s="611">
        <v>12091697</v>
      </c>
      <c r="H349" s="161">
        <f>H350+H354+H356+H360+H1543+H363+H358+H365</f>
        <v>-1159952</v>
      </c>
      <c r="I349" s="161">
        <f t="shared" si="4"/>
        <v>10931745</v>
      </c>
    </row>
    <row r="350" spans="1:9" s="170" customFormat="1" x14ac:dyDescent="0.25">
      <c r="A350" s="157" t="str">
        <f>IF(B350&gt;0,VLOOKUP(B350,КВСР!A79:B1244,2),IF(C350&gt;0,VLOOKUP(C350,КФСР!A79:B1591,2),IF(D350&gt;0,VLOOKUP(D350,Программа!A$1:B$5100,2),IF(F350&gt;0,VLOOKUP(F350,КВР!A$1:B$5001,2),IF(E350&gt;0,VLOOKUP(E350,Направление!A$1:B$4830,2))))))</f>
        <v>Содержание центрального аппарата</v>
      </c>
      <c r="B350" s="158"/>
      <c r="C350" s="153"/>
      <c r="D350" s="154"/>
      <c r="E350" s="153">
        <v>12010</v>
      </c>
      <c r="F350" s="155"/>
      <c r="G350" s="611">
        <v>8319186</v>
      </c>
      <c r="H350" s="161">
        <f>H351+H352+H353</f>
        <v>-691697</v>
      </c>
      <c r="I350" s="161">
        <f t="shared" si="4"/>
        <v>7627489</v>
      </c>
    </row>
    <row r="351" spans="1:9" s="170" customFormat="1" ht="126" x14ac:dyDescent="0.25">
      <c r="A351" s="157" t="str">
        <f>IF(B351&gt;0,VLOOKUP(B351,КВСР!A80:B1245,2),IF(C351&gt;0,VLOOKUP(C351,КФСР!A80:B1592,2),IF(D351&gt;0,VLOOKUP(D351,Программа!A$1:B$5100,2),IF(F351&gt;0,VLOOKUP(F351,КВР!A$1:B$5001,2),IF(E351&gt;0,VLOOKUP(E351,Направление!A$1:B$4830,2))))))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1" s="158"/>
      <c r="C351" s="153"/>
      <c r="D351" s="155"/>
      <c r="E351" s="153"/>
      <c r="F351" s="155">
        <v>100</v>
      </c>
      <c r="G351" s="160">
        <v>7529186</v>
      </c>
      <c r="H351" s="160">
        <f>-345000-208989</f>
        <v>-553989</v>
      </c>
      <c r="I351" s="161">
        <f t="shared" si="4"/>
        <v>6975197</v>
      </c>
    </row>
    <row r="352" spans="1:9" s="170" customFormat="1" ht="63" x14ac:dyDescent="0.25">
      <c r="A352" s="157" t="str">
        <f>IF(B352&gt;0,VLOOKUP(B352,КВСР!A81:B1246,2),IF(C352&gt;0,VLOOKUP(C352,КФСР!A81:B1593,2),IF(D352&gt;0,VLOOKUP(D352,Программа!A$1:B$5100,2),IF(F352&gt;0,VLOOKUP(F352,КВР!A$1:B$5001,2),IF(E352&gt;0,VLOOKUP(E352,Направление!A$1:B$4830,2))))))</f>
        <v xml:space="preserve">Закупка товаров, работ и услуг для обеспечения государственных (муниципальных) нужд
</v>
      </c>
      <c r="B352" s="158"/>
      <c r="C352" s="153"/>
      <c r="D352" s="155"/>
      <c r="E352" s="153"/>
      <c r="F352" s="155">
        <v>200</v>
      </c>
      <c r="G352" s="160">
        <v>745184</v>
      </c>
      <c r="H352" s="160">
        <v>-100000</v>
      </c>
      <c r="I352" s="161">
        <f t="shared" si="4"/>
        <v>645184</v>
      </c>
    </row>
    <row r="353" spans="1:9" s="170" customFormat="1" x14ac:dyDescent="0.25">
      <c r="A353" s="157" t="str">
        <f>IF(B353&gt;0,VLOOKUP(B353,КВСР!A82:B1247,2),IF(C353&gt;0,VLOOKUP(C353,КФСР!A82:B1594,2),IF(D353&gt;0,VLOOKUP(D353,Программа!A$1:B$5100,2),IF(F353&gt;0,VLOOKUP(F353,КВР!A$1:B$5001,2),IF(E353&gt;0,VLOOKUP(E353,Направление!A$1:B$4830,2))))))</f>
        <v>Иные бюджетные ассигнования</v>
      </c>
      <c r="B353" s="158"/>
      <c r="C353" s="153"/>
      <c r="D353" s="155"/>
      <c r="E353" s="153"/>
      <c r="F353" s="155">
        <v>800</v>
      </c>
      <c r="G353" s="160">
        <v>44816</v>
      </c>
      <c r="H353" s="160">
        <f>-16997-8116-12595</f>
        <v>-37708</v>
      </c>
      <c r="I353" s="161">
        <f t="shared" si="4"/>
        <v>7108</v>
      </c>
    </row>
    <row r="354" spans="1:9" s="170" customFormat="1" ht="31.5" x14ac:dyDescent="0.25">
      <c r="A354" s="157" t="str">
        <f>IF(B354&gt;0,VLOOKUP(B354,КВСР!A83:B1248,2),IF(C354&gt;0,VLOOKUP(C354,КФСР!A83:B1595,2),IF(D354&gt;0,VLOOKUP(D354,Программа!A$1:B$5100,2),IF(F354&gt;0,VLOOKUP(F354,КВР!A$1:B$5001,2),IF(E354&gt;0,VLOOKUP(E354,Направление!A$1:B$4830,2))))))</f>
        <v>Выполнение других обязательств органов местного самоуправления</v>
      </c>
      <c r="B354" s="158"/>
      <c r="C354" s="153"/>
      <c r="D354" s="154"/>
      <c r="E354" s="153">
        <v>12080</v>
      </c>
      <c r="F354" s="155"/>
      <c r="G354" s="504">
        <v>1755500</v>
      </c>
      <c r="H354" s="159">
        <f>H355</f>
        <v>-440000</v>
      </c>
      <c r="I354" s="161">
        <f t="shared" si="4"/>
        <v>1315500</v>
      </c>
    </row>
    <row r="355" spans="1:9" s="170" customFormat="1" ht="63" x14ac:dyDescent="0.25">
      <c r="A355" s="157" t="str">
        <f>IF(B355&gt;0,VLOOKUP(B355,КВСР!A84:B1249,2),IF(C355&gt;0,VLOOKUP(C355,КФСР!A84:B1596,2),IF(D355&gt;0,VLOOKUP(D355,Программа!A$1:B$5100,2),IF(F355&gt;0,VLOOKUP(F355,КВР!A$1:B$5001,2),IF(E355&gt;0,VLOOKUP(E355,Направление!A$1:B$4830,2))))))</f>
        <v xml:space="preserve">Закупка товаров, работ и услуг для обеспечения государственных (муниципальных) нужд
</v>
      </c>
      <c r="B355" s="158"/>
      <c r="C355" s="153"/>
      <c r="D355" s="155"/>
      <c r="E355" s="153"/>
      <c r="F355" s="155">
        <v>200</v>
      </c>
      <c r="G355" s="502">
        <v>1755500</v>
      </c>
      <c r="H355" s="160">
        <v>-440000</v>
      </c>
      <c r="I355" s="161">
        <f t="shared" si="4"/>
        <v>1315500</v>
      </c>
    </row>
    <row r="356" spans="1:9" s="170" customFormat="1" ht="47.25" x14ac:dyDescent="0.25">
      <c r="A356" s="157" t="str">
        <f>IF(B356&gt;0,VLOOKUP(B356,КВСР!A83:B1248,2),IF(C356&gt;0,VLOOKUP(C356,КФСР!A83:B1595,2),IF(D356&gt;0,VLOOKUP(D356,Программа!A$1:B$5100,2),IF(F356&gt;0,VLOOKUP(F356,КВР!A$1:B$5001,2),IF(E356&gt;0,VLOOKUP(E356,Направление!A$1:B$4830,2))))))</f>
        <v>Оценка недвижимости, признание прав и регулирование отношений по муниципальной собственности</v>
      </c>
      <c r="B356" s="158"/>
      <c r="C356" s="153"/>
      <c r="D356" s="154"/>
      <c r="E356" s="153">
        <v>12090</v>
      </c>
      <c r="F356" s="155"/>
      <c r="G356" s="504">
        <v>500000</v>
      </c>
      <c r="H356" s="159">
        <f>H357</f>
        <v>3000</v>
      </c>
      <c r="I356" s="161">
        <f t="shared" ref="I356:I437" si="7">SUM(G356:H356)</f>
        <v>503000</v>
      </c>
    </row>
    <row r="357" spans="1:9" s="170" customFormat="1" ht="63" x14ac:dyDescent="0.25">
      <c r="A357" s="157" t="str">
        <f>IF(B357&gt;0,VLOOKUP(B357,КВСР!A84:B1249,2),IF(C357&gt;0,VLOOKUP(C357,КФСР!A84:B1596,2),IF(D357&gt;0,VLOOKUP(D357,Программа!A$1:B$5100,2),IF(F357&gt;0,VLOOKUP(F357,КВР!A$1:B$5001,2),IF(E357&gt;0,VLOOKUP(E357,Направление!A$1:B$4830,2))))))</f>
        <v xml:space="preserve">Закупка товаров, работ и услуг для обеспечения государственных (муниципальных) нужд
</v>
      </c>
      <c r="B357" s="158"/>
      <c r="C357" s="153"/>
      <c r="D357" s="155"/>
      <c r="E357" s="153"/>
      <c r="F357" s="155">
        <v>200</v>
      </c>
      <c r="G357" s="502">
        <v>500000</v>
      </c>
      <c r="H357" s="160">
        <v>3000</v>
      </c>
      <c r="I357" s="161">
        <f t="shared" si="7"/>
        <v>503000</v>
      </c>
    </row>
    <row r="358" spans="1:9" s="170" customFormat="1" ht="47.25" x14ac:dyDescent="0.25">
      <c r="A358" s="157" t="str">
        <f>IF(B358&gt;0,VLOOKUP(B358,КВСР!A85:B1250,2),IF(C358&gt;0,VLOOKUP(C358,КФСР!A85:B1597,2),IF(D358&gt;0,VLOOKUP(D358,Программа!A$1:B$5100,2),IF(F358&gt;0,VLOOKUP(F358,КВР!A$1:B$5001,2),IF(E358&gt;0,VLOOKUP(E358,Направление!A$1:B$4830,2))))))</f>
        <v>Исполнение судебных актов, актов других органов и должностных лиц, иных документов</v>
      </c>
      <c r="B358" s="158"/>
      <c r="C358" s="153"/>
      <c r="D358" s="155"/>
      <c r="E358" s="153">
        <v>12130</v>
      </c>
      <c r="F358" s="155"/>
      <c r="G358" s="502">
        <v>34984</v>
      </c>
      <c r="H358" s="502">
        <f>H359</f>
        <v>0</v>
      </c>
      <c r="I358" s="161">
        <f t="shared" si="7"/>
        <v>34984</v>
      </c>
    </row>
    <row r="359" spans="1:9" s="170" customFormat="1" x14ac:dyDescent="0.25">
      <c r="A359" s="157" t="str">
        <f>IF(B359&gt;0,VLOOKUP(B359,КВСР!A86:B1251,2),IF(C359&gt;0,VLOOKUP(C359,КФСР!A86:B1598,2),IF(D359&gt;0,VLOOKUP(D359,Программа!A$1:B$5100,2),IF(F359&gt;0,VLOOKUP(F359,КВР!A$1:B$5001,2),IF(E359&gt;0,VLOOKUP(E359,Направление!A$1:B$4830,2))))))</f>
        <v>Иные бюджетные ассигнования</v>
      </c>
      <c r="B359" s="158"/>
      <c r="C359" s="153"/>
      <c r="D359" s="155"/>
      <c r="E359" s="153"/>
      <c r="F359" s="155">
        <v>800</v>
      </c>
      <c r="G359" s="502">
        <v>34984</v>
      </c>
      <c r="H359" s="160"/>
      <c r="I359" s="161">
        <f t="shared" si="7"/>
        <v>34984</v>
      </c>
    </row>
    <row r="360" spans="1:9" s="170" customFormat="1" ht="47.25" x14ac:dyDescent="0.25">
      <c r="A360" s="157" t="str">
        <f>IF(B360&gt;0,VLOOKUP(B360,КВСР!A90:B1255,2),IF(C360&gt;0,VLOOKUP(C360,КФСР!A90:B1602,2),IF(D360&gt;0,VLOOKUP(D360,Программа!A$1:B$5100,2),IF(F360&gt;0,VLOOKUP(F360,КВР!A$1:B$5001,2),IF(E360&gt;0,VLOOKUP(E360,Направление!A$1:B$4830,2))))))</f>
        <v>Содержание органов местного самоуправления за счет средств поселений</v>
      </c>
      <c r="B360" s="158"/>
      <c r="C360" s="153"/>
      <c r="D360" s="155"/>
      <c r="E360" s="153">
        <v>29016</v>
      </c>
      <c r="F360" s="155"/>
      <c r="G360" s="168">
        <v>1207979</v>
      </c>
      <c r="H360" s="168">
        <f>H361+H362</f>
        <v>0</v>
      </c>
      <c r="I360" s="161">
        <f t="shared" si="7"/>
        <v>1207979</v>
      </c>
    </row>
    <row r="361" spans="1:9" s="170" customFormat="1" ht="126" x14ac:dyDescent="0.25">
      <c r="A361" s="157" t="str">
        <f>IF(B361&gt;0,VLOOKUP(B361,КВСР!A91:B1256,2),IF(C361&gt;0,VLOOKUP(C361,КФСР!A91:B1603,2),IF(D361&gt;0,VLOOKUP(D361,Программа!A$1:B$5100,2),IF(F361&gt;0,VLOOKUP(F361,КВР!A$1:B$5001,2),IF(E361&gt;0,VLOOKUP(E361,Направление!A$1:B$4830,2))))))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1" s="158"/>
      <c r="C361" s="153"/>
      <c r="D361" s="155"/>
      <c r="E361" s="153"/>
      <c r="F361" s="155">
        <v>100</v>
      </c>
      <c r="G361" s="502">
        <v>1098163</v>
      </c>
      <c r="H361" s="160">
        <v>20489</v>
      </c>
      <c r="I361" s="161">
        <f t="shared" si="7"/>
        <v>1118652</v>
      </c>
    </row>
    <row r="362" spans="1:9" s="170" customFormat="1" ht="63" x14ac:dyDescent="0.25">
      <c r="A362" s="157" t="str">
        <f>IF(B362&gt;0,VLOOKUP(B362,КВСР!A92:B1257,2),IF(C362&gt;0,VLOOKUP(C362,КФСР!A92:B1604,2),IF(D362&gt;0,VLOOKUP(D362,Программа!A$1:B$5100,2),IF(F362&gt;0,VLOOKUP(F362,КВР!A$1:B$5001,2),IF(E362&gt;0,VLOOKUP(E362,Направление!A$1:B$4830,2))))))</f>
        <v xml:space="preserve">Закупка товаров, работ и услуг для обеспечения государственных (муниципальных) нужд
</v>
      </c>
      <c r="B362" s="158"/>
      <c r="C362" s="153"/>
      <c r="D362" s="155"/>
      <c r="E362" s="153"/>
      <c r="F362" s="155">
        <v>200</v>
      </c>
      <c r="G362" s="502">
        <v>109816</v>
      </c>
      <c r="H362" s="160">
        <v>-20489</v>
      </c>
      <c r="I362" s="161">
        <f t="shared" si="7"/>
        <v>89327</v>
      </c>
    </row>
    <row r="363" spans="1:9" s="170" customFormat="1" ht="94.5" x14ac:dyDescent="0.25">
      <c r="A363" s="157" t="str">
        <f>IF(B363&gt;0,VLOOKUP(B363,КВСР!A93:B1258,2),IF(C363&gt;0,VLOOKUP(C363,КФСР!A93:B1605,2),IF(D363&gt;0,VLOOKUP(D363,Программа!A$1:B$5100,2),IF(F363&gt;0,VLOOKUP(F363,КВР!A$1:B$5001,2),IF(E363&gt;0,VLOOKUP(E363,Направление!A$1:B$4830,2))))))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63" s="158"/>
      <c r="C363" s="153"/>
      <c r="D363" s="154"/>
      <c r="E363" s="153">
        <v>29026</v>
      </c>
      <c r="F363" s="155"/>
      <c r="G363" s="504">
        <v>250000</v>
      </c>
      <c r="H363" s="159">
        <f>H364</f>
        <v>-31255</v>
      </c>
      <c r="I363" s="161">
        <f t="shared" si="7"/>
        <v>218745</v>
      </c>
    </row>
    <row r="364" spans="1:9" s="170" customFormat="1" ht="63" x14ac:dyDescent="0.25">
      <c r="A364" s="157" t="str">
        <f>IF(B364&gt;0,VLOOKUP(B364,КВСР!A94:B1259,2),IF(C364&gt;0,VLOOKUP(C364,КФСР!A94:B1606,2),IF(D364&gt;0,VLOOKUP(D364,Программа!A$1:B$5100,2),IF(F364&gt;0,VLOOKUP(F364,КВР!A$1:B$5001,2),IF(E364&gt;0,VLOOKUP(E364,Направление!A$1:B$4830,2))))))</f>
        <v xml:space="preserve">Закупка товаров, работ и услуг для обеспечения государственных (муниципальных) нужд
</v>
      </c>
      <c r="B364" s="158"/>
      <c r="C364" s="153"/>
      <c r="D364" s="155"/>
      <c r="E364" s="153"/>
      <c r="F364" s="155">
        <v>200</v>
      </c>
      <c r="G364" s="502">
        <v>250000</v>
      </c>
      <c r="H364" s="160">
        <v>-31255</v>
      </c>
      <c r="I364" s="161">
        <f t="shared" si="7"/>
        <v>218745</v>
      </c>
    </row>
    <row r="365" spans="1:9" s="170" customFormat="1" ht="63" x14ac:dyDescent="0.25">
      <c r="A365" s="157" t="str">
        <f>IF(B365&gt;0,VLOOKUP(B365,КВСР!A95:B1260,2),IF(C365&gt;0,VLOOKUP(C365,КФСР!A95:B1607,2),IF(D365&gt;0,VLOOKUP(D365,Программа!A$1:B$5100,2),IF(F365&gt;0,VLOOKUP(F365,КВР!A$1:B$5001,2),IF(E365&gt;0,VLOOKUP(E365,Направление!A$1:B$4830,2))))))</f>
        <v>Обеспечение других обязательств в рамках передаваемых полномочий по содержанию имущества казны городского поселения Тутаев</v>
      </c>
      <c r="B365" s="158"/>
      <c r="C365" s="153"/>
      <c r="D365" s="155"/>
      <c r="E365" s="153">
        <v>29556</v>
      </c>
      <c r="F365" s="155"/>
      <c r="G365" s="502">
        <v>24048</v>
      </c>
      <c r="H365" s="502">
        <f>H366</f>
        <v>0</v>
      </c>
      <c r="I365" s="502">
        <f>I366</f>
        <v>24048</v>
      </c>
    </row>
    <row r="366" spans="1:9" s="170" customFormat="1" ht="63" x14ac:dyDescent="0.25">
      <c r="A366" s="157" t="str">
        <f>IF(B366&gt;0,VLOOKUP(B366,КВСР!A96:B1261,2),IF(C366&gt;0,VLOOKUP(C366,КФСР!A96:B1608,2),IF(D366&gt;0,VLOOKUP(D366,Программа!A$1:B$5100,2),IF(F366&gt;0,VLOOKUP(F366,КВР!A$1:B$5001,2),IF(E366&gt;0,VLOOKUP(E366,Направление!A$1:B$4830,2))))))</f>
        <v xml:space="preserve">Закупка товаров, работ и услуг для обеспечения государственных (муниципальных) нужд
</v>
      </c>
      <c r="B366" s="158"/>
      <c r="C366" s="153"/>
      <c r="D366" s="155"/>
      <c r="E366" s="153"/>
      <c r="F366" s="155">
        <v>200</v>
      </c>
      <c r="G366" s="502">
        <v>24048</v>
      </c>
      <c r="H366" s="160"/>
      <c r="I366" s="161">
        <f t="shared" si="7"/>
        <v>24048</v>
      </c>
    </row>
    <row r="367" spans="1:9" s="170" customFormat="1" ht="31.5" x14ac:dyDescent="0.25">
      <c r="A367" s="157" t="str">
        <f>IF(B367&gt;0,VLOOKUP(B367,КВСР!A92:B1257,2),IF(C367&gt;0,VLOOKUP(C367,КФСР!A92:B1604,2),IF(D367&gt;0,VLOOKUP(D367,Программа!A$1:B$5100,2),IF(F367&gt;0,VLOOKUP(F367,КВР!A$1:B$5001,2),IF(E367&gt;0,VLOOKUP(E367,Направление!A$1:B$4830,2))))))</f>
        <v>Другие вопросы в области национальной экономики</v>
      </c>
      <c r="B367" s="158"/>
      <c r="C367" s="153">
        <v>412</v>
      </c>
      <c r="D367" s="154"/>
      <c r="E367" s="153"/>
      <c r="F367" s="155"/>
      <c r="G367" s="504">
        <v>1975189</v>
      </c>
      <c r="H367" s="159">
        <f>H368</f>
        <v>-613880</v>
      </c>
      <c r="I367" s="161">
        <f t="shared" si="7"/>
        <v>1361309</v>
      </c>
    </row>
    <row r="368" spans="1:9" s="170" customFormat="1" x14ac:dyDescent="0.25">
      <c r="A368" s="157" t="str">
        <f>IF(B368&gt;0,VLOOKUP(B368,КВСР!A93:B1258,2),IF(C368&gt;0,VLOOKUP(C368,КФСР!A93:B1605,2),IF(D368&gt;0,VLOOKUP(D368,Программа!A$1:B$5100,2),IF(F368&gt;0,VLOOKUP(F368,КВР!A$1:B$5001,2),IF(E368&gt;0,VLOOKUP(E368,Направление!A$1:B$4830,2))))))</f>
        <v>Непрограммные расходы бюджета</v>
      </c>
      <c r="B368" s="158"/>
      <c r="C368" s="153"/>
      <c r="D368" s="154" t="s">
        <v>626</v>
      </c>
      <c r="E368" s="153"/>
      <c r="F368" s="155"/>
      <c r="G368" s="504">
        <v>1975189</v>
      </c>
      <c r="H368" s="159">
        <f>H369+H371</f>
        <v>-613880</v>
      </c>
      <c r="I368" s="161">
        <f t="shared" si="7"/>
        <v>1361309</v>
      </c>
    </row>
    <row r="369" spans="1:9" s="170" customFormat="1" ht="31.5" x14ac:dyDescent="0.25">
      <c r="A369" s="157" t="str">
        <f>IF(B369&gt;0,VLOOKUP(B369,КВСР!A94:B1259,2),IF(C369&gt;0,VLOOKUP(C369,КФСР!A94:B1606,2),IF(D369&gt;0,VLOOKUP(D369,Программа!A$1:B$5100,2),IF(F369&gt;0,VLOOKUP(F369,КВР!A$1:B$5001,2),IF(E369&gt;0,VLOOKUP(E369,Направление!A$1:B$4830,2))))))</f>
        <v>Мероприятия по землеустройству и землепользованию</v>
      </c>
      <c r="B369" s="158"/>
      <c r="C369" s="153"/>
      <c r="D369" s="154"/>
      <c r="E369" s="153">
        <v>10510</v>
      </c>
      <c r="F369" s="155"/>
      <c r="G369" s="504">
        <v>744000</v>
      </c>
      <c r="H369" s="159">
        <f>H370</f>
        <v>-443000</v>
      </c>
      <c r="I369" s="161">
        <f t="shared" si="7"/>
        <v>301000</v>
      </c>
    </row>
    <row r="370" spans="1:9" s="170" customFormat="1" ht="63" x14ac:dyDescent="0.25">
      <c r="A370" s="157" t="str">
        <f>IF(B370&gt;0,VLOOKUP(B370,КВСР!A95:B1260,2),IF(C370&gt;0,VLOOKUP(C370,КФСР!A95:B1607,2),IF(D370&gt;0,VLOOKUP(D370,Программа!A$1:B$5100,2),IF(F370&gt;0,VLOOKUP(F370,КВР!A$1:B$5001,2),IF(E370&gt;0,VLOOKUP(E370,Направление!A$1:B$4830,2))))))</f>
        <v xml:space="preserve">Закупка товаров, работ и услуг для обеспечения государственных (муниципальных) нужд
</v>
      </c>
      <c r="B370" s="158"/>
      <c r="C370" s="153"/>
      <c r="D370" s="155"/>
      <c r="E370" s="153"/>
      <c r="F370" s="155">
        <v>200</v>
      </c>
      <c r="G370" s="502">
        <v>744000</v>
      </c>
      <c r="H370" s="160">
        <f>-440000-3000</f>
        <v>-443000</v>
      </c>
      <c r="I370" s="161">
        <f t="shared" si="7"/>
        <v>301000</v>
      </c>
    </row>
    <row r="371" spans="1:9" s="170" customFormat="1" ht="63" x14ac:dyDescent="0.25">
      <c r="A371" s="157" t="str">
        <f>IF(B371&gt;0,VLOOKUP(B371,КВСР!A96:B1261,2),IF(C371&gt;0,VLOOKUP(C371,КФСР!A96:B1608,2),IF(D371&gt;0,VLOOKUP(D371,Программа!A$1:B$5100,2),IF(F371&gt;0,VLOOKUP(F371,КВР!A$1:B$5001,2),IF(E371&gt;0,VLOOKUP(E371,Направление!A$1:B$4830,2))))))</f>
        <v>Обеспечение мероприятий  по землеустройству и землепользованию,   определению кадастровой стоимости и приобретению прав собственности</v>
      </c>
      <c r="B371" s="158"/>
      <c r="C371" s="153"/>
      <c r="D371" s="155"/>
      <c r="E371" s="153">
        <v>29276</v>
      </c>
      <c r="F371" s="155"/>
      <c r="G371" s="502">
        <v>1231189</v>
      </c>
      <c r="H371" s="502">
        <f>H372</f>
        <v>-170880</v>
      </c>
      <c r="I371" s="161">
        <f t="shared" si="7"/>
        <v>1060309</v>
      </c>
    </row>
    <row r="372" spans="1:9" s="170" customFormat="1" ht="63" x14ac:dyDescent="0.25">
      <c r="A372" s="157" t="str">
        <f>IF(B372&gt;0,VLOOKUP(B372,КВСР!A97:B1262,2),IF(C372&gt;0,VLOOKUP(C372,КФСР!A97:B1609,2),IF(D372&gt;0,VLOOKUP(D372,Программа!A$1:B$5100,2),IF(F372&gt;0,VLOOKUP(F372,КВР!A$1:B$5001,2),IF(E372&gt;0,VLOOKUP(E372,Направление!A$1:B$4830,2))))))</f>
        <v xml:space="preserve">Закупка товаров, работ и услуг для обеспечения государственных (муниципальных) нужд
</v>
      </c>
      <c r="B372" s="158"/>
      <c r="C372" s="153"/>
      <c r="D372" s="155"/>
      <c r="E372" s="153"/>
      <c r="F372" s="155">
        <v>200</v>
      </c>
      <c r="G372" s="502">
        <v>1231189</v>
      </c>
      <c r="H372" s="160">
        <v>-170880</v>
      </c>
      <c r="I372" s="161">
        <f t="shared" si="7"/>
        <v>1060309</v>
      </c>
    </row>
    <row r="373" spans="1:9" s="170" customFormat="1" x14ac:dyDescent="0.25">
      <c r="A373" s="157" t="str">
        <f>IF(B373&gt;0,VLOOKUP(B373,КВСР!A100:B1265,2),IF(C373&gt;0,VLOOKUP(C373,КФСР!A100:B1612,2),IF(D373&gt;0,VLOOKUP(D373,Программа!A$1:B$5100,2),IF(F373&gt;0,VLOOKUP(F373,КВР!A$1:B$5001,2),IF(E373&gt;0,VLOOKUP(E373,Направление!A$1:B$4830,2))))))</f>
        <v>Жилищное хозяйство</v>
      </c>
      <c r="B373" s="158"/>
      <c r="C373" s="153">
        <v>501</v>
      </c>
      <c r="D373" s="155"/>
      <c r="E373" s="153"/>
      <c r="F373" s="155"/>
      <c r="G373" s="168">
        <v>256000</v>
      </c>
      <c r="H373" s="168">
        <f>H374</f>
        <v>0</v>
      </c>
      <c r="I373" s="161">
        <f t="shared" si="7"/>
        <v>256000</v>
      </c>
    </row>
    <row r="374" spans="1:9" s="170" customFormat="1" x14ac:dyDescent="0.25">
      <c r="A374" s="157" t="str">
        <f>IF(B374&gt;0,VLOOKUP(B374,КВСР!A101:B1266,2),IF(C374&gt;0,VLOOKUP(C374,КФСР!A101:B1613,2),IF(D374&gt;0,VLOOKUP(D374,Программа!A$1:B$5100,2),IF(F374&gt;0,VLOOKUP(F374,КВР!A$1:B$5001,2),IF(E374&gt;0,VLOOKUP(E374,Направление!A$1:B$4830,2))))))</f>
        <v>Непрограммные расходы бюджета</v>
      </c>
      <c r="B374" s="158"/>
      <c r="C374" s="153"/>
      <c r="D374" s="155" t="s">
        <v>626</v>
      </c>
      <c r="E374" s="153"/>
      <c r="F374" s="155"/>
      <c r="G374" s="168">
        <v>256000</v>
      </c>
      <c r="H374" s="168">
        <f>H375</f>
        <v>0</v>
      </c>
      <c r="I374" s="161">
        <f t="shared" si="7"/>
        <v>256000</v>
      </c>
    </row>
    <row r="375" spans="1:9" s="170" customFormat="1" ht="47.25" x14ac:dyDescent="0.25">
      <c r="A375" s="157" t="str">
        <f>IF(B375&gt;0,VLOOKUP(B375,КВСР!A102:B1267,2),IF(C375&gt;0,VLOOKUP(C375,КФСР!A102:B1614,2),IF(D375&gt;0,VLOOKUP(D375,Программа!A$1:B$5100,2),IF(F375&gt;0,VLOOKUP(F375,КВР!A$1:B$5001,2),IF(E375&gt;0,VLOOKUP(E375,Направление!A$1:B$4830,2))))))</f>
        <v>Взносы на  капитальный ремонт  жилых помещений муниципального жилищного фонда</v>
      </c>
      <c r="B375" s="158"/>
      <c r="C375" s="153"/>
      <c r="D375" s="155"/>
      <c r="E375" s="153">
        <v>10370</v>
      </c>
      <c r="F375" s="155"/>
      <c r="G375" s="168">
        <v>256000</v>
      </c>
      <c r="H375" s="168">
        <f>H376</f>
        <v>0</v>
      </c>
      <c r="I375" s="161">
        <f t="shared" si="7"/>
        <v>256000</v>
      </c>
    </row>
    <row r="376" spans="1:9" s="170" customFormat="1" ht="63" x14ac:dyDescent="0.25">
      <c r="A376" s="157" t="str">
        <f>IF(B376&gt;0,VLOOKUP(B376,КВСР!A103:B1268,2),IF(C376&gt;0,VLOOKUP(C376,КФСР!A103:B1615,2),IF(D376&gt;0,VLOOKUP(D376,Программа!A$1:B$5100,2),IF(F376&gt;0,VLOOKUP(F376,КВР!A$1:B$5001,2),IF(E376&gt;0,VLOOKUP(E376,Направление!A$1:B$4830,2))))))</f>
        <v xml:space="preserve">Закупка товаров, работ и услуг для обеспечения государственных (муниципальных) нужд
</v>
      </c>
      <c r="B376" s="158"/>
      <c r="C376" s="153"/>
      <c r="D376" s="155"/>
      <c r="E376" s="153"/>
      <c r="F376" s="155">
        <v>200</v>
      </c>
      <c r="G376" s="502">
        <v>256000</v>
      </c>
      <c r="H376" s="160"/>
      <c r="I376" s="161">
        <f t="shared" si="7"/>
        <v>256000</v>
      </c>
    </row>
    <row r="377" spans="1:9" ht="31.5" x14ac:dyDescent="0.25">
      <c r="A377" s="151" t="str">
        <f>IF(B377&gt;0,VLOOKUP(B377,КВСР!A106:B1271,2),IF(C377&gt;0,VLOOKUP(C377,КФСР!A106:B1618,2),IF(D377&gt;0,VLOOKUP(D377,Программа!A$1:B$5100,2),IF(F377&gt;0,VLOOKUP(F377,КВР!A$1:B$5001,2),IF(E377&gt;0,VLOOKUP(E377,Направление!A$1:B$4830,2))))))</f>
        <v>Департамент образования Администрации ТМР</v>
      </c>
      <c r="B377" s="152">
        <v>953</v>
      </c>
      <c r="C377" s="153"/>
      <c r="D377" s="154"/>
      <c r="E377" s="153"/>
      <c r="F377" s="155"/>
      <c r="G377" s="610">
        <v>1061904577</v>
      </c>
      <c r="H377" s="610">
        <f>H378+H415+H448+H470+H495+H580+H605+H574+H464</f>
        <v>-28453</v>
      </c>
      <c r="I377" s="625">
        <f t="shared" si="7"/>
        <v>1061876124</v>
      </c>
    </row>
    <row r="378" spans="1:9" x14ac:dyDescent="0.25">
      <c r="A378" s="157" t="str">
        <f>IF(B378&gt;0,VLOOKUP(B378,КВСР!A111:B1276,2),IF(C378&gt;0,VLOOKUP(C378,КФСР!A111:B1623,2),IF(D378&gt;0,VLOOKUP(D378,Программа!A$1:B$5100,2),IF(F378&gt;0,VLOOKUP(F378,КВР!A$1:B$5001,2),IF(E378&gt;0,VLOOKUP(E378,Направление!A$1:B$4830,2))))))</f>
        <v>Дошкольное образование</v>
      </c>
      <c r="B378" s="158"/>
      <c r="C378" s="153">
        <v>701</v>
      </c>
      <c r="D378" s="154"/>
      <c r="E378" s="153"/>
      <c r="F378" s="155"/>
      <c r="G378" s="611">
        <v>424012912</v>
      </c>
      <c r="H378" s="161">
        <f>H384+H412+H404+H379</f>
        <v>-999999</v>
      </c>
      <c r="I378" s="161">
        <f t="shared" si="7"/>
        <v>423012913</v>
      </c>
    </row>
    <row r="379" spans="1:9" ht="63" x14ac:dyDescent="0.25">
      <c r="A379" s="157" t="str">
        <f>IF(B379&gt;0,VLOOKUP(B379,КВСР!A112:B1277,2),IF(C379&gt;0,VLOOKUP(C379,КФСР!A112:B1624,2),IF(D379&gt;0,VLOOKUP(D379,Программа!A$1:B$5100,2),IF(F379&gt;0,VLOOKUP(F379,КВР!A$1:B$5001,2),IF(E379&gt;0,VLOOKUP(E379,Направление!A$1:B$4830,2))))))</f>
        <v>Муниципальная программа  "Развитие культуры, туризма и молодежной политики в Тутаевском муниципальном районе"</v>
      </c>
      <c r="B379" s="158"/>
      <c r="C379" s="153"/>
      <c r="D379" s="154" t="s">
        <v>716</v>
      </c>
      <c r="E379" s="153"/>
      <c r="F379" s="155"/>
      <c r="G379" s="611">
        <v>40000</v>
      </c>
      <c r="H379" s="611">
        <f>H380</f>
        <v>0</v>
      </c>
      <c r="I379" s="161">
        <f t="shared" si="7"/>
        <v>40000</v>
      </c>
    </row>
    <row r="380" spans="1:9" ht="47.25" x14ac:dyDescent="0.25">
      <c r="A380" s="157" t="str">
        <f>IF(B380&gt;0,VLOOKUP(B380,КВСР!A113:B1278,2),IF(C380&gt;0,VLOOKUP(C380,КФСР!A113:B1625,2),IF(D380&gt;0,VLOOKUP(D380,Программа!A$1:B$5100,2),IF(F380&gt;0,VLOOKUP(F380,КВР!A$1:B$5001,2),IF(E380&gt;0,VLOOKUP(E380,Направление!A$1:B$4830,2))))))</f>
        <v>Ведомственная целевая программа «Сохранение и развитие культуры Тутаевского муниципального района»</v>
      </c>
      <c r="B380" s="158"/>
      <c r="C380" s="153"/>
      <c r="D380" s="154" t="s">
        <v>819</v>
      </c>
      <c r="E380" s="153"/>
      <c r="F380" s="155"/>
      <c r="G380" s="611">
        <v>40000</v>
      </c>
      <c r="H380" s="611">
        <f>H381</f>
        <v>0</v>
      </c>
      <c r="I380" s="161">
        <f t="shared" si="7"/>
        <v>40000</v>
      </c>
    </row>
    <row r="381" spans="1:9" ht="31.5" x14ac:dyDescent="0.25">
      <c r="A381" s="157" t="str">
        <f>IF(B381&gt;0,VLOOKUP(B381,КВСР!A114:B1279,2),IF(C381&gt;0,VLOOKUP(C381,КФСР!A114:B1626,2),IF(D381&gt;0,VLOOKUP(D381,Программа!A$1:B$5100,2),IF(F381&gt;0,VLOOKUP(F381,КВР!A$1:B$5001,2),IF(E381&gt;0,VLOOKUP(E381,Направление!A$1:B$4830,2))))))</f>
        <v>Обеспечение эффективности управления системой культуры</v>
      </c>
      <c r="B381" s="158"/>
      <c r="C381" s="153"/>
      <c r="D381" s="154" t="s">
        <v>846</v>
      </c>
      <c r="E381" s="153"/>
      <c r="F381" s="155"/>
      <c r="G381" s="611">
        <v>40000</v>
      </c>
      <c r="H381" s="611">
        <f>H382</f>
        <v>0</v>
      </c>
      <c r="I381" s="161">
        <f t="shared" si="7"/>
        <v>40000</v>
      </c>
    </row>
    <row r="382" spans="1:9" ht="31.5" x14ac:dyDescent="0.25">
      <c r="A382" s="157" t="str">
        <f>IF(B382&gt;0,VLOOKUP(B382,КВСР!A115:B1280,2),IF(C382&gt;0,VLOOKUP(C382,КФСР!A115:B1627,2),IF(D382&gt;0,VLOOKUP(D382,Программа!A$1:B$5100,2),IF(F382&gt;0,VLOOKUP(F382,КВР!A$1:B$5001,2),IF(E382&gt;0,VLOOKUP(E382,Направление!A$1:B$4830,2))))))</f>
        <v xml:space="preserve">Обеспечение культурно-досуговых мероприятий </v>
      </c>
      <c r="B382" s="158"/>
      <c r="C382" s="153"/>
      <c r="D382" s="154"/>
      <c r="E382" s="153">
        <v>29216</v>
      </c>
      <c r="F382" s="155"/>
      <c r="G382" s="611">
        <v>40000</v>
      </c>
      <c r="H382" s="611">
        <f>H383</f>
        <v>0</v>
      </c>
      <c r="I382" s="161">
        <f t="shared" si="7"/>
        <v>40000</v>
      </c>
    </row>
    <row r="383" spans="1:9" ht="63" x14ac:dyDescent="0.25">
      <c r="A383" s="157" t="str">
        <f>IF(B383&gt;0,VLOOKUP(B383,КВСР!A116:B1281,2),IF(C383&gt;0,VLOOKUP(C383,КФСР!A116:B1628,2),IF(D383&gt;0,VLOOKUP(D383,Программа!A$1:B$5100,2),IF(F383&gt;0,VLOOKUP(F383,КВР!A$1:B$5001,2),IF(E383&gt;0,VLOOKUP(E383,Направление!A$1:B$4830,2))))))</f>
        <v xml:space="preserve">Закупка товаров, работ и услуг для обеспечения государственных (муниципальных) нужд
</v>
      </c>
      <c r="B383" s="158"/>
      <c r="C383" s="153"/>
      <c r="D383" s="154"/>
      <c r="E383" s="153"/>
      <c r="F383" s="155">
        <v>200</v>
      </c>
      <c r="G383" s="611">
        <v>40000</v>
      </c>
      <c r="H383" s="161"/>
      <c r="I383" s="161">
        <f t="shared" si="7"/>
        <v>40000</v>
      </c>
    </row>
    <row r="384" spans="1:9" ht="63" x14ac:dyDescent="0.25">
      <c r="A384" s="157" t="str">
        <f>IF(B384&gt;0,VLOOKUP(B384,КВСР!A112:B1277,2),IF(C384&gt;0,VLOOKUP(C384,КФСР!A112:B1624,2),IF(D384&gt;0,VLOOKUP(D384,Программа!A$1:B$5100,2),IF(F384&gt;0,VLOOKUP(F384,КВР!A$1:B$5001,2),IF(E384&gt;0,VLOOKUP(E384,Направление!A$1:B$4830,2))))))</f>
        <v>Муниципальная программа "Развитие образования, физической культуры и спорта в Тутаевском муниципальном районе"</v>
      </c>
      <c r="B384" s="158"/>
      <c r="C384" s="153"/>
      <c r="D384" s="154" t="s">
        <v>686</v>
      </c>
      <c r="E384" s="153"/>
      <c r="F384" s="155"/>
      <c r="G384" s="611">
        <v>423874651</v>
      </c>
      <c r="H384" s="161">
        <f>H386</f>
        <v>-999999</v>
      </c>
      <c r="I384" s="161">
        <f t="shared" si="7"/>
        <v>422874652</v>
      </c>
    </row>
    <row r="385" spans="1:9" ht="63" x14ac:dyDescent="0.25">
      <c r="A385" s="157" t="str">
        <f>IF(B385&gt;0,VLOOKUP(B385,КВСР!A113:B1278,2),IF(C385&gt;0,VLOOKUP(C385,КФСР!A113:B1625,2),IF(D385&gt;0,VLOOKUP(D385,Программа!A$1:B$5100,2),IF(F385&gt;0,VLOOKUP(F385,КВР!A$1:B$5001,2),IF(E385&gt;0,VLOOKUP(E385,Направление!A$1:B$4830,2))))))</f>
        <v xml:space="preserve">Ведомственная целевая программа департамента образования Администрации Тутаевского муниципального района </v>
      </c>
      <c r="B385" s="158"/>
      <c r="C385" s="153"/>
      <c r="D385" s="154" t="s">
        <v>688</v>
      </c>
      <c r="E385" s="153"/>
      <c r="F385" s="155"/>
      <c r="G385" s="611">
        <v>423874651</v>
      </c>
      <c r="H385" s="161">
        <f>H386</f>
        <v>-999999</v>
      </c>
      <c r="I385" s="161">
        <f t="shared" si="7"/>
        <v>422874652</v>
      </c>
    </row>
    <row r="386" spans="1:9" ht="47.25" x14ac:dyDescent="0.25">
      <c r="A386" s="157" t="str">
        <f>IF(B386&gt;0,VLOOKUP(B386,КВСР!A114:B1279,2),IF(C386&gt;0,VLOOKUP(C386,КФСР!A114:B1626,2),IF(D386&gt;0,VLOOKUP(D386,Программа!A$1:B$5100,2),IF(F386&gt;0,VLOOKUP(F386,КВР!A$1:B$5001,2),IF(E386&gt;0,VLOOKUP(E386,Направление!A$1:B$4830,2))))))</f>
        <v>Обеспечение качества и доступности образовательных услуг в сфере дошкольного образования</v>
      </c>
      <c r="B386" s="158"/>
      <c r="C386" s="153"/>
      <c r="D386" s="154" t="s">
        <v>689</v>
      </c>
      <c r="E386" s="153"/>
      <c r="F386" s="155"/>
      <c r="G386" s="611">
        <v>423874651</v>
      </c>
      <c r="H386" s="611">
        <f>H387+H393+H397+H391+H395+H402+H400</f>
        <v>-999999</v>
      </c>
      <c r="I386" s="161">
        <f t="shared" si="7"/>
        <v>422874652</v>
      </c>
    </row>
    <row r="387" spans="1:9" ht="31.5" x14ac:dyDescent="0.25">
      <c r="A387" s="157" t="str">
        <f>IF(B387&gt;0,VLOOKUP(B387,КВСР!A114:B1279,2),IF(C387&gt;0,VLOOKUP(C387,КФСР!A114:B1626,2),IF(D387&gt;0,VLOOKUP(D387,Программа!A$1:B$5100,2),IF(F387&gt;0,VLOOKUP(F387,КВР!A$1:B$5001,2),IF(E387&gt;0,VLOOKUP(E387,Направление!A$1:B$4830,2))))))</f>
        <v>Обеспечение деятельности дошкольных учреждений</v>
      </c>
      <c r="B387" s="158"/>
      <c r="C387" s="153"/>
      <c r="D387" s="154"/>
      <c r="E387" s="153">
        <v>13010</v>
      </c>
      <c r="F387" s="155"/>
      <c r="G387" s="504">
        <v>161467961</v>
      </c>
      <c r="H387" s="504">
        <f>H388+H389+H390</f>
        <v>-1000000</v>
      </c>
      <c r="I387" s="161">
        <f t="shared" si="7"/>
        <v>160467961</v>
      </c>
    </row>
    <row r="388" spans="1:9" ht="126" x14ac:dyDescent="0.25">
      <c r="A388" s="157" t="str">
        <f>IF(B388&gt;0,VLOOKUP(B388,КВСР!A115:B1280,2),IF(C388&gt;0,VLOOKUP(C388,КФСР!A115:B1627,2),IF(D388&gt;0,VLOOKUP(D388,Программа!A$1:B$5100,2),IF(F388&gt;0,VLOOKUP(F388,КВР!A$1:B$5001,2),IF(E388&gt;0,VLOOKUP(E388,Направление!A$1:B$4830,2))))))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8"/>
      <c r="C388" s="153"/>
      <c r="D388" s="155"/>
      <c r="E388" s="153"/>
      <c r="F388" s="155">
        <v>100</v>
      </c>
      <c r="G388" s="502">
        <v>55375126</v>
      </c>
      <c r="H388" s="160">
        <f>1308279-42736+162179</f>
        <v>1427722</v>
      </c>
      <c r="I388" s="161">
        <f t="shared" si="7"/>
        <v>56802848</v>
      </c>
    </row>
    <row r="389" spans="1:9" ht="63" x14ac:dyDescent="0.25">
      <c r="A389" s="157" t="str">
        <f>IF(B389&gt;0,VLOOKUP(B389,КВСР!A116:B1281,2),IF(C389&gt;0,VLOOKUP(C389,КФСР!A116:B1628,2),IF(D389&gt;0,VLOOKUP(D389,Программа!A$1:B$5100,2),IF(F389&gt;0,VLOOKUP(F389,КВР!A$1:B$5001,2),IF(E389&gt;0,VLOOKUP(E389,Направление!A$1:B$4830,2))))))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8"/>
      <c r="C389" s="153"/>
      <c r="D389" s="155"/>
      <c r="E389" s="153"/>
      <c r="F389" s="155">
        <v>200</v>
      </c>
      <c r="G389" s="502">
        <v>97462417</v>
      </c>
      <c r="H389" s="160">
        <v>-1928754</v>
      </c>
      <c r="I389" s="161">
        <f t="shared" si="7"/>
        <v>95533663</v>
      </c>
    </row>
    <row r="390" spans="1:9" x14ac:dyDescent="0.25">
      <c r="A390" s="157" t="str">
        <f>IF(B390&gt;0,VLOOKUP(B390,КВСР!A117:B1282,2),IF(C390&gt;0,VLOOKUP(C390,КФСР!A117:B1629,2),IF(D390&gt;0,VLOOKUP(D390,Программа!A$1:B$5100,2),IF(F390&gt;0,VLOOKUP(F390,КВР!A$1:B$5001,2),IF(E390&gt;0,VLOOKUP(E390,Направление!A$1:B$4830,2))))))</f>
        <v>Иные бюджетные ассигнования</v>
      </c>
      <c r="B390" s="158"/>
      <c r="C390" s="153"/>
      <c r="D390" s="155"/>
      <c r="E390" s="153"/>
      <c r="F390" s="155">
        <v>800</v>
      </c>
      <c r="G390" s="502">
        <v>8630418</v>
      </c>
      <c r="H390" s="160">
        <f>-19-517436-34574+53061</f>
        <v>-498968</v>
      </c>
      <c r="I390" s="161">
        <f t="shared" si="7"/>
        <v>8131450</v>
      </c>
    </row>
    <row r="391" spans="1:9" ht="31.5" x14ac:dyDescent="0.25">
      <c r="A391" s="157" t="str">
        <f>IF(B391&gt;0,VLOOKUP(B391,КВСР!A116:B1281,2),IF(C391&gt;0,VLOOKUP(C391,КФСР!A116:B1628,2),IF(D391&gt;0,VLOOKUP(D391,Программа!A$1:B$5100,2),IF(F391&gt;0,VLOOKUP(F391,КВР!A$1:B$5001,2),IF(E391&gt;0,VLOOKUP(E391,Направление!A$1:B$4830,2))))))</f>
        <v>Обеспечение деятельности общеобразовательных учреждений</v>
      </c>
      <c r="B391" s="158"/>
      <c r="C391" s="153"/>
      <c r="D391" s="155"/>
      <c r="E391" s="153">
        <v>13110</v>
      </c>
      <c r="F391" s="155"/>
      <c r="G391" s="502">
        <v>12143854</v>
      </c>
      <c r="H391" s="502">
        <f>H392</f>
        <v>0</v>
      </c>
      <c r="I391" s="161">
        <f t="shared" si="7"/>
        <v>12143854</v>
      </c>
    </row>
    <row r="392" spans="1:9" ht="63" x14ac:dyDescent="0.25">
      <c r="A392" s="157" t="str">
        <f>IF(B392&gt;0,VLOOKUP(B392,КВСР!A117:B1282,2),IF(C392&gt;0,VLOOKUP(C392,КФСР!A117:B1629,2),IF(D392&gt;0,VLOOKUP(D392,Программа!A$1:B$5100,2),IF(F392&gt;0,VLOOKUP(F392,КВР!A$1:B$5001,2),IF(E392&gt;0,VLOOKUP(E392,Направление!A$1:B$4830,2))))))</f>
        <v>Предоставление субсидий бюджетным, автономным учреждениям и иным некоммерческим организациям</v>
      </c>
      <c r="B392" s="158"/>
      <c r="C392" s="153"/>
      <c r="D392" s="155"/>
      <c r="E392" s="153"/>
      <c r="F392" s="155">
        <v>600</v>
      </c>
      <c r="G392" s="502">
        <v>12143854</v>
      </c>
      <c r="H392" s="160"/>
      <c r="I392" s="161">
        <f t="shared" si="7"/>
        <v>12143854</v>
      </c>
    </row>
    <row r="393" spans="1:9" ht="110.25" x14ac:dyDescent="0.25">
      <c r="A393" s="157" t="str">
        <f>IF(B393&gt;0,VLOOKUP(B393,КВСР!A118:B1283,2),IF(C393&gt;0,VLOOKUP(C393,КФСР!A118:B1630,2),IF(D393&gt;0,VLOOKUP(D393,Программа!A$1:B$5100,2),IF(F393&gt;0,VLOOKUP(F393,КВР!A$1:B$5001,2),IF(E393&gt;0,VLOOKUP(E393,Направление!A$1:B$4830,2))))))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93" s="158"/>
      <c r="C393" s="153"/>
      <c r="D393" s="154"/>
      <c r="E393" s="153">
        <v>70510</v>
      </c>
      <c r="F393" s="155"/>
      <c r="G393" s="504">
        <v>1198451</v>
      </c>
      <c r="H393" s="159">
        <f>H394</f>
        <v>0</v>
      </c>
      <c r="I393" s="161">
        <f t="shared" si="7"/>
        <v>1198451</v>
      </c>
    </row>
    <row r="394" spans="1:9" ht="126" x14ac:dyDescent="0.25">
      <c r="A394" s="157" t="str">
        <f>IF(B394&gt;0,VLOOKUP(B394,КВСР!A119:B1284,2),IF(C394&gt;0,VLOOKUP(C394,КФСР!A119:B1631,2),IF(D394&gt;0,VLOOKUP(D394,Программа!A$1:B$5100,2),IF(F394&gt;0,VLOOKUP(F394,КВР!A$1:B$5001,2),IF(E394&gt;0,VLOOKUP(E394,Направление!A$1:B$4830,2))))))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4" s="158"/>
      <c r="C394" s="153"/>
      <c r="D394" s="155"/>
      <c r="E394" s="153"/>
      <c r="F394" s="155">
        <v>100</v>
      </c>
      <c r="G394" s="502">
        <v>1198451</v>
      </c>
      <c r="H394" s="160"/>
      <c r="I394" s="161">
        <f t="shared" si="7"/>
        <v>1198451</v>
      </c>
    </row>
    <row r="395" spans="1:9" ht="63" x14ac:dyDescent="0.25">
      <c r="A395" s="157" t="str">
        <f>IF(B395&gt;0,VLOOKUP(B395,КВСР!A120:B1285,2),IF(C395&gt;0,VLOOKUP(C395,КФСР!A120:B1632,2),IF(D395&gt;0,VLOOKUP(D395,Программа!A$1:B$5100,2),IF(F395&gt;0,VLOOKUP(F395,КВР!A$1:B$5001,2),IF(E395&gt;0,VLOOKUP(E395,Направление!A$1:B$4830,2))))))</f>
        <v>Организация образовательного процесса в образовательных учреждениях за счет средств областного бюджета</v>
      </c>
      <c r="B395" s="158"/>
      <c r="C395" s="153"/>
      <c r="D395" s="155"/>
      <c r="E395" s="153">
        <v>70520</v>
      </c>
      <c r="F395" s="155"/>
      <c r="G395" s="502">
        <v>24398719</v>
      </c>
      <c r="H395" s="502">
        <f>H396</f>
        <v>0</v>
      </c>
      <c r="I395" s="161">
        <f t="shared" si="7"/>
        <v>24398719</v>
      </c>
    </row>
    <row r="396" spans="1:9" ht="63" x14ac:dyDescent="0.25">
      <c r="A396" s="157" t="str">
        <f>IF(B396&gt;0,VLOOKUP(B396,КВСР!A121:B1286,2),IF(C396&gt;0,VLOOKUP(C396,КФСР!A121:B1633,2),IF(D396&gt;0,VLOOKUP(D396,Программа!A$1:B$5100,2),IF(F396&gt;0,VLOOKUP(F396,КВР!A$1:B$5001,2),IF(E396&gt;0,VLOOKUP(E396,Направление!A$1:B$4830,2))))))</f>
        <v>Предоставление субсидий бюджетным, автономным учреждениям и иным некоммерческим организациям</v>
      </c>
      <c r="B396" s="158"/>
      <c r="C396" s="153"/>
      <c r="D396" s="155"/>
      <c r="E396" s="153"/>
      <c r="F396" s="155">
        <v>600</v>
      </c>
      <c r="G396" s="502">
        <v>24398719</v>
      </c>
      <c r="H396" s="160"/>
      <c r="I396" s="161">
        <f t="shared" si="7"/>
        <v>24398719</v>
      </c>
    </row>
    <row r="397" spans="1:9" ht="63" x14ac:dyDescent="0.25">
      <c r="A397" s="157" t="str">
        <f>IF(B397&gt;0,VLOOKUP(B397,КВСР!A120:B1285,2),IF(C397&gt;0,VLOOKUP(C397,КФСР!A120:B1632,2),IF(D397&gt;0,VLOOKUP(D397,Программа!A$1:B$5100,2),IF(F397&gt;0,VLOOKUP(F397,КВР!A$1:B$5001,2),IF(E397&gt;0,VLOOKUP(E397,Направление!A$1:B$4830,2))))))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397" s="158"/>
      <c r="C397" s="153"/>
      <c r="D397" s="154"/>
      <c r="E397" s="153">
        <v>73110</v>
      </c>
      <c r="F397" s="155"/>
      <c r="G397" s="504">
        <v>222049500</v>
      </c>
      <c r="H397" s="159">
        <f>H398+H399</f>
        <v>0</v>
      </c>
      <c r="I397" s="161">
        <f t="shared" si="7"/>
        <v>222049500</v>
      </c>
    </row>
    <row r="398" spans="1:9" ht="126" x14ac:dyDescent="0.25">
      <c r="A398" s="157" t="str">
        <f>IF(B398&gt;0,VLOOKUP(B398,КВСР!A121:B1286,2),IF(C398&gt;0,VLOOKUP(C398,КФСР!A121:B1633,2),IF(D398&gt;0,VLOOKUP(D398,Программа!A$1:B$5100,2),IF(F398&gt;0,VLOOKUP(F398,КВР!A$1:B$5001,2),IF(E398&gt;0,VLOOKUP(E398,Направление!A$1:B$4830,2))))))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8" s="158"/>
      <c r="C398" s="153"/>
      <c r="D398" s="155"/>
      <c r="E398" s="153"/>
      <c r="F398" s="155">
        <v>100</v>
      </c>
      <c r="G398" s="502">
        <v>206451376</v>
      </c>
      <c r="H398" s="160">
        <f>2106008-316727-2303542</f>
        <v>-514261</v>
      </c>
      <c r="I398" s="161">
        <f t="shared" si="7"/>
        <v>205937115</v>
      </c>
    </row>
    <row r="399" spans="1:9" ht="63" x14ac:dyDescent="0.25">
      <c r="A399" s="157" t="str">
        <f>IF(B399&gt;0,VLOOKUP(B399,КВСР!A122:B1287,2),IF(C399&gt;0,VLOOKUP(C399,КФСР!A122:B1634,2),IF(D399&gt;0,VLOOKUP(D399,Программа!A$1:B$5100,2),IF(F399&gt;0,VLOOKUP(F399,КВР!A$1:B$5001,2),IF(E399&gt;0,VLOOKUP(E399,Направление!A$1:B$4830,2))))))</f>
        <v xml:space="preserve">Закупка товаров, работ и услуг для обеспечения государственных (муниципальных) нужд
</v>
      </c>
      <c r="B399" s="158"/>
      <c r="C399" s="153"/>
      <c r="D399" s="155"/>
      <c r="E399" s="153"/>
      <c r="F399" s="155">
        <v>200</v>
      </c>
      <c r="G399" s="502">
        <v>15598124</v>
      </c>
      <c r="H399" s="160">
        <v>514261</v>
      </c>
      <c r="I399" s="161">
        <f t="shared" si="7"/>
        <v>16112385</v>
      </c>
    </row>
    <row r="400" spans="1:9" x14ac:dyDescent="0.25">
      <c r="A400" s="157" t="str">
        <f>IF(B400&gt;0,VLOOKUP(B400,КВСР!A123:B1288,2),IF(C400&gt;0,VLOOKUP(C400,КФСР!A123:B1635,2),IF(D400&gt;0,VLOOKUP(D400,Программа!A$1:B$5100,2),IF(F400&gt;0,VLOOKUP(F400,КВР!A$1:B$5001,2),IF(E400&gt;0,VLOOKUP(E400,Направление!A$1:B$4830,2))))))</f>
        <v xml:space="preserve">Иная дотация </v>
      </c>
      <c r="B400" s="158"/>
      <c r="C400" s="153"/>
      <c r="D400" s="155"/>
      <c r="E400" s="153">
        <v>73260</v>
      </c>
      <c r="F400" s="155"/>
      <c r="G400" s="502">
        <v>482942</v>
      </c>
      <c r="H400" s="502">
        <f>H401</f>
        <v>0</v>
      </c>
      <c r="I400" s="161">
        <f t="shared" si="7"/>
        <v>482942</v>
      </c>
    </row>
    <row r="401" spans="1:9" ht="63" x14ac:dyDescent="0.25">
      <c r="A401" s="157" t="str">
        <f>IF(B401&gt;0,VLOOKUP(B401,КВСР!A124:B1289,2),IF(C401&gt;0,VLOOKUP(C401,КФСР!A124:B1636,2),IF(D401&gt;0,VLOOKUP(D401,Программа!A$1:B$5100,2),IF(F401&gt;0,VLOOKUP(F401,КВР!A$1:B$5001,2),IF(E401&gt;0,VLOOKUP(E401,Направление!A$1:B$4830,2))))))</f>
        <v xml:space="preserve">Закупка товаров, работ и услуг для обеспечения государственных (муниципальных) нужд
</v>
      </c>
      <c r="B401" s="158"/>
      <c r="C401" s="153"/>
      <c r="D401" s="155"/>
      <c r="E401" s="153"/>
      <c r="F401" s="155">
        <v>200</v>
      </c>
      <c r="G401" s="502">
        <v>482942</v>
      </c>
      <c r="H401" s="160"/>
      <c r="I401" s="161">
        <f t="shared" si="7"/>
        <v>482942</v>
      </c>
    </row>
    <row r="402" spans="1:9" ht="94.5" x14ac:dyDescent="0.25">
      <c r="A402" s="157" t="str">
        <f>IF(B402&gt;0,VLOOKUP(B402,КВСР!A123:B1288,2),IF(C402&gt;0,VLOOKUP(C402,КФСР!A123:B1635,2),IF(D402&gt;0,VLOOKUP(D402,Программа!A$1:B$5100,2),IF(F402&gt;0,VLOOKUP(F402,КВР!A$1:B$5001,2),IF(E402&gt;0,VLOOKUP(E402,Направление!A$1:B$4830,2))))))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02" s="158"/>
      <c r="C402" s="153"/>
      <c r="D402" s="155"/>
      <c r="E402" s="153">
        <v>75870</v>
      </c>
      <c r="F402" s="155"/>
      <c r="G402" s="502">
        <v>2133224</v>
      </c>
      <c r="H402" s="502">
        <f>H403</f>
        <v>1</v>
      </c>
      <c r="I402" s="161">
        <f t="shared" si="7"/>
        <v>2133225</v>
      </c>
    </row>
    <row r="403" spans="1:9" ht="63" x14ac:dyDescent="0.25">
      <c r="A403" s="157" t="str">
        <f>IF(B403&gt;0,VLOOKUP(B403,КВСР!A124:B1289,2),IF(C403&gt;0,VLOOKUP(C403,КФСР!A124:B1636,2),IF(D403&gt;0,VLOOKUP(D403,Программа!A$1:B$5100,2),IF(F403&gt;0,VLOOKUP(F403,КВР!A$1:B$5001,2),IF(E403&gt;0,VLOOKUP(E403,Направление!A$1:B$4830,2))))))</f>
        <v xml:space="preserve">Закупка товаров, работ и услуг для обеспечения государственных (муниципальных) нужд
</v>
      </c>
      <c r="B403" s="158"/>
      <c r="C403" s="153"/>
      <c r="D403" s="155"/>
      <c r="E403" s="153"/>
      <c r="F403" s="155">
        <v>200</v>
      </c>
      <c r="G403" s="502">
        <v>2133224</v>
      </c>
      <c r="H403" s="160">
        <v>1</v>
      </c>
      <c r="I403" s="161">
        <f t="shared" si="7"/>
        <v>2133225</v>
      </c>
    </row>
    <row r="404" spans="1:9" ht="47.25" x14ac:dyDescent="0.25">
      <c r="A404" s="157" t="str">
        <f>IF(B404&gt;0,VLOOKUP(B404,КВСР!A122:B1287,2),IF(C404&gt;0,VLOOKUP(C404,КФСР!A122:B1634,2),IF(D404&gt;0,VLOOKUP(D404,Программа!A$1:B$5100,2),IF(F404&gt;0,VLOOKUP(F404,КВР!A$1:B$5001,2),IF(E404&gt;0,VLOOKUP(E404,Направление!A$1:B$4830,2))))))</f>
        <v>Муниципальная программа "Социальная поддержка населения Тутаевского муниципального района"</v>
      </c>
      <c r="B404" s="158"/>
      <c r="C404" s="153"/>
      <c r="D404" s="154" t="s">
        <v>695</v>
      </c>
      <c r="E404" s="153"/>
      <c r="F404" s="155"/>
      <c r="G404" s="504">
        <v>98261</v>
      </c>
      <c r="H404" s="159">
        <f>H405</f>
        <v>0</v>
      </c>
      <c r="I404" s="161">
        <f t="shared" si="7"/>
        <v>98261</v>
      </c>
    </row>
    <row r="405" spans="1:9" ht="63" x14ac:dyDescent="0.25">
      <c r="A405" s="157" t="str">
        <f>IF(B405&gt;0,VLOOKUP(B405,КВСР!A123:B1288,2),IF(C405&gt;0,VLOOKUP(C405,КФСР!A123:B1635,2),IF(D405&gt;0,VLOOKUP(D405,Программа!A$1:B$5100,2),IF(F405&gt;0,VLOOKUP(F405,КВР!A$1:B$5001,2),IF(E405&gt;0,VLOOKUP(E405,Направление!A$1:B$4830,2))))))</f>
        <v>Муниципальная целевая программа "Улучшение условий и охраны труда" по Тутаевскому муниципальному району</v>
      </c>
      <c r="B405" s="158"/>
      <c r="C405" s="153"/>
      <c r="D405" s="154" t="s">
        <v>697</v>
      </c>
      <c r="E405" s="153"/>
      <c r="F405" s="155"/>
      <c r="G405" s="504">
        <v>98261</v>
      </c>
      <c r="H405" s="159">
        <f>H406+H409</f>
        <v>0</v>
      </c>
      <c r="I405" s="161">
        <f t="shared" si="7"/>
        <v>98261</v>
      </c>
    </row>
    <row r="406" spans="1:9" ht="63" x14ac:dyDescent="0.25">
      <c r="A406" s="157" t="str">
        <f>IF(B406&gt;0,VLOOKUP(B406,КВСР!A124:B1289,2),IF(C406&gt;0,VLOOKUP(C406,КФСР!A124:B1636,2),IF(D406&gt;0,VLOOKUP(D406,Программа!A$1:B$5100,2),IF(F406&gt;0,VLOOKUP(F406,КВР!A$1:B$5001,2),IF(E406&gt;0,VLOOKUP(E406,Направление!A$1:B$4830,2))))))</f>
        <v>Специальная оценка условий труда работающих в организациях расположенных на территории Тутаевского муниципального района</v>
      </c>
      <c r="B406" s="158"/>
      <c r="C406" s="153"/>
      <c r="D406" s="154" t="s">
        <v>698</v>
      </c>
      <c r="E406" s="153"/>
      <c r="F406" s="155"/>
      <c r="G406" s="504">
        <v>56261</v>
      </c>
      <c r="H406" s="159">
        <f>H407</f>
        <v>0</v>
      </c>
      <c r="I406" s="161">
        <f t="shared" si="7"/>
        <v>56261</v>
      </c>
    </row>
    <row r="407" spans="1:9" ht="31.5" x14ac:dyDescent="0.25">
      <c r="A407" s="157" t="str">
        <f>IF(B407&gt;0,VLOOKUP(B407,КВСР!A125:B1290,2),IF(C407&gt;0,VLOOKUP(C407,КФСР!A125:B1637,2),IF(D407&gt;0,VLOOKUP(D407,Программа!A$1:B$5100,2),IF(F407&gt;0,VLOOKUP(F407,КВР!A$1:B$5001,2),IF(E407&gt;0,VLOOKUP(E407,Направление!A$1:B$4830,2))))))</f>
        <v>Расходы на реализацию МЦП "Улучшение условий и охраны труда"</v>
      </c>
      <c r="B407" s="158"/>
      <c r="C407" s="153"/>
      <c r="D407" s="154"/>
      <c r="E407" s="153">
        <v>16150</v>
      </c>
      <c r="F407" s="155"/>
      <c r="G407" s="504">
        <v>56261</v>
      </c>
      <c r="H407" s="159">
        <f>H408</f>
        <v>0</v>
      </c>
      <c r="I407" s="161">
        <f t="shared" si="7"/>
        <v>56261</v>
      </c>
    </row>
    <row r="408" spans="1:9" ht="63" x14ac:dyDescent="0.25">
      <c r="A408" s="157" t="str">
        <f>IF(B408&gt;0,VLOOKUP(B408,КВСР!A126:B1291,2),IF(C408&gt;0,VLOOKUP(C408,КФСР!A126:B1638,2),IF(D408&gt;0,VLOOKUP(D408,Программа!A$1:B$5100,2),IF(F408&gt;0,VLOOKUP(F408,КВР!A$1:B$5001,2),IF(E408&gt;0,VLOOKUP(E408,Направление!A$1:B$4830,2))))))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58"/>
      <c r="C408" s="153"/>
      <c r="D408" s="154"/>
      <c r="E408" s="153"/>
      <c r="F408" s="155">
        <v>200</v>
      </c>
      <c r="G408" s="502">
        <v>56261</v>
      </c>
      <c r="H408" s="160"/>
      <c r="I408" s="161">
        <f t="shared" si="7"/>
        <v>56261</v>
      </c>
    </row>
    <row r="409" spans="1:9" ht="47.25" x14ac:dyDescent="0.25">
      <c r="A409" s="157" t="str">
        <f>IF(B409&gt;0,VLOOKUP(B409,КВСР!A127:B1292,2),IF(C409&gt;0,VLOOKUP(C409,КФСР!A127:B1639,2),IF(D409&gt;0,VLOOKUP(D409,Программа!A$1:B$5100,2),IF(F409&gt;0,VLOOKUP(F409,КВР!A$1:B$5001,2),IF(E409&gt;0,VLOOKUP(E409,Направление!A$1:B$4830,2))))))</f>
        <v>Обучение по охране труда работников организаций Тутаевского муниципального района</v>
      </c>
      <c r="B409" s="158"/>
      <c r="C409" s="153"/>
      <c r="D409" s="154" t="s">
        <v>2927</v>
      </c>
      <c r="E409" s="153"/>
      <c r="F409" s="155"/>
      <c r="G409" s="504">
        <v>42000</v>
      </c>
      <c r="H409" s="538">
        <f>H410</f>
        <v>0</v>
      </c>
      <c r="I409" s="161">
        <f t="shared" si="7"/>
        <v>42000</v>
      </c>
    </row>
    <row r="410" spans="1:9" ht="31.5" x14ac:dyDescent="0.25">
      <c r="A410" s="157" t="str">
        <f>IF(B410&gt;0,VLOOKUP(B410,КВСР!A128:B1293,2),IF(C410&gt;0,VLOOKUP(C410,КФСР!A128:B1640,2),IF(D410&gt;0,VLOOKUP(D410,Программа!A$1:B$5100,2),IF(F410&gt;0,VLOOKUP(F410,КВР!A$1:B$5001,2),IF(E410&gt;0,VLOOKUP(E410,Направление!A$1:B$4830,2))))))</f>
        <v>Расходы на реализацию МЦП "Улучшение условий и охраны труда"</v>
      </c>
      <c r="B410" s="158"/>
      <c r="C410" s="153"/>
      <c r="D410" s="154"/>
      <c r="E410" s="153">
        <v>16150</v>
      </c>
      <c r="F410" s="155"/>
      <c r="G410" s="504">
        <v>42000</v>
      </c>
      <c r="H410" s="538">
        <f>H411</f>
        <v>0</v>
      </c>
      <c r="I410" s="161">
        <f t="shared" si="7"/>
        <v>42000</v>
      </c>
    </row>
    <row r="411" spans="1:9" ht="63" x14ac:dyDescent="0.25">
      <c r="A411" s="157" t="str">
        <f>IF(B411&gt;0,VLOOKUP(B411,КВСР!A129:B1294,2),IF(C411&gt;0,VLOOKUP(C411,КФСР!A129:B1641,2),IF(D411&gt;0,VLOOKUP(D411,Программа!A$1:B$5100,2),IF(F411&gt;0,VLOOKUP(F411,КВР!A$1:B$5001,2),IF(E411&gt;0,VLOOKUP(E411,Направление!A$1:B$4830,2))))))</f>
        <v xml:space="preserve">Закупка товаров, работ и услуг для обеспечения государственных (муниципальных) нужд
</v>
      </c>
      <c r="B411" s="158"/>
      <c r="C411" s="153"/>
      <c r="D411" s="154"/>
      <c r="E411" s="153"/>
      <c r="F411" s="155">
        <v>200</v>
      </c>
      <c r="G411" s="502">
        <v>42000</v>
      </c>
      <c r="H411" s="160"/>
      <c r="I411" s="161">
        <f t="shared" si="7"/>
        <v>42000</v>
      </c>
    </row>
    <row r="412" spans="1:9" hidden="1" x14ac:dyDescent="0.25">
      <c r="A412" s="157" t="str">
        <f>IF(B412&gt;0,VLOOKUP(B412,КВСР!A125:B1290,2),IF(C412&gt;0,VLOOKUP(C412,КФСР!A125:B1637,2),IF(D412&gt;0,VLOOKUP(D412,Программа!A$1:B$5100,2),IF(F412&gt;0,VLOOKUP(F412,КВР!A$1:B$5001,2),IF(E412&gt;0,VLOOKUP(E412,Направление!A$1:B$4830,2))))))</f>
        <v>Непрограммные расходы бюджета</v>
      </c>
      <c r="B412" s="158"/>
      <c r="C412" s="153"/>
      <c r="D412" s="154" t="s">
        <v>626</v>
      </c>
      <c r="E412" s="153"/>
      <c r="F412" s="155"/>
      <c r="G412" s="611">
        <v>0</v>
      </c>
      <c r="H412" s="161">
        <f>H413</f>
        <v>0</v>
      </c>
      <c r="I412" s="161">
        <f t="shared" si="7"/>
        <v>0</v>
      </c>
    </row>
    <row r="413" spans="1:9" ht="47.25" hidden="1" x14ac:dyDescent="0.25">
      <c r="A413" s="157" t="str">
        <f>IF(B413&gt;0,VLOOKUP(B413,КВСР!A117:B1282,2),IF(C413&gt;0,VLOOKUP(C413,КФСР!A117:B1629,2),IF(D413&gt;0,VLOOKUP(D413,Программа!A$1:B$5100,2),IF(F413&gt;0,VLOOKUP(F413,КВР!A$1:B$5001,2),IF(E413&gt;0,VLOOKUP(E413,Направление!A$1:B$4830,2))))))</f>
        <v>Исполнение судебных актов, актов других органов и должностных лиц, иных документов</v>
      </c>
      <c r="B413" s="158"/>
      <c r="C413" s="153"/>
      <c r="D413" s="154"/>
      <c r="E413" s="153">
        <v>12130</v>
      </c>
      <c r="F413" s="155"/>
      <c r="G413" s="611">
        <v>0</v>
      </c>
      <c r="H413" s="161">
        <f>H414</f>
        <v>0</v>
      </c>
      <c r="I413" s="161">
        <f t="shared" si="7"/>
        <v>0</v>
      </c>
    </row>
    <row r="414" spans="1:9" ht="63" hidden="1" x14ac:dyDescent="0.25">
      <c r="A414" s="157" t="str">
        <f>IF(B414&gt;0,VLOOKUP(B414,КВСР!A118:B1283,2),IF(C414&gt;0,VLOOKUP(C414,КФСР!A118:B1630,2),IF(D414&gt;0,VLOOKUP(D414,Программа!A$1:B$5100,2),IF(F414&gt;0,VLOOKUP(F414,КВР!A$1:B$5001,2),IF(E414&gt;0,VLOOKUP(E414,Направление!A$1:B$4830,2))))))</f>
        <v>Предоставление субсидий бюджетным, автономным учреждениям и иным некоммерческим организациям</v>
      </c>
      <c r="B414" s="158"/>
      <c r="C414" s="153"/>
      <c r="D414" s="155"/>
      <c r="E414" s="153"/>
      <c r="F414" s="155">
        <v>600</v>
      </c>
      <c r="G414" s="521">
        <v>0</v>
      </c>
      <c r="H414" s="162"/>
      <c r="I414" s="161">
        <f t="shared" si="7"/>
        <v>0</v>
      </c>
    </row>
    <row r="415" spans="1:9" x14ac:dyDescent="0.25">
      <c r="A415" s="157" t="str">
        <f>IF(B415&gt;0,VLOOKUP(B415,КВСР!A120:B1285,2),IF(C415&gt;0,VLOOKUP(C415,КФСР!A120:B1632,2),IF(D415&gt;0,VLOOKUP(D415,Программа!A$1:B$5100,2),IF(F415&gt;0,VLOOKUP(F415,КВР!A$1:B$5001,2),IF(E415&gt;0,VLOOKUP(E415,Направление!A$1:B$4830,2))))))</f>
        <v>Общее образование</v>
      </c>
      <c r="B415" s="158"/>
      <c r="C415" s="153">
        <v>702</v>
      </c>
      <c r="D415" s="154"/>
      <c r="E415" s="153"/>
      <c r="F415" s="155"/>
      <c r="G415" s="611">
        <v>444808817</v>
      </c>
      <c r="H415" s="161">
        <f>H416+H440</f>
        <v>809944</v>
      </c>
      <c r="I415" s="161">
        <f t="shared" si="7"/>
        <v>445618761</v>
      </c>
    </row>
    <row r="416" spans="1:9" ht="63" x14ac:dyDescent="0.25">
      <c r="A416" s="157" t="str">
        <f>IF(B416&gt;0,VLOOKUP(B416,КВСР!A121:B1286,2),IF(C416&gt;0,VLOOKUP(C416,КФСР!A121:B1633,2),IF(D416&gt;0,VLOOKUP(D416,Программа!A$1:B$5100,2),IF(F416&gt;0,VLOOKUP(F416,КВР!A$1:B$5001,2),IF(E416&gt;0,VLOOKUP(E416,Направление!A$1:B$4830,2))))))</f>
        <v>Муниципальная программа "Развитие образования, физической культуры и спорта в Тутаевском муниципальном районе"</v>
      </c>
      <c r="B416" s="158"/>
      <c r="C416" s="153"/>
      <c r="D416" s="154" t="s">
        <v>686</v>
      </c>
      <c r="E416" s="153"/>
      <c r="F416" s="155"/>
      <c r="G416" s="611">
        <v>444719217</v>
      </c>
      <c r="H416" s="161">
        <f>H417+H436</f>
        <v>807744</v>
      </c>
      <c r="I416" s="161">
        <f t="shared" si="7"/>
        <v>445526961</v>
      </c>
    </row>
    <row r="417" spans="1:9" ht="63" x14ac:dyDescent="0.25">
      <c r="A417" s="157" t="str">
        <f>IF(B417&gt;0,VLOOKUP(B417,КВСР!A122:B1287,2),IF(C417&gt;0,VLOOKUP(C417,КФСР!A122:B1634,2),IF(D417&gt;0,VLOOKUP(D417,Программа!A$1:B$5100,2),IF(F417&gt;0,VLOOKUP(F417,КВР!A$1:B$5001,2),IF(E417&gt;0,VLOOKUP(E417,Направление!A$1:B$4830,2))))))</f>
        <v xml:space="preserve">Ведомственная целевая программа департамента образования Администрации Тутаевского муниципального района </v>
      </c>
      <c r="B417" s="158"/>
      <c r="C417" s="153"/>
      <c r="D417" s="154" t="s">
        <v>688</v>
      </c>
      <c r="E417" s="153"/>
      <c r="F417" s="155"/>
      <c r="G417" s="611">
        <v>444719217</v>
      </c>
      <c r="H417" s="161">
        <f>H418+H433</f>
        <v>807744</v>
      </c>
      <c r="I417" s="161">
        <f t="shared" si="7"/>
        <v>445526961</v>
      </c>
    </row>
    <row r="418" spans="1:9" ht="47.25" x14ac:dyDescent="0.25">
      <c r="A418" s="157" t="str">
        <f>IF(B418&gt;0,VLOOKUP(B418,КВСР!A123:B1288,2),IF(C418&gt;0,VLOOKUP(C418,КФСР!A123:B1635,2),IF(D418&gt;0,VLOOKUP(D418,Программа!A$1:B$5100,2),IF(F418&gt;0,VLOOKUP(F418,КВР!A$1:B$5001,2),IF(E418&gt;0,VLOOKUP(E418,Направление!A$1:B$4830,2))))))</f>
        <v>Обеспечение качества и доступности образовательных услуг в сфере общего образования</v>
      </c>
      <c r="B418" s="158"/>
      <c r="C418" s="153"/>
      <c r="D418" s="154" t="s">
        <v>729</v>
      </c>
      <c r="E418" s="153"/>
      <c r="F418" s="155"/>
      <c r="G418" s="611">
        <v>444719217</v>
      </c>
      <c r="H418" s="161">
        <f>H419+H421+H423+H425+H427+H431+H429</f>
        <v>807744</v>
      </c>
      <c r="I418" s="161">
        <f t="shared" si="7"/>
        <v>445526961</v>
      </c>
    </row>
    <row r="419" spans="1:9" ht="31.5" x14ac:dyDescent="0.25">
      <c r="A419" s="157" t="str">
        <f>IF(B419&gt;0,VLOOKUP(B419,КВСР!A123:B1288,2),IF(C419&gt;0,VLOOKUP(C419,КФСР!A123:B1635,2),IF(D419&gt;0,VLOOKUP(D419,Программа!A$1:B$5100,2),IF(F419&gt;0,VLOOKUP(F419,КВР!A$1:B$5001,2),IF(E419&gt;0,VLOOKUP(E419,Направление!A$1:B$4830,2))))))</f>
        <v>Обеспечение деятельности общеобразовательных учреждений</v>
      </c>
      <c r="B419" s="158"/>
      <c r="C419" s="153"/>
      <c r="D419" s="154"/>
      <c r="E419" s="153">
        <v>13110</v>
      </c>
      <c r="F419" s="155"/>
      <c r="G419" s="504">
        <v>87263268</v>
      </c>
      <c r="H419" s="159">
        <f>H420</f>
        <v>807744</v>
      </c>
      <c r="I419" s="161">
        <f t="shared" si="7"/>
        <v>88071012</v>
      </c>
    </row>
    <row r="420" spans="1:9" ht="63" x14ac:dyDescent="0.25">
      <c r="A420" s="157" t="str">
        <f>IF(B420&gt;0,VLOOKUP(B420,КВСР!A124:B1289,2),IF(C420&gt;0,VLOOKUP(C420,КФСР!A124:B1636,2),IF(D420&gt;0,VLOOKUP(D420,Программа!A$1:B$5100,2),IF(F420&gt;0,VLOOKUP(F420,КВР!A$1:B$5001,2),IF(E420&gt;0,VLOOKUP(E420,Направление!A$1:B$4830,2))))))</f>
        <v>Предоставление субсидий бюджетным, автономным учреждениям и иным некоммерческим организациям</v>
      </c>
      <c r="B420" s="158"/>
      <c r="C420" s="153"/>
      <c r="D420" s="155"/>
      <c r="E420" s="153"/>
      <c r="F420" s="155">
        <v>600</v>
      </c>
      <c r="G420" s="502">
        <v>87263268</v>
      </c>
      <c r="H420" s="160">
        <v>807744</v>
      </c>
      <c r="I420" s="161">
        <f t="shared" si="7"/>
        <v>88071012</v>
      </c>
    </row>
    <row r="421" spans="1:9" ht="47.25" hidden="1" x14ac:dyDescent="0.25">
      <c r="A421" s="157" t="str">
        <f>IF(B421&gt;0,VLOOKUP(B421,КВСР!A125:B1290,2),IF(C421&gt;0,VLOOKUP(C421,КФСР!A125:B1637,2),IF(D421&gt;0,VLOOKUP(D421,Программа!A$1:B$5100,2),IF(F421&gt;0,VLOOKUP(F421,КВР!A$1:B$5001,2),IF(E421&gt;0,VLOOKUP(E421,Направление!A$1:B$4830,2))))))</f>
        <v>Обеспечение деятельности учреждений дополнительного образования</v>
      </c>
      <c r="B421" s="158"/>
      <c r="C421" s="153"/>
      <c r="D421" s="154"/>
      <c r="E421" s="153">
        <v>13210</v>
      </c>
      <c r="F421" s="155"/>
      <c r="G421" s="611">
        <v>0</v>
      </c>
      <c r="H421" s="161">
        <f>H422</f>
        <v>0</v>
      </c>
      <c r="I421" s="161">
        <f t="shared" si="7"/>
        <v>0</v>
      </c>
    </row>
    <row r="422" spans="1:9" ht="63" hidden="1" x14ac:dyDescent="0.25">
      <c r="A422" s="157" t="str">
        <f>IF(B422&gt;0,VLOOKUP(B422,КВСР!A126:B1291,2),IF(C422&gt;0,VLOOKUP(C422,КФСР!A126:B1638,2),IF(D422&gt;0,VLOOKUP(D422,Программа!A$1:B$5100,2),IF(F422&gt;0,VLOOKUP(F422,КВР!A$1:B$5001,2),IF(E422&gt;0,VLOOKUP(E422,Направление!A$1:B$4830,2))))))</f>
        <v>Предоставление субсидий бюджетным, автономным учреждениям и иным некоммерческим организациям</v>
      </c>
      <c r="B422" s="171"/>
      <c r="C422" s="172"/>
      <c r="D422" s="173"/>
      <c r="E422" s="172"/>
      <c r="F422" s="173">
        <v>600</v>
      </c>
      <c r="G422" s="521">
        <v>0</v>
      </c>
      <c r="H422" s="162"/>
      <c r="I422" s="161">
        <f t="shared" si="7"/>
        <v>0</v>
      </c>
    </row>
    <row r="423" spans="1:9" ht="110.25" x14ac:dyDescent="0.25">
      <c r="A423" s="157" t="str">
        <f>IF(B423&gt;0,VLOOKUP(B423,КВСР!A129:B1294,2),IF(C423&gt;0,VLOOKUP(C423,КФСР!A129:B1641,2),IF(D423&gt;0,VLOOKUP(D423,Программа!A$1:B$5100,2),IF(F423&gt;0,VLOOKUP(F423,КВР!A$1:B$5001,2),IF(E423&gt;0,VLOOKUP(E423,Направление!A$1:B$4830,2))))))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423" s="171"/>
      <c r="C423" s="172"/>
      <c r="D423" s="174"/>
      <c r="E423" s="172">
        <v>70510</v>
      </c>
      <c r="F423" s="173"/>
      <c r="G423" s="611">
        <v>32810</v>
      </c>
      <c r="H423" s="161">
        <f>H424</f>
        <v>0</v>
      </c>
      <c r="I423" s="161">
        <f t="shared" si="7"/>
        <v>32810</v>
      </c>
    </row>
    <row r="424" spans="1:9" ht="63" x14ac:dyDescent="0.25">
      <c r="A424" s="157" t="str">
        <f>IF(B424&gt;0,VLOOKUP(B424,КВСР!A130:B1295,2),IF(C424&gt;0,VLOOKUP(C424,КФСР!A130:B1642,2),IF(D424&gt;0,VLOOKUP(D424,Программа!A$1:B$5100,2),IF(F424&gt;0,VLOOKUP(F424,КВР!A$1:B$5001,2),IF(E424&gt;0,VLOOKUP(E424,Направление!A$1:B$4830,2))))))</f>
        <v>Предоставление субсидий бюджетным, автономным учреждениям и иным некоммерческим организациям</v>
      </c>
      <c r="B424" s="171"/>
      <c r="C424" s="172"/>
      <c r="D424" s="173"/>
      <c r="E424" s="172"/>
      <c r="F424" s="155">
        <v>600</v>
      </c>
      <c r="G424" s="502">
        <v>32810</v>
      </c>
      <c r="H424" s="160"/>
      <c r="I424" s="161">
        <f t="shared" si="7"/>
        <v>32810</v>
      </c>
    </row>
    <row r="425" spans="1:9" ht="63" x14ac:dyDescent="0.25">
      <c r="A425" s="157" t="str">
        <f>IF(B425&gt;0,VLOOKUP(B425,КВСР!A131:B1296,2),IF(C425&gt;0,VLOOKUP(C425,КФСР!A131:B1643,2),IF(D425&gt;0,VLOOKUP(D425,Программа!A$1:B$5100,2),IF(F425&gt;0,VLOOKUP(F425,КВР!A$1:B$5001,2),IF(E425&gt;0,VLOOKUP(E425,Направление!A$1:B$4830,2))))))</f>
        <v>Организация образовательного процесса в образовательных учреждениях за счет средств областного бюджета</v>
      </c>
      <c r="B425" s="171"/>
      <c r="C425" s="172"/>
      <c r="D425" s="174"/>
      <c r="E425" s="172">
        <v>70520</v>
      </c>
      <c r="F425" s="155"/>
      <c r="G425" s="611">
        <v>332538257</v>
      </c>
      <c r="H425" s="161">
        <f>H426</f>
        <v>0</v>
      </c>
      <c r="I425" s="161">
        <f t="shared" si="7"/>
        <v>332538257</v>
      </c>
    </row>
    <row r="426" spans="1:9" ht="63" x14ac:dyDescent="0.25">
      <c r="A426" s="157" t="str">
        <f>IF(B426&gt;0,VLOOKUP(B426,КВСР!A132:B1297,2),IF(C426&gt;0,VLOOKUP(C426,КФСР!A132:B1644,2),IF(D426&gt;0,VLOOKUP(D426,Программа!A$1:B$5100,2),IF(F426&gt;0,VLOOKUP(F426,КВР!A$1:B$5001,2),IF(E426&gt;0,VLOOKUP(E426,Направление!A$1:B$4830,2))))))</f>
        <v>Предоставление субсидий бюджетным, автономным учреждениям и иным некоммерческим организациям</v>
      </c>
      <c r="B426" s="171"/>
      <c r="C426" s="172"/>
      <c r="D426" s="173"/>
      <c r="E426" s="172"/>
      <c r="F426" s="155">
        <v>600</v>
      </c>
      <c r="G426" s="521">
        <v>332538257</v>
      </c>
      <c r="H426" s="162"/>
      <c r="I426" s="161">
        <f t="shared" si="7"/>
        <v>332538257</v>
      </c>
    </row>
    <row r="427" spans="1:9" ht="63" x14ac:dyDescent="0.25">
      <c r="A427" s="157" t="str">
        <f>IF(B427&gt;0,VLOOKUP(B427,КВСР!A133:B1298,2),IF(C427&gt;0,VLOOKUP(C427,КФСР!A133:B1645,2),IF(D427&gt;0,VLOOKUP(D427,Программа!A$1:B$5100,2),IF(F427&gt;0,VLOOKUP(F427,КВР!A$1:B$5001,2),IF(E427&gt;0,VLOOKUP(E427,Направление!A$1:B$4830,2))))))</f>
        <v>Обеспечение бесплатным питанием обучающихся муниципальных образовательных учреждений за счет средств областного бюджета</v>
      </c>
      <c r="B427" s="171"/>
      <c r="C427" s="172"/>
      <c r="D427" s="173"/>
      <c r="E427" s="172">
        <v>70530</v>
      </c>
      <c r="F427" s="155"/>
      <c r="G427" s="611">
        <v>23533580</v>
      </c>
      <c r="H427" s="161">
        <f>H428</f>
        <v>0</v>
      </c>
      <c r="I427" s="161">
        <f t="shared" si="7"/>
        <v>23533580</v>
      </c>
    </row>
    <row r="428" spans="1:9" ht="63" x14ac:dyDescent="0.25">
      <c r="A428" s="157" t="str">
        <f>IF(B428&gt;0,VLOOKUP(B428,КВСР!A134:B1299,2),IF(C428&gt;0,VLOOKUP(C428,КФСР!A134:B1646,2),IF(D428&gt;0,VLOOKUP(D428,Программа!A$1:B$5100,2),IF(F428&gt;0,VLOOKUP(F428,КВР!A$1:B$5001,2),IF(E428&gt;0,VLOOKUP(E428,Направление!A$1:B$4830,2))))))</f>
        <v>Предоставление субсидий бюджетным, автономным учреждениям и иным некоммерческим организациям</v>
      </c>
      <c r="B428" s="171"/>
      <c r="C428" s="172"/>
      <c r="D428" s="173"/>
      <c r="E428" s="172"/>
      <c r="F428" s="155">
        <v>600</v>
      </c>
      <c r="G428" s="521">
        <v>23533580</v>
      </c>
      <c r="H428" s="162"/>
      <c r="I428" s="161">
        <f t="shared" si="7"/>
        <v>23533580</v>
      </c>
    </row>
    <row r="429" spans="1:9" x14ac:dyDescent="0.25">
      <c r="A429" s="157" t="str">
        <f>IF(B429&gt;0,VLOOKUP(B429,КВСР!A135:B1300,2),IF(C429&gt;0,VLOOKUP(C429,КФСР!A135:B1647,2),IF(D429&gt;0,VLOOKUP(D429,Программа!A$1:B$5100,2),IF(F429&gt;0,VLOOKUP(F429,КВР!A$1:B$5001,2),IF(E429&gt;0,VLOOKUP(E429,Направление!A$1:B$4830,2))))))</f>
        <v xml:space="preserve">Иная дотация </v>
      </c>
      <c r="B429" s="171"/>
      <c r="C429" s="172"/>
      <c r="D429" s="173"/>
      <c r="E429" s="172">
        <v>73260</v>
      </c>
      <c r="F429" s="155"/>
      <c r="G429" s="521">
        <v>766888</v>
      </c>
      <c r="H429" s="521">
        <f>H430</f>
        <v>0</v>
      </c>
      <c r="I429" s="161">
        <f t="shared" si="7"/>
        <v>766888</v>
      </c>
    </row>
    <row r="430" spans="1:9" ht="63" x14ac:dyDescent="0.25">
      <c r="A430" s="157" t="str">
        <f>IF(B430&gt;0,VLOOKUP(B430,КВСР!A136:B1301,2),IF(C430&gt;0,VLOOKUP(C430,КФСР!A136:B1648,2),IF(D430&gt;0,VLOOKUP(D430,Программа!A$1:B$5100,2),IF(F430&gt;0,VLOOKUP(F430,КВР!A$1:B$5001,2),IF(E430&gt;0,VLOOKUP(E430,Направление!A$1:B$4830,2))))))</f>
        <v>Предоставление субсидий бюджетным, автономным учреждениям и иным некоммерческим организациям</v>
      </c>
      <c r="B430" s="171"/>
      <c r="C430" s="172"/>
      <c r="D430" s="173"/>
      <c r="E430" s="172"/>
      <c r="F430" s="155">
        <v>600</v>
      </c>
      <c r="G430" s="521">
        <v>766888</v>
      </c>
      <c r="H430" s="162"/>
      <c r="I430" s="161">
        <f t="shared" si="7"/>
        <v>766888</v>
      </c>
    </row>
    <row r="431" spans="1:9" ht="94.5" x14ac:dyDescent="0.25">
      <c r="A431" s="157" t="str">
        <f>IF(B431&gt;0,VLOOKUP(B431,КВСР!A135:B1300,2),IF(C431&gt;0,VLOOKUP(C431,КФСР!A135:B1647,2),IF(D431&gt;0,VLOOKUP(D431,Программа!A$1:B$5100,2),IF(F431&gt;0,VLOOKUP(F431,КВР!A$1:B$5001,2),IF(E431&gt;0,VLOOKUP(E431,Направление!A$1:B$4830,2))))))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31" s="171"/>
      <c r="C431" s="172"/>
      <c r="D431" s="173"/>
      <c r="E431" s="172">
        <v>75870</v>
      </c>
      <c r="F431" s="155"/>
      <c r="G431" s="521">
        <v>584414</v>
      </c>
      <c r="H431" s="521">
        <f>H432</f>
        <v>0</v>
      </c>
      <c r="I431" s="521">
        <f>I432</f>
        <v>584414</v>
      </c>
    </row>
    <row r="432" spans="1:9" ht="63" x14ac:dyDescent="0.25">
      <c r="A432" s="157" t="str">
        <f>IF(B432&gt;0,VLOOKUP(B432,КВСР!A136:B1301,2),IF(C432&gt;0,VLOOKUP(C432,КФСР!A136:B1648,2),IF(D432&gt;0,VLOOKUP(D432,Программа!A$1:B$5100,2),IF(F432&gt;0,VLOOKUP(F432,КВР!A$1:B$5001,2),IF(E432&gt;0,VLOOKUP(E432,Направление!A$1:B$4830,2))))))</f>
        <v>Предоставление субсидий бюджетным, автономным учреждениям и иным некоммерческим организациям</v>
      </c>
      <c r="B432" s="171"/>
      <c r="C432" s="172"/>
      <c r="D432" s="173"/>
      <c r="E432" s="172"/>
      <c r="F432" s="155">
        <v>600</v>
      </c>
      <c r="G432" s="521">
        <v>584414</v>
      </c>
      <c r="H432" s="162"/>
      <c r="I432" s="161">
        <f t="shared" si="7"/>
        <v>584414</v>
      </c>
    </row>
    <row r="433" spans="1:9" ht="47.25" hidden="1" x14ac:dyDescent="0.25">
      <c r="A433" s="157" t="str">
        <f>IF(B433&gt;0,VLOOKUP(B433,КВСР!A137:B1302,2),IF(C433&gt;0,VLOOKUP(C433,КФСР!A137:B1649,2),IF(D433&gt;0,VLOOKUP(D433,Программа!A$1:B$5100,2),IF(F433&gt;0,VLOOKUP(F433,КВР!A$1:B$5001,2),IF(E433&gt;0,VLOOKUP(E433,Направление!A$1:B$4830,2))))))</f>
        <v>Обеспечение реализации мероприятий в рамках областных целевых программ</v>
      </c>
      <c r="B433" s="171"/>
      <c r="C433" s="172"/>
      <c r="D433" s="174" t="s">
        <v>2949</v>
      </c>
      <c r="E433" s="172"/>
      <c r="F433" s="155"/>
      <c r="G433" s="521">
        <v>0</v>
      </c>
      <c r="H433" s="521">
        <f>H434</f>
        <v>0</v>
      </c>
      <c r="I433" s="161">
        <f t="shared" si="7"/>
        <v>0</v>
      </c>
    </row>
    <row r="434" spans="1:9" ht="78.75" hidden="1" x14ac:dyDescent="0.25">
      <c r="A434" s="157" t="str">
        <f>IF(B434&gt;0,VLOOKUP(B434,КВСР!A138:B1303,2),IF(C434&gt;0,VLOOKUP(C434,КФСР!A138:B1650,2),IF(D434&gt;0,VLOOKUP(D434,Программа!A$1:B$5100,2),IF(F434&gt;0,VLOOKUP(F434,КВР!A$1:B$5001,2),IF(E434&gt;0,VLOOKUP(E434,Направление!A$1:B$4830,2))))))</f>
        <v>Расходы на создание в общеобразовательных организациях, расположенных в сельской местности, условий для занятий физической культурой и спортом</v>
      </c>
      <c r="B434" s="171"/>
      <c r="C434" s="172"/>
      <c r="D434" s="174"/>
      <c r="E434" s="172" t="s">
        <v>3455</v>
      </c>
      <c r="F434" s="155"/>
      <c r="G434" s="521">
        <v>0</v>
      </c>
      <c r="H434" s="521">
        <f>H435</f>
        <v>0</v>
      </c>
      <c r="I434" s="161">
        <f t="shared" si="7"/>
        <v>0</v>
      </c>
    </row>
    <row r="435" spans="1:9" ht="63" hidden="1" x14ac:dyDescent="0.25">
      <c r="A435" s="157" t="str">
        <f>IF(B435&gt;0,VLOOKUP(B435,КВСР!A139:B1304,2),IF(C435&gt;0,VLOOKUP(C435,КФСР!A139:B1651,2),IF(D435&gt;0,VLOOKUP(D435,Программа!A$1:B$5100,2),IF(F435&gt;0,VLOOKUP(F435,КВР!A$1:B$5001,2),IF(E435&gt;0,VLOOKUP(E435,Направление!A$1:B$4830,2))))))</f>
        <v>Предоставление субсидий бюджетным, автономным учреждениям и иным некоммерческим организациям</v>
      </c>
      <c r="B435" s="171"/>
      <c r="C435" s="172"/>
      <c r="D435" s="173"/>
      <c r="E435" s="172"/>
      <c r="F435" s="155">
        <v>600</v>
      </c>
      <c r="G435" s="521">
        <v>0</v>
      </c>
      <c r="H435" s="162"/>
      <c r="I435" s="161">
        <f t="shared" si="7"/>
        <v>0</v>
      </c>
    </row>
    <row r="436" spans="1:9" ht="63" hidden="1" x14ac:dyDescent="0.25">
      <c r="A436" s="157" t="str">
        <f>IF(B436&gt;0,VLOOKUP(B436,КВСР!A143:B1308,2),IF(C436&gt;0,VLOOKUP(C436,КФСР!A143:B1655,2),IF(D436&gt;0,VLOOKUP(D436,Программа!A$1:B$5100,2),IF(F436&gt;0,VLOOKUP(F436,КВР!A$1:B$5001,2),IF(E436&gt;0,VLOOKUP(E436,Направление!A$1:B$4830,2))))))</f>
        <v>Муниципальная целевая программа "Развитие физической культуры и спорта в Тутаевском муниципальном районе"</v>
      </c>
      <c r="B436" s="171"/>
      <c r="C436" s="172"/>
      <c r="D436" s="174" t="s">
        <v>706</v>
      </c>
      <c r="E436" s="172"/>
      <c r="F436" s="173"/>
      <c r="G436" s="611">
        <v>0</v>
      </c>
      <c r="H436" s="161">
        <f>H438</f>
        <v>0</v>
      </c>
      <c r="I436" s="161">
        <f t="shared" si="7"/>
        <v>0</v>
      </c>
    </row>
    <row r="437" spans="1:9" ht="47.25" hidden="1" x14ac:dyDescent="0.25">
      <c r="A437" s="157" t="str">
        <f>IF(B437&gt;0,VLOOKUP(B437,КВСР!A144:B1309,2),IF(C437&gt;0,VLOOKUP(C437,КФСР!A144:B1656,2),IF(D437&gt;0,VLOOKUP(D437,Программа!A$1:B$5100,2),IF(F437&gt;0,VLOOKUP(F437,КВР!A$1:B$5001,2),IF(E437&gt;0,VLOOKUP(E437,Направление!A$1:B$4830,2))))))</f>
        <v>Строительство и реконструкция спортивных сооружений и укрепление материальной базы</v>
      </c>
      <c r="B437" s="171"/>
      <c r="C437" s="172"/>
      <c r="D437" s="174" t="s">
        <v>707</v>
      </c>
      <c r="E437" s="172"/>
      <c r="F437" s="173"/>
      <c r="G437" s="611">
        <v>0</v>
      </c>
      <c r="H437" s="161">
        <f>H438</f>
        <v>0</v>
      </c>
      <c r="I437" s="161">
        <f t="shared" si="7"/>
        <v>0</v>
      </c>
    </row>
    <row r="438" spans="1:9" ht="47.25" hidden="1" x14ac:dyDescent="0.25">
      <c r="A438" s="157" t="str">
        <f>IF(B438&gt;0,VLOOKUP(B438,КВСР!A144:B1309,2),IF(C438&gt;0,VLOOKUP(C438,КФСР!A144:B1656,2),IF(D438&gt;0,VLOOKUP(D438,Программа!A$1:B$5100,2),IF(F438&gt;0,VLOOKUP(F438,КВР!A$1:B$5001,2),IF(E438&gt;0,VLOOKUP(E438,Направление!A$1:B$4830,2))))))</f>
        <v>Обеспечение деятельности учреждений дополнительного образования</v>
      </c>
      <c r="B438" s="171"/>
      <c r="C438" s="172"/>
      <c r="D438" s="174"/>
      <c r="E438" s="172">
        <v>13210</v>
      </c>
      <c r="F438" s="173"/>
      <c r="G438" s="611">
        <v>0</v>
      </c>
      <c r="H438" s="161">
        <f>H439</f>
        <v>0</v>
      </c>
      <c r="I438" s="161">
        <f t="shared" ref="I438:I511" si="8">SUM(G438:H438)</f>
        <v>0</v>
      </c>
    </row>
    <row r="439" spans="1:9" ht="63" hidden="1" x14ac:dyDescent="0.25">
      <c r="A439" s="157" t="str">
        <f>IF(B439&gt;0,VLOOKUP(B439,КВСР!A145:B1310,2),IF(C439&gt;0,VLOOKUP(C439,КФСР!A145:B1657,2),IF(D439&gt;0,VLOOKUP(D439,Программа!A$1:B$5100,2),IF(F439&gt;0,VLOOKUP(F439,КВР!A$1:B$5001,2),IF(E439&gt;0,VLOOKUP(E439,Направление!A$1:B$4830,2))))))</f>
        <v>Предоставление субсидий бюджетным, автономным учреждениям и иным некоммерческим организациям</v>
      </c>
      <c r="B439" s="171"/>
      <c r="C439" s="172"/>
      <c r="D439" s="173"/>
      <c r="E439" s="172"/>
      <c r="F439" s="173">
        <v>600</v>
      </c>
      <c r="G439" s="502">
        <v>0</v>
      </c>
      <c r="H439" s="160"/>
      <c r="I439" s="161">
        <f t="shared" si="8"/>
        <v>0</v>
      </c>
    </row>
    <row r="440" spans="1:9" ht="47.25" x14ac:dyDescent="0.25">
      <c r="A440" s="157" t="str">
        <f>IF(B440&gt;0,VLOOKUP(B440,КВСР!A148:B1313,2),IF(C440&gt;0,VLOOKUP(C440,КФСР!A148:B1660,2),IF(D440&gt;0,VLOOKUP(D440,Программа!A$1:B$5100,2),IF(F440&gt;0,VLOOKUP(F440,КВР!A$1:B$5001,2),IF(E440&gt;0,VLOOKUP(E440,Направление!A$1:B$4830,2))))))</f>
        <v>Муниципальная программа "Социальная поддержка населения Тутаевского муниципального района"</v>
      </c>
      <c r="B440" s="171"/>
      <c r="C440" s="172"/>
      <c r="D440" s="174" t="s">
        <v>695</v>
      </c>
      <c r="E440" s="172"/>
      <c r="F440" s="173"/>
      <c r="G440" s="504">
        <v>89600</v>
      </c>
      <c r="H440" s="159">
        <f>H441</f>
        <v>2200</v>
      </c>
      <c r="I440" s="161">
        <f t="shared" si="8"/>
        <v>91800</v>
      </c>
    </row>
    <row r="441" spans="1:9" ht="63" x14ac:dyDescent="0.25">
      <c r="A441" s="157" t="str">
        <f>IF(B441&gt;0,VLOOKUP(B441,КВСР!A149:B1314,2),IF(C441&gt;0,VLOOKUP(C441,КФСР!A149:B1661,2),IF(D441&gt;0,VLOOKUP(D441,Программа!A$1:B$5100,2),IF(F441&gt;0,VLOOKUP(F441,КВР!A$1:B$5001,2),IF(E441&gt;0,VLOOKUP(E441,Направление!A$1:B$4830,2))))))</f>
        <v>Муниципальная целевая программа "Улучшение условий и охраны труда" по Тутаевскому муниципальному району</v>
      </c>
      <c r="B441" s="171"/>
      <c r="C441" s="172"/>
      <c r="D441" s="174" t="s">
        <v>697</v>
      </c>
      <c r="E441" s="172"/>
      <c r="F441" s="173"/>
      <c r="G441" s="504">
        <v>89600</v>
      </c>
      <c r="H441" s="159">
        <f>H442+H445</f>
        <v>2200</v>
      </c>
      <c r="I441" s="161">
        <f t="shared" si="8"/>
        <v>91800</v>
      </c>
    </row>
    <row r="442" spans="1:9" ht="63" x14ac:dyDescent="0.25">
      <c r="A442" s="157" t="str">
        <f>IF(B442&gt;0,VLOOKUP(B442,КВСР!A150:B1315,2),IF(C442&gt;0,VLOOKUP(C442,КФСР!A150:B1662,2),IF(D442&gt;0,VLOOKUP(D442,Программа!A$1:B$5100,2),IF(F442&gt;0,VLOOKUP(F442,КВР!A$1:B$5001,2),IF(E442&gt;0,VLOOKUP(E442,Направление!A$1:B$4830,2))))))</f>
        <v>Специальная оценка условий труда работающих в организациях расположенных на территории Тутаевского муниципального района</v>
      </c>
      <c r="B442" s="171"/>
      <c r="C442" s="172"/>
      <c r="D442" s="174" t="s">
        <v>698</v>
      </c>
      <c r="E442" s="172"/>
      <c r="F442" s="173"/>
      <c r="G442" s="504">
        <v>41600</v>
      </c>
      <c r="H442" s="159">
        <f>H443</f>
        <v>-2600</v>
      </c>
      <c r="I442" s="161">
        <f t="shared" si="8"/>
        <v>39000</v>
      </c>
    </row>
    <row r="443" spans="1:9" ht="31.5" x14ac:dyDescent="0.25">
      <c r="A443" s="157" t="str">
        <f>IF(B443&gt;0,VLOOKUP(B443,КВСР!A151:B1316,2),IF(C443&gt;0,VLOOKUP(C443,КФСР!A151:B1663,2),IF(D443&gt;0,VLOOKUP(D443,Программа!A$1:B$5100,2),IF(F443&gt;0,VLOOKUP(F443,КВР!A$1:B$5001,2),IF(E443&gt;0,VLOOKUP(E443,Направление!A$1:B$4830,2))))))</f>
        <v>Расходы на реализацию МЦП "Улучшение условий и охраны труда"</v>
      </c>
      <c r="B443" s="171"/>
      <c r="C443" s="172"/>
      <c r="D443" s="174"/>
      <c r="E443" s="172">
        <v>16150</v>
      </c>
      <c r="F443" s="173"/>
      <c r="G443" s="504">
        <v>41600</v>
      </c>
      <c r="H443" s="159">
        <f>H444</f>
        <v>-2600</v>
      </c>
      <c r="I443" s="161">
        <f t="shared" si="8"/>
        <v>39000</v>
      </c>
    </row>
    <row r="444" spans="1:9" ht="63" x14ac:dyDescent="0.25">
      <c r="A444" s="157" t="str">
        <f>IF(B444&gt;0,VLOOKUP(B444,КВСР!A150:B1315,2),IF(C444&gt;0,VLOOKUP(C444,КФСР!A150:B1662,2),IF(D444&gt;0,VLOOKUP(D444,Программа!A$1:B$5100,2),IF(F444&gt;0,VLOOKUP(F444,КВР!A$1:B$5001,2),IF(E444&gt;0,VLOOKUP(E444,Направление!A$1:B$4830,2))))))</f>
        <v>Предоставление субсидий бюджетным, автономным учреждениям и иным некоммерческим организациям</v>
      </c>
      <c r="B444" s="171"/>
      <c r="C444" s="172"/>
      <c r="D444" s="173"/>
      <c r="E444" s="172"/>
      <c r="F444" s="173">
        <v>600</v>
      </c>
      <c r="G444" s="502">
        <v>41600</v>
      </c>
      <c r="H444" s="160">
        <v>-2600</v>
      </c>
      <c r="I444" s="161">
        <f t="shared" si="8"/>
        <v>39000</v>
      </c>
    </row>
    <row r="445" spans="1:9" ht="47.25" x14ac:dyDescent="0.25">
      <c r="A445" s="157" t="str">
        <f>IF(B445&gt;0,VLOOKUP(B445,КВСР!A148:B1313,2),IF(C445&gt;0,VLOOKUP(C445,КФСР!A148:B1660,2),IF(D445&gt;0,VLOOKUP(D445,Программа!A$1:B$5100,2),IF(F445&gt;0,VLOOKUP(F445,КВР!A$1:B$5001,2),IF(E445&gt;0,VLOOKUP(E445,Направление!A$1:B$4830,2))))))</f>
        <v>Обучение по охране труда работников организаций Тутаевского муниципального района</v>
      </c>
      <c r="B445" s="171"/>
      <c r="C445" s="172"/>
      <c r="D445" s="174" t="s">
        <v>2927</v>
      </c>
      <c r="E445" s="172"/>
      <c r="F445" s="173"/>
      <c r="G445" s="504">
        <v>48000</v>
      </c>
      <c r="H445" s="159">
        <f>H446</f>
        <v>4800</v>
      </c>
      <c r="I445" s="161">
        <f t="shared" si="8"/>
        <v>52800</v>
      </c>
    </row>
    <row r="446" spans="1:9" ht="31.5" x14ac:dyDescent="0.25">
      <c r="A446" s="157" t="str">
        <f>IF(B446&gt;0,VLOOKUP(B446,КВСР!A149:B1314,2),IF(C446&gt;0,VLOOKUP(C446,КФСР!A149:B1661,2),IF(D446&gt;0,VLOOKUP(D446,Программа!A$1:B$5100,2),IF(F446&gt;0,VLOOKUP(F446,КВР!A$1:B$5001,2),IF(E446&gt;0,VLOOKUP(E446,Направление!A$1:B$4830,2))))))</f>
        <v>Расходы на реализацию МЦП "Улучшение условий и охраны труда"</v>
      </c>
      <c r="B446" s="171"/>
      <c r="C446" s="172"/>
      <c r="D446" s="174"/>
      <c r="E446" s="172">
        <v>16150</v>
      </c>
      <c r="F446" s="173"/>
      <c r="G446" s="504">
        <v>48000</v>
      </c>
      <c r="H446" s="159">
        <f>H447</f>
        <v>4800</v>
      </c>
      <c r="I446" s="161">
        <f t="shared" si="8"/>
        <v>52800</v>
      </c>
    </row>
    <row r="447" spans="1:9" ht="63" x14ac:dyDescent="0.25">
      <c r="A447" s="157" t="str">
        <f>IF(B447&gt;0,VLOOKUP(B447,КВСР!A150:B1315,2),IF(C447&gt;0,VLOOKUP(C447,КФСР!A150:B1662,2),IF(D447&gt;0,VLOOKUP(D447,Программа!A$1:B$5100,2),IF(F447&gt;0,VLOOKUP(F447,КВР!A$1:B$5001,2),IF(E447&gt;0,VLOOKUP(E447,Направление!A$1:B$4830,2))))))</f>
        <v>Предоставление субсидий бюджетным, автономным учреждениям и иным некоммерческим организациям</v>
      </c>
      <c r="B447" s="171"/>
      <c r="C447" s="172"/>
      <c r="D447" s="173"/>
      <c r="E447" s="172"/>
      <c r="F447" s="173">
        <v>600</v>
      </c>
      <c r="G447" s="502">
        <v>48000</v>
      </c>
      <c r="H447" s="160">
        <v>4800</v>
      </c>
      <c r="I447" s="161">
        <f t="shared" si="8"/>
        <v>52800</v>
      </c>
    </row>
    <row r="448" spans="1:9" x14ac:dyDescent="0.25">
      <c r="A448" s="157" t="str">
        <f>IF(B448&gt;0,VLOOKUP(B448,КВСР!A151:B1316,2),IF(C448&gt;0,VLOOKUP(C448,КФСР!A151:B1663,2),IF(D448&gt;0,VLOOKUP(D448,Программа!A$1:B$5100,2),IF(F448&gt;0,VLOOKUP(F448,КВР!A$1:B$5001,2),IF(E448&gt;0,VLOOKUP(E448,Направление!A$1:B$4830,2))))))</f>
        <v>Дополнительное образование детей</v>
      </c>
      <c r="B448" s="171"/>
      <c r="C448" s="172">
        <v>703</v>
      </c>
      <c r="D448" s="173"/>
      <c r="E448" s="172"/>
      <c r="F448" s="173"/>
      <c r="G448" s="504">
        <v>57225160</v>
      </c>
      <c r="H448" s="504">
        <f>H449+H456</f>
        <v>0</v>
      </c>
      <c r="I448" s="161">
        <f t="shared" si="8"/>
        <v>57225160</v>
      </c>
    </row>
    <row r="449" spans="1:9" ht="63" x14ac:dyDescent="0.25">
      <c r="A449" s="157" t="str">
        <f>IF(B449&gt;0,VLOOKUP(B449,КВСР!A152:B1317,2),IF(C449&gt;0,VLOOKUP(C449,КФСР!A152:B1664,2),IF(D449&gt;0,VLOOKUP(D449,Программа!A$1:B$5100,2),IF(F449&gt;0,VLOOKUP(F449,КВР!A$1:B$5001,2),IF(E449&gt;0,VLOOKUP(E449,Направление!A$1:B$4830,2))))))</f>
        <v>Муниципальная программа "Развитие образования, физической культуры и спорта в Тутаевском муниципальном районе"</v>
      </c>
      <c r="B449" s="171"/>
      <c r="C449" s="172"/>
      <c r="D449" s="154" t="s">
        <v>686</v>
      </c>
      <c r="E449" s="172"/>
      <c r="F449" s="173"/>
      <c r="G449" s="504">
        <v>57210328</v>
      </c>
      <c r="H449" s="538">
        <f>H450</f>
        <v>1200</v>
      </c>
      <c r="I449" s="161">
        <f t="shared" si="8"/>
        <v>57211528</v>
      </c>
    </row>
    <row r="450" spans="1:9" ht="63" x14ac:dyDescent="0.25">
      <c r="A450" s="157" t="str">
        <f>IF(B450&gt;0,VLOOKUP(B450,КВСР!A152:B1317,2),IF(C450&gt;0,VLOOKUP(C450,КФСР!A152:B1664,2),IF(D450&gt;0,VLOOKUP(D450,Программа!A$1:B$5100,2),IF(F450&gt;0,VLOOKUP(F450,КВР!A$1:B$5001,2),IF(E450&gt;0,VLOOKUP(E450,Направление!A$1:B$4830,2))))))</f>
        <v xml:space="preserve">Ведомственная целевая программа департамента образования Администрации Тутаевского муниципального района </v>
      </c>
      <c r="B450" s="171"/>
      <c r="C450" s="172"/>
      <c r="D450" s="154" t="s">
        <v>688</v>
      </c>
      <c r="E450" s="172"/>
      <c r="F450" s="173"/>
      <c r="G450" s="504">
        <v>57210328</v>
      </c>
      <c r="H450" s="538">
        <f>H451</f>
        <v>1200</v>
      </c>
      <c r="I450" s="161">
        <f t="shared" si="8"/>
        <v>57211528</v>
      </c>
    </row>
    <row r="451" spans="1:9" ht="47.25" x14ac:dyDescent="0.25">
      <c r="A451" s="157" t="str">
        <f>IF(B451&gt;0,VLOOKUP(B451,КВСР!A153:B1318,2),IF(C451&gt;0,VLOOKUP(C451,КФСР!A153:B1665,2),IF(D451&gt;0,VLOOKUP(D451,Программа!A$1:B$5100,2),IF(F451&gt;0,VLOOKUP(F451,КВР!A$1:B$5001,2),IF(E451&gt;0,VLOOKUP(E451,Направление!A$1:B$4830,2))))))</f>
        <v>Обеспечение качества и доступности образовательных услуг в сфере дополнительного образования</v>
      </c>
      <c r="B451" s="171"/>
      <c r="C451" s="172"/>
      <c r="D451" s="174" t="s">
        <v>753</v>
      </c>
      <c r="E451" s="172"/>
      <c r="F451" s="173"/>
      <c r="G451" s="504">
        <v>57210328</v>
      </c>
      <c r="H451" s="538">
        <f>H452+H454</f>
        <v>1200</v>
      </c>
      <c r="I451" s="161">
        <f t="shared" si="8"/>
        <v>57211528</v>
      </c>
    </row>
    <row r="452" spans="1:9" ht="47.25" x14ac:dyDescent="0.25">
      <c r="A452" s="157" t="str">
        <f>IF(B452&gt;0,VLOOKUP(B452,КВСР!A154:B1319,2),IF(C452&gt;0,VLOOKUP(C452,КФСР!A154:B1666,2),IF(D452&gt;0,VLOOKUP(D452,Программа!A$1:B$5100,2),IF(F452&gt;0,VLOOKUP(F452,КВР!A$1:B$5001,2),IF(E452&gt;0,VLOOKUP(E452,Направление!A$1:B$4830,2))))))</f>
        <v>Обеспечение деятельности учреждений дополнительного образования</v>
      </c>
      <c r="B452" s="171"/>
      <c r="C452" s="172"/>
      <c r="D452" s="173"/>
      <c r="E452" s="172">
        <v>13210</v>
      </c>
      <c r="F452" s="173"/>
      <c r="G452" s="504">
        <v>55633828</v>
      </c>
      <c r="H452" s="538">
        <f>H453</f>
        <v>1200</v>
      </c>
      <c r="I452" s="161">
        <f t="shared" si="8"/>
        <v>55635028</v>
      </c>
    </row>
    <row r="453" spans="1:9" ht="63" x14ac:dyDescent="0.25">
      <c r="A453" s="157" t="str">
        <f>IF(B453&gt;0,VLOOKUP(B453,КВСР!A155:B1320,2),IF(C453&gt;0,VLOOKUP(C453,КФСР!A155:B1667,2),IF(D453&gt;0,VLOOKUP(D453,Программа!A$1:B$5100,2),IF(F453&gt;0,VLOOKUP(F453,КВР!A$1:B$5001,2),IF(E453&gt;0,VLOOKUP(E453,Направление!A$1:B$4830,2))))))</f>
        <v>Предоставление субсидий бюджетным, автономным учреждениям и иным некоммерческим организациям</v>
      </c>
      <c r="B453" s="171"/>
      <c r="C453" s="172"/>
      <c r="D453" s="173"/>
      <c r="E453" s="172"/>
      <c r="F453" s="173">
        <v>600</v>
      </c>
      <c r="G453" s="502">
        <v>55633828</v>
      </c>
      <c r="H453" s="160">
        <v>1200</v>
      </c>
      <c r="I453" s="161">
        <f t="shared" si="8"/>
        <v>55635028</v>
      </c>
    </row>
    <row r="454" spans="1:9" ht="31.5" x14ac:dyDescent="0.25">
      <c r="A454" s="157" t="str">
        <f>IF(B454&gt;0,VLOOKUP(B454,КВСР!A156:B1321,2),IF(C454&gt;0,VLOOKUP(C454,КФСР!A156:B1668,2),IF(D454&gt;0,VLOOKUP(D454,Программа!A$1:B$5100,2),IF(F454&gt;0,VLOOKUP(F454,КВР!A$1:B$5001,2),IF(E454&gt;0,VLOOKUP(E454,Направление!A$1:B$4830,2))))))</f>
        <v>Обеспечение деятельности прочих учреждений в сфере образования</v>
      </c>
      <c r="B454" s="171"/>
      <c r="C454" s="172"/>
      <c r="D454" s="173"/>
      <c r="E454" s="172">
        <v>13310</v>
      </c>
      <c r="F454" s="173"/>
      <c r="G454" s="502">
        <v>1576500</v>
      </c>
      <c r="H454" s="502">
        <f>H455</f>
        <v>0</v>
      </c>
      <c r="I454" s="161">
        <f t="shared" si="8"/>
        <v>1576500</v>
      </c>
    </row>
    <row r="455" spans="1:9" ht="63" x14ac:dyDescent="0.25">
      <c r="A455" s="157" t="str">
        <f>IF(B455&gt;0,VLOOKUP(B455,КВСР!A157:B1322,2),IF(C455&gt;0,VLOOKUP(C455,КФСР!A157:B1669,2),IF(D455&gt;0,VLOOKUP(D455,Программа!A$1:B$5100,2),IF(F455&gt;0,VLOOKUP(F455,КВР!A$1:B$5001,2),IF(E455&gt;0,VLOOKUP(E455,Направление!A$1:B$4830,2))))))</f>
        <v>Предоставление субсидий бюджетным, автономным учреждениям и иным некоммерческим организациям</v>
      </c>
      <c r="B455" s="171"/>
      <c r="C455" s="172"/>
      <c r="D455" s="173"/>
      <c r="E455" s="172"/>
      <c r="F455" s="173">
        <v>600</v>
      </c>
      <c r="G455" s="502">
        <v>1576500</v>
      </c>
      <c r="H455" s="160"/>
      <c r="I455" s="161">
        <f t="shared" si="8"/>
        <v>1576500</v>
      </c>
    </row>
    <row r="456" spans="1:9" ht="47.25" x14ac:dyDescent="0.25">
      <c r="A456" s="157" t="str">
        <f>IF(B456&gt;0,VLOOKUP(B456,КВСР!A156:B1321,2),IF(C456&gt;0,VLOOKUP(C456,КФСР!A156:B1668,2),IF(D456&gt;0,VLOOKUP(D456,Программа!A$1:B$5100,2),IF(F456&gt;0,VLOOKUP(F456,КВР!A$1:B$5001,2),IF(E456&gt;0,VLOOKUP(E456,Направление!A$1:B$4830,2))))))</f>
        <v>Муниципальная программа "Социальная поддержка населения Тутаевского муниципального района"</v>
      </c>
      <c r="B456" s="171"/>
      <c r="C456" s="172"/>
      <c r="D456" s="173" t="s">
        <v>695</v>
      </c>
      <c r="E456" s="172"/>
      <c r="F456" s="173"/>
      <c r="G456" s="502">
        <v>14832</v>
      </c>
      <c r="H456" s="502">
        <f>H457</f>
        <v>-1200</v>
      </c>
      <c r="I456" s="161">
        <f t="shared" si="8"/>
        <v>13632</v>
      </c>
    </row>
    <row r="457" spans="1:9" ht="63" x14ac:dyDescent="0.25">
      <c r="A457" s="157" t="str">
        <f>IF(B457&gt;0,VLOOKUP(B457,КВСР!A157:B1322,2),IF(C457&gt;0,VLOOKUP(C457,КФСР!A157:B1669,2),IF(D457&gt;0,VLOOKUP(D457,Программа!A$1:B$5100,2),IF(F457&gt;0,VLOOKUP(F457,КВР!A$1:B$5001,2),IF(E457&gt;0,VLOOKUP(E457,Направление!A$1:B$4830,2))))))</f>
        <v>Муниципальная целевая программа "Улучшение условий и охраны труда" по Тутаевскому муниципальному району</v>
      </c>
      <c r="B457" s="171"/>
      <c r="C457" s="172"/>
      <c r="D457" s="174" t="s">
        <v>697</v>
      </c>
      <c r="E457" s="172"/>
      <c r="F457" s="173"/>
      <c r="G457" s="502">
        <v>14832</v>
      </c>
      <c r="H457" s="502">
        <f>H458+H461</f>
        <v>-1200</v>
      </c>
      <c r="I457" s="161">
        <f t="shared" si="8"/>
        <v>13632</v>
      </c>
    </row>
    <row r="458" spans="1:9" ht="63" x14ac:dyDescent="0.25">
      <c r="A458" s="157" t="str">
        <f>IF(B458&gt;0,VLOOKUP(B458,КВСР!A158:B1323,2),IF(C458&gt;0,VLOOKUP(C458,КФСР!A158:B1670,2),IF(D458&gt;0,VLOOKUP(D458,Программа!A$1:B$5100,2),IF(F458&gt;0,VLOOKUP(F458,КВР!A$1:B$5001,2),IF(E458&gt;0,VLOOKUP(E458,Направление!A$1:B$4830,2))))))</f>
        <v>Специальная оценка условий труда работающих в организациях расположенных на территории Тутаевского муниципального района</v>
      </c>
      <c r="B458" s="171"/>
      <c r="C458" s="172"/>
      <c r="D458" s="174" t="s">
        <v>698</v>
      </c>
      <c r="E458" s="172"/>
      <c r="F458" s="173"/>
      <c r="G458" s="502">
        <v>5832</v>
      </c>
      <c r="H458" s="502">
        <f>H459</f>
        <v>0</v>
      </c>
      <c r="I458" s="161">
        <f t="shared" si="8"/>
        <v>5832</v>
      </c>
    </row>
    <row r="459" spans="1:9" ht="31.5" x14ac:dyDescent="0.25">
      <c r="A459" s="157" t="str">
        <f>IF(B459&gt;0,VLOOKUP(B459,КВСР!A159:B1324,2),IF(C459&gt;0,VLOOKUP(C459,КФСР!A159:B1671,2),IF(D459&gt;0,VLOOKUP(D459,Программа!A$1:B$5100,2),IF(F459&gt;0,VLOOKUP(F459,КВР!A$1:B$5001,2),IF(E459&gt;0,VLOOKUP(E459,Направление!A$1:B$4830,2))))))</f>
        <v>Расходы на реализацию МЦП "Улучшение условий и охраны труда"</v>
      </c>
      <c r="B459" s="171"/>
      <c r="C459" s="172"/>
      <c r="D459" s="173"/>
      <c r="E459" s="172">
        <v>16150</v>
      </c>
      <c r="F459" s="173"/>
      <c r="G459" s="502">
        <v>5832</v>
      </c>
      <c r="H459" s="502">
        <f>H460</f>
        <v>0</v>
      </c>
      <c r="I459" s="161">
        <f t="shared" si="8"/>
        <v>5832</v>
      </c>
    </row>
    <row r="460" spans="1:9" ht="63" x14ac:dyDescent="0.25">
      <c r="A460" s="157" t="str">
        <f>IF(B460&gt;0,VLOOKUP(B460,КВСР!A160:B1325,2),IF(C460&gt;0,VLOOKUP(C460,КФСР!A160:B1672,2),IF(D460&gt;0,VLOOKUP(D460,Программа!A$1:B$5100,2),IF(F460&gt;0,VLOOKUP(F460,КВР!A$1:B$5001,2),IF(E460&gt;0,VLOOKUP(E460,Направление!A$1:B$4830,2))))))</f>
        <v>Предоставление субсидий бюджетным, автономным учреждениям и иным некоммерческим организациям</v>
      </c>
      <c r="B460" s="171"/>
      <c r="C460" s="172"/>
      <c r="D460" s="173"/>
      <c r="E460" s="172"/>
      <c r="F460" s="173">
        <v>600</v>
      </c>
      <c r="G460" s="502">
        <v>5832</v>
      </c>
      <c r="H460" s="160">
        <v>0</v>
      </c>
      <c r="I460" s="161">
        <f t="shared" si="8"/>
        <v>5832</v>
      </c>
    </row>
    <row r="461" spans="1:9" ht="47.25" x14ac:dyDescent="0.25">
      <c r="A461" s="157" t="str">
        <f>IF(B461&gt;0,VLOOKUP(B461,КВСР!A161:B1326,2),IF(C461&gt;0,VLOOKUP(C461,КФСР!A161:B1673,2),IF(D461&gt;0,VLOOKUP(D461,Программа!A$1:B$5100,2),IF(F461&gt;0,VLOOKUP(F461,КВР!A$1:B$5001,2),IF(E461&gt;0,VLOOKUP(E461,Направление!A$1:B$4830,2))))))</f>
        <v>Обучение по охране труда работников организаций Тутаевского муниципального района</v>
      </c>
      <c r="B461" s="171"/>
      <c r="C461" s="172"/>
      <c r="D461" s="174" t="s">
        <v>2927</v>
      </c>
      <c r="E461" s="172"/>
      <c r="F461" s="173"/>
      <c r="G461" s="502">
        <v>9000</v>
      </c>
      <c r="H461" s="502">
        <f>H462</f>
        <v>-1200</v>
      </c>
      <c r="I461" s="502">
        <f>I462</f>
        <v>7800</v>
      </c>
    </row>
    <row r="462" spans="1:9" ht="48" customHeight="1" x14ac:dyDescent="0.25">
      <c r="A462" s="157" t="str">
        <f>IF(B462&gt;0,VLOOKUP(B462,КВСР!A162:B1327,2),IF(C462&gt;0,VLOOKUP(C462,КФСР!A162:B1674,2),IF(D462&gt;0,VLOOKUP(D462,Программа!A$1:B$5100,2),IF(F462&gt;0,VLOOKUP(F462,КВР!A$1:B$5001,2),IF(E462&gt;0,VLOOKUP(E462,Направление!A$1:B$4830,2))))))</f>
        <v>Расходы на реализацию МЦП "Улучшение условий и охраны труда"</v>
      </c>
      <c r="B462" s="171"/>
      <c r="C462" s="172"/>
      <c r="D462" s="174"/>
      <c r="E462" s="172">
        <v>16150</v>
      </c>
      <c r="F462" s="173"/>
      <c r="G462" s="502">
        <v>9000</v>
      </c>
      <c r="H462" s="502">
        <f>H463</f>
        <v>-1200</v>
      </c>
      <c r="I462" s="502">
        <f>I463</f>
        <v>7800</v>
      </c>
    </row>
    <row r="463" spans="1:9" ht="48" customHeight="1" x14ac:dyDescent="0.25">
      <c r="A463" s="157" t="str">
        <f>IF(B463&gt;0,VLOOKUP(B463,КВСР!A162:B1327,2),IF(C463&gt;0,VLOOKUP(C463,КФСР!A162:B1674,2),IF(D463&gt;0,VLOOKUP(D463,Программа!A$1:B$5100,2),IF(F463&gt;0,VLOOKUP(F463,КВР!A$1:B$5001,2),IF(E463&gt;0,VLOOKUP(E463,Направление!A$1:B$4830,2))))))</f>
        <v>Предоставление субсидий бюджетным, автономным учреждениям и иным некоммерческим организациям</v>
      </c>
      <c r="B463" s="171"/>
      <c r="C463" s="172"/>
      <c r="D463" s="173"/>
      <c r="E463" s="172"/>
      <c r="F463" s="173">
        <v>600</v>
      </c>
      <c r="G463" s="502">
        <v>9000</v>
      </c>
      <c r="H463" s="160">
        <v>-1200</v>
      </c>
      <c r="I463" s="161">
        <f>G463+H463</f>
        <v>7800</v>
      </c>
    </row>
    <row r="464" spans="1:9" ht="47.25" x14ac:dyDescent="0.25">
      <c r="A464" s="157" t="str">
        <f>IF(B464&gt;0,VLOOKUP(B464,КВСР!A161:B1326,2),IF(C464&gt;0,VLOOKUP(C464,КФСР!A161:B1673,2),IF(D464&gt;0,VLOOKUP(D464,Программа!A$1:B$5100,2),IF(F464&gt;0,VLOOKUP(F464,КВР!A$1:B$5001,2),IF(E464&gt;0,VLOOKUP(E464,Направление!A$1:B$4830,2))))))</f>
        <v>Профессиональная подготовка, переподготовка и повышение квалификации</v>
      </c>
      <c r="B464" s="171"/>
      <c r="C464" s="172">
        <v>705</v>
      </c>
      <c r="D464" s="173"/>
      <c r="E464" s="172"/>
      <c r="F464" s="173"/>
      <c r="G464" s="502">
        <v>1247200</v>
      </c>
      <c r="H464" s="502">
        <f>H465</f>
        <v>0</v>
      </c>
      <c r="I464" s="161">
        <f t="shared" si="8"/>
        <v>1247200</v>
      </c>
    </row>
    <row r="465" spans="1:9" ht="63" x14ac:dyDescent="0.25">
      <c r="A465" s="157" t="str">
        <f>IF(B465&gt;0,VLOOKUP(B465,КВСР!A162:B1327,2),IF(C465&gt;0,VLOOKUP(C465,КФСР!A162:B1674,2),IF(D465&gt;0,VLOOKUP(D465,Программа!A$1:B$5100,2),IF(F465&gt;0,VLOOKUP(F465,КВР!A$1:B$5001,2),IF(E465&gt;0,VLOOKUP(E465,Направление!A$1:B$4830,2))))))</f>
        <v>Муниципальная программа "Развитие образования, физической культуры и спорта в Тутаевском муниципальном районе"</v>
      </c>
      <c r="B465" s="171"/>
      <c r="C465" s="172"/>
      <c r="D465" s="174" t="s">
        <v>686</v>
      </c>
      <c r="E465" s="172"/>
      <c r="F465" s="173"/>
      <c r="G465" s="502">
        <v>1247200</v>
      </c>
      <c r="H465" s="502">
        <f>H466</f>
        <v>0</v>
      </c>
      <c r="I465" s="161">
        <f t="shared" si="8"/>
        <v>1247200</v>
      </c>
    </row>
    <row r="466" spans="1:9" ht="63" x14ac:dyDescent="0.25">
      <c r="A466" s="157" t="str">
        <f>IF(B466&gt;0,VLOOKUP(B466,КВСР!A163:B1328,2),IF(C466&gt;0,VLOOKUP(C466,КФСР!A163:B1675,2),IF(D466&gt;0,VLOOKUP(D466,Программа!A$1:B$5100,2),IF(F466&gt;0,VLOOKUP(F466,КВР!A$1:B$5001,2),IF(E466&gt;0,VLOOKUP(E466,Направление!A$1:B$4830,2))))))</f>
        <v xml:space="preserve">Ведомственная целевая программа департамента образования Администрации Тутаевского муниципального района </v>
      </c>
      <c r="B466" s="171"/>
      <c r="C466" s="172"/>
      <c r="D466" s="174" t="s">
        <v>688</v>
      </c>
      <c r="E466" s="172"/>
      <c r="F466" s="173"/>
      <c r="G466" s="502">
        <v>1247200</v>
      </c>
      <c r="H466" s="502">
        <f>H467</f>
        <v>0</v>
      </c>
      <c r="I466" s="161">
        <f t="shared" si="8"/>
        <v>1247200</v>
      </c>
    </row>
    <row r="467" spans="1:9" ht="78.75" x14ac:dyDescent="0.25">
      <c r="A467" s="157" t="str">
        <f>IF(B467&gt;0,VLOOKUP(B467,КВСР!A164:B1329,2),IF(C467&gt;0,VLOOKUP(C467,КФСР!A164:B1676,2),IF(D467&gt;0,VLOOKUP(D467,Программа!A$1:B$5100,2),IF(F467&gt;0,VLOOKUP(F467,КВР!A$1:B$5001,2),IF(E467&gt;0,VLOOKUP(E467,Направление!A$1:B$4830,2))))))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67" s="171"/>
      <c r="C467" s="172"/>
      <c r="D467" s="174" t="s">
        <v>708</v>
      </c>
      <c r="E467" s="172"/>
      <c r="F467" s="173"/>
      <c r="G467" s="502">
        <v>1247200</v>
      </c>
      <c r="H467" s="502">
        <f>H468</f>
        <v>0</v>
      </c>
      <c r="I467" s="161">
        <f t="shared" si="8"/>
        <v>1247200</v>
      </c>
    </row>
    <row r="468" spans="1:9" ht="31.5" x14ac:dyDescent="0.25">
      <c r="A468" s="157" t="str">
        <f>IF(B468&gt;0,VLOOKUP(B468,КВСР!A165:B1330,2),IF(C468&gt;0,VLOOKUP(C468,КФСР!A165:B1677,2),IF(D468&gt;0,VLOOKUP(D468,Программа!A$1:B$5100,2),IF(F468&gt;0,VLOOKUP(F468,КВР!A$1:B$5001,2),IF(E468&gt;0,VLOOKUP(E468,Направление!A$1:B$4830,2))))))</f>
        <v>Обеспечение деятельности прочих учреждений в сфере образования</v>
      </c>
      <c r="B468" s="171"/>
      <c r="C468" s="172"/>
      <c r="D468" s="174"/>
      <c r="E468" s="172">
        <v>13310</v>
      </c>
      <c r="F468" s="173"/>
      <c r="G468" s="502">
        <v>1247200</v>
      </c>
      <c r="H468" s="502">
        <f>H469</f>
        <v>0</v>
      </c>
      <c r="I468" s="161">
        <f t="shared" si="8"/>
        <v>1247200</v>
      </c>
    </row>
    <row r="469" spans="1:9" ht="63" x14ac:dyDescent="0.25">
      <c r="A469" s="157" t="str">
        <f>IF(B469&gt;0,VLOOKUP(B469,КВСР!A166:B1331,2),IF(C469&gt;0,VLOOKUP(C469,КФСР!A166:B1678,2),IF(D469&gt;0,VLOOKUP(D469,Программа!A$1:B$5100,2),IF(F469&gt;0,VLOOKUP(F469,КВР!A$1:B$5001,2),IF(E469&gt;0,VLOOKUP(E469,Направление!A$1:B$4830,2))))))</f>
        <v>Предоставление субсидий бюджетным, автономным учреждениям и иным некоммерческим организациям</v>
      </c>
      <c r="B469" s="171"/>
      <c r="C469" s="172"/>
      <c r="D469" s="174"/>
      <c r="E469" s="172"/>
      <c r="F469" s="173">
        <v>600</v>
      </c>
      <c r="G469" s="502">
        <v>1247200</v>
      </c>
      <c r="H469" s="160"/>
      <c r="I469" s="161">
        <f t="shared" si="8"/>
        <v>1247200</v>
      </c>
    </row>
    <row r="470" spans="1:9" x14ac:dyDescent="0.25">
      <c r="A470" s="157" t="str">
        <f>IF(B470&gt;0,VLOOKUP(B470,КВСР!A146:B1311,2),IF(C470&gt;0,VLOOKUP(C470,КФСР!A146:B1658,2),IF(D470&gt;0,VLOOKUP(D470,Программа!A$1:B$5100,2),IF(F470&gt;0,VLOOKUP(F470,КВР!A$1:B$5001,2),IF(E470&gt;0,VLOOKUP(E470,Направление!A$1:B$4830,2))))))</f>
        <v>Молодежная политика</v>
      </c>
      <c r="B470" s="171"/>
      <c r="C470" s="172">
        <v>707</v>
      </c>
      <c r="D470" s="174"/>
      <c r="E470" s="172"/>
      <c r="F470" s="173"/>
      <c r="G470" s="611">
        <v>5807500</v>
      </c>
      <c r="H470" s="161">
        <f>H476+H471</f>
        <v>-129540</v>
      </c>
      <c r="I470" s="161">
        <f t="shared" si="8"/>
        <v>5677960</v>
      </c>
    </row>
    <row r="471" spans="1:9" ht="63" x14ac:dyDescent="0.25">
      <c r="A471" s="157" t="str">
        <f>IF(B471&gt;0,VLOOKUP(B471,КВСР!A147:B1312,2),IF(C471&gt;0,VLOOKUP(C471,КФСР!A147:B1659,2),IF(D471&gt;0,VLOOKUP(D471,Программа!A$1:B$5100,2),IF(F471&gt;0,VLOOKUP(F471,КВР!A$1:B$5001,2),IF(E471&gt;0,VLOOKUP(E471,Направление!A$1:B$4830,2))))))</f>
        <v>Муниципальная программа  "Развитие культуры, туризма и молодежной политики в Тутаевском муниципальном районе"</v>
      </c>
      <c r="B471" s="171"/>
      <c r="C471" s="172"/>
      <c r="D471" s="174" t="s">
        <v>716</v>
      </c>
      <c r="E471" s="172"/>
      <c r="F471" s="173"/>
      <c r="G471" s="611">
        <v>428760</v>
      </c>
      <c r="H471" s="161">
        <f t="shared" ref="H471:I474" si="9">H472</f>
        <v>0</v>
      </c>
      <c r="I471" s="161">
        <f t="shared" si="9"/>
        <v>428760</v>
      </c>
    </row>
    <row r="472" spans="1:9" ht="31.5" x14ac:dyDescent="0.25">
      <c r="A472" s="157" t="str">
        <f>IF(B472&gt;0,VLOOKUP(B472,КВСР!A148:B1313,2),IF(C472&gt;0,VLOOKUP(C472,КФСР!A148:B1660,2),IF(D472&gt;0,VLOOKUP(D472,Программа!A$1:B$5100,2),IF(F472&gt;0,VLOOKUP(F472,КВР!A$1:B$5001,2),IF(E472&gt;0,VLOOKUP(E472,Направление!A$1:B$4830,2))))))</f>
        <v>Ведомственная целевая программа «Молодежь»</v>
      </c>
      <c r="B472" s="171"/>
      <c r="C472" s="172"/>
      <c r="D472" s="174" t="s">
        <v>824</v>
      </c>
      <c r="E472" s="172"/>
      <c r="F472" s="173"/>
      <c r="G472" s="611">
        <v>428760</v>
      </c>
      <c r="H472" s="161">
        <f t="shared" si="9"/>
        <v>0</v>
      </c>
      <c r="I472" s="161">
        <f t="shared" si="9"/>
        <v>428760</v>
      </c>
    </row>
    <row r="473" spans="1:9" ht="63" x14ac:dyDescent="0.25">
      <c r="A473" s="157" t="str">
        <f>IF(B473&gt;0,VLOOKUP(B473,КВСР!A149:B1314,2),IF(C473&gt;0,VLOOKUP(C473,КФСР!A149:B1661,2),IF(D473&gt;0,VLOOKUP(D473,Программа!A$1:B$5100,2),IF(F473&gt;0,VLOOKUP(F473,КВР!A$1:B$5001,2),IF(E473&gt;0,VLOOKUP(E473,Направление!A$1:B$4830,2))))))</f>
        <v>Обеспечение условий для выполнения муниципального задания на оказание услуг, выполнение работ в сфере молодежной политики</v>
      </c>
      <c r="B473" s="171"/>
      <c r="C473" s="172"/>
      <c r="D473" s="174" t="s">
        <v>826</v>
      </c>
      <c r="E473" s="172"/>
      <c r="F473" s="173"/>
      <c r="G473" s="611">
        <v>428760</v>
      </c>
      <c r="H473" s="161">
        <f t="shared" si="9"/>
        <v>0</v>
      </c>
      <c r="I473" s="161">
        <f t="shared" si="9"/>
        <v>428760</v>
      </c>
    </row>
    <row r="474" spans="1:9" ht="47.25" x14ac:dyDescent="0.25">
      <c r="A474" s="157" t="str">
        <f>IF(B474&gt;0,VLOOKUP(B474,КВСР!A150:B1315,2),IF(C474&gt;0,VLOOKUP(C474,КФСР!A150:B1662,2),IF(D474&gt;0,VLOOKUP(D474,Программа!A$1:B$5100,2),IF(F474&gt;0,VLOOKUP(F474,КВР!A$1:B$5001,2),IF(E474&gt;0,VLOOKUP(E474,Направление!A$1:B$4830,2))))))</f>
        <v>Расходы на обеспечение трудоустройства несовершеннолетних граждан на временные рабочие места</v>
      </c>
      <c r="B474" s="171"/>
      <c r="C474" s="172"/>
      <c r="D474" s="174"/>
      <c r="E474" s="172">
        <v>76150</v>
      </c>
      <c r="F474" s="173"/>
      <c r="G474" s="611">
        <v>428760</v>
      </c>
      <c r="H474" s="161">
        <f t="shared" si="9"/>
        <v>0</v>
      </c>
      <c r="I474" s="161">
        <f t="shared" si="9"/>
        <v>428760</v>
      </c>
    </row>
    <row r="475" spans="1:9" ht="63" x14ac:dyDescent="0.25">
      <c r="A475" s="157" t="str">
        <f>IF(B475&gt;0,VLOOKUP(B475,КВСР!A151:B1316,2),IF(C475&gt;0,VLOOKUP(C475,КФСР!A151:B1663,2),IF(D475&gt;0,VLOOKUP(D475,Программа!A$1:B$5100,2),IF(F475&gt;0,VLOOKUP(F475,КВР!A$1:B$5001,2),IF(E475&gt;0,VLOOKUP(E475,Направление!A$1:B$4830,2))))))</f>
        <v>Предоставление субсидий бюджетным, автономным учреждениям и иным некоммерческим организациям</v>
      </c>
      <c r="B475" s="171"/>
      <c r="C475" s="172"/>
      <c r="D475" s="174"/>
      <c r="E475" s="172"/>
      <c r="F475" s="173">
        <v>600</v>
      </c>
      <c r="G475" s="611">
        <v>428760</v>
      </c>
      <c r="H475" s="161"/>
      <c r="I475" s="161">
        <f>G475+H475</f>
        <v>428760</v>
      </c>
    </row>
    <row r="476" spans="1:9" ht="63" x14ac:dyDescent="0.25">
      <c r="A476" s="157" t="str">
        <f>IF(B476&gt;0,VLOOKUP(B476,КВСР!A147:B1312,2),IF(C476&gt;0,VLOOKUP(C476,КФСР!A147:B1659,2),IF(D476&gt;0,VLOOKUP(D476,Программа!A$1:B$5100,2),IF(F476&gt;0,VLOOKUP(F476,КВР!A$1:B$5001,2),IF(E476&gt;0,VLOOKUP(E476,Направление!A$1:B$4830,2))))))</f>
        <v>Муниципальная программа "Развитие образования, физической культуры и спорта в Тутаевском муниципальном районе"</v>
      </c>
      <c r="B476" s="171"/>
      <c r="C476" s="172"/>
      <c r="D476" s="174" t="s">
        <v>686</v>
      </c>
      <c r="E476" s="172"/>
      <c r="F476" s="173"/>
      <c r="G476" s="611">
        <v>5378740</v>
      </c>
      <c r="H476" s="161">
        <f>H477</f>
        <v>-129540</v>
      </c>
      <c r="I476" s="161">
        <f t="shared" si="8"/>
        <v>5249200</v>
      </c>
    </row>
    <row r="477" spans="1:9" ht="63" x14ac:dyDescent="0.25">
      <c r="A477" s="157" t="str">
        <f>IF(B477&gt;0,VLOOKUP(B477,КВСР!A148:B1313,2),IF(C477&gt;0,VLOOKUP(C477,КФСР!A148:B1660,2),IF(D477&gt;0,VLOOKUP(D477,Программа!A$1:B$5100,2),IF(F477&gt;0,VLOOKUP(F477,КВР!A$1:B$5001,2),IF(E477&gt;0,VLOOKUP(E477,Направление!A$1:B$4830,2))))))</f>
        <v xml:space="preserve">Ведомственная целевая программа департамента образования Администрации Тутаевского муниципального района </v>
      </c>
      <c r="B477" s="171"/>
      <c r="C477" s="172"/>
      <c r="D477" s="174" t="s">
        <v>688</v>
      </c>
      <c r="E477" s="172"/>
      <c r="F477" s="173"/>
      <c r="G477" s="611">
        <v>5378740</v>
      </c>
      <c r="H477" s="161">
        <f>H478+H492</f>
        <v>-129540</v>
      </c>
      <c r="I477" s="161">
        <f t="shared" si="8"/>
        <v>5249200</v>
      </c>
    </row>
    <row r="478" spans="1:9" ht="47.25" x14ac:dyDescent="0.25">
      <c r="A478" s="157" t="str">
        <f>IF(B478&gt;0,VLOOKUP(B478,КВСР!A149:B1314,2),IF(C478&gt;0,VLOOKUP(C478,КФСР!A149:B1661,2),IF(D478&gt;0,VLOOKUP(D478,Программа!A$1:B$5100,2),IF(F478&gt;0,VLOOKUP(F478,КВР!A$1:B$5001,2),IF(E478&gt;0,VLOOKUP(E478,Направление!A$1:B$4830,2))))))</f>
        <v>Обеспечение реализации мероприятий в рамках областных целевых программ</v>
      </c>
      <c r="B478" s="171"/>
      <c r="C478" s="172"/>
      <c r="D478" s="174" t="s">
        <v>2949</v>
      </c>
      <c r="E478" s="172"/>
      <c r="F478" s="173"/>
      <c r="G478" s="611">
        <v>5378740</v>
      </c>
      <c r="H478" s="161">
        <f>H481+H483+H485+H487+H490+H479</f>
        <v>-129540</v>
      </c>
      <c r="I478" s="161">
        <f t="shared" si="8"/>
        <v>5249200</v>
      </c>
    </row>
    <row r="479" spans="1:9" ht="94.5" hidden="1" x14ac:dyDescent="0.25">
      <c r="A479" s="157" t="str">
        <f>IF(B479&gt;0,VLOOKUP(B479,КВСР!A150:B1315,2),IF(C479&gt;0,VLOOKUP(C479,КФСР!A150:B1662,2),IF(D479&gt;0,VLOOKUP(D479,Программа!A$1:B$5100,2),IF(F479&gt;0,VLOOKUP(F479,КВР!A$1:B$5001,2),IF(E479&gt;0,VLOOKUP(E479,Направление!A$1:B$4830,2))))))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79" s="171"/>
      <c r="C479" s="172"/>
      <c r="D479" s="174"/>
      <c r="E479" s="172">
        <v>71000</v>
      </c>
      <c r="F479" s="173"/>
      <c r="G479" s="611">
        <v>0</v>
      </c>
      <c r="H479" s="611">
        <f>H480</f>
        <v>0</v>
      </c>
      <c r="I479" s="161">
        <f t="shared" si="8"/>
        <v>0</v>
      </c>
    </row>
    <row r="480" spans="1:9" ht="63" hidden="1" x14ac:dyDescent="0.25">
      <c r="A480" s="157" t="str">
        <f>IF(B480&gt;0,VLOOKUP(B480,КВСР!A151:B1316,2),IF(C480&gt;0,VLOOKUP(C480,КФСР!A151:B1663,2),IF(D480&gt;0,VLOOKUP(D480,Программа!A$1:B$5100,2),IF(F480&gt;0,VLOOKUP(F480,КВР!A$1:B$5001,2),IF(E480&gt;0,VLOOKUP(E480,Направление!A$1:B$4830,2))))))</f>
        <v>Предоставление субсидий бюджетным, автономным учреждениям и иным некоммерческим организациям</v>
      </c>
      <c r="B480" s="171"/>
      <c r="C480" s="172"/>
      <c r="D480" s="174"/>
      <c r="E480" s="172"/>
      <c r="F480" s="173">
        <v>600</v>
      </c>
      <c r="G480" s="611">
        <v>0</v>
      </c>
      <c r="H480" s="161"/>
      <c r="I480" s="161">
        <f t="shared" si="8"/>
        <v>0</v>
      </c>
    </row>
    <row r="481" spans="1:9" ht="47.25" x14ac:dyDescent="0.25">
      <c r="A481" s="157" t="str">
        <f>IF(B481&gt;0,VLOOKUP(B481,КВСР!A150:B1315,2),IF(C481&gt;0,VLOOKUP(C481,КФСР!A150:B1662,2),IF(D481&gt;0,VLOOKUP(D481,Программа!A$1:B$5100,2),IF(F481&gt;0,VLOOKUP(F481,КВР!A$1:B$5001,2),IF(E481&gt;0,VLOOKUP(E481,Направление!A$1:B$4830,2))))))</f>
        <v xml:space="preserve">Расходы на оплату стоимости набора продуктов питания в лагерях с дневной формой пребывания детей </v>
      </c>
      <c r="B481" s="171"/>
      <c r="C481" s="172"/>
      <c r="D481" s="174"/>
      <c r="E481" s="172">
        <v>11000</v>
      </c>
      <c r="F481" s="173"/>
      <c r="G481" s="611">
        <v>82210</v>
      </c>
      <c r="H481" s="161">
        <f>H482</f>
        <v>0</v>
      </c>
      <c r="I481" s="161">
        <f t="shared" si="8"/>
        <v>82210</v>
      </c>
    </row>
    <row r="482" spans="1:9" ht="63" x14ac:dyDescent="0.25">
      <c r="A482" s="157" t="str">
        <f>IF(B482&gt;0,VLOOKUP(B482,КВСР!A155:B1320,2),IF(C482&gt;0,VLOOKUP(C482,КФСР!A155:B1667,2),IF(D482&gt;0,VLOOKUP(D482,Программа!A$1:B$5100,2),IF(F482&gt;0,VLOOKUP(F482,КВР!A$1:B$5001,2),IF(E482&gt;0,VLOOKUP(E482,Направление!A$1:B$4830,2))))))</f>
        <v>Предоставление субсидий бюджетным, автономным учреждениям и иным некоммерческим организациям</v>
      </c>
      <c r="B482" s="171"/>
      <c r="C482" s="172"/>
      <c r="D482" s="173"/>
      <c r="E482" s="172"/>
      <c r="F482" s="173">
        <v>600</v>
      </c>
      <c r="G482" s="521">
        <v>82210</v>
      </c>
      <c r="H482" s="162"/>
      <c r="I482" s="161">
        <f t="shared" si="8"/>
        <v>82210</v>
      </c>
    </row>
    <row r="483" spans="1:9" ht="110.25" hidden="1" x14ac:dyDescent="0.25">
      <c r="A483" s="157" t="str">
        <f>IF(B483&gt;0,VLOOKUP(B483,КВСР!A156:B1321,2),IF(C483&gt;0,VLOOKUP(C483,КФСР!A156:B1668,2),IF(D483&gt;0,VLOOKUP(D483,Программа!A$1:B$5100,2),IF(F483&gt;0,VLOOKUP(F483,КВР!A$1:B$5001,2),IF(E483&gt;0,VLOOKUP(E483,Направление!A$1:B$4830,2))))))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83" s="171"/>
      <c r="C483" s="172"/>
      <c r="D483" s="174"/>
      <c r="E483" s="172">
        <v>50650</v>
      </c>
      <c r="F483" s="173"/>
      <c r="G483" s="611">
        <v>0</v>
      </c>
      <c r="H483" s="161">
        <f>H484</f>
        <v>0</v>
      </c>
      <c r="I483" s="161">
        <f t="shared" si="8"/>
        <v>0</v>
      </c>
    </row>
    <row r="484" spans="1:9" ht="31.5" hidden="1" x14ac:dyDescent="0.25">
      <c r="A484" s="157" t="str">
        <f>IF(B484&gt;0,VLOOKUP(B484,КВСР!A157:B1322,2),IF(C484&gt;0,VLOOKUP(C484,КФСР!A157:B1669,2),IF(D484&gt;0,VLOOKUP(D484,Программа!A$1:B$5100,2),IF(F484&gt;0,VLOOKUP(F484,КВР!A$1:B$5001,2),IF(E484&gt;0,VLOOKUP(E484,Направление!A$1:B$4830,2))))))</f>
        <v>Социальное обеспечение и иные выплаты населению</v>
      </c>
      <c r="B484" s="171"/>
      <c r="C484" s="172"/>
      <c r="D484" s="173"/>
      <c r="E484" s="172"/>
      <c r="F484" s="173">
        <v>300</v>
      </c>
      <c r="G484" s="521">
        <v>0</v>
      </c>
      <c r="H484" s="162"/>
      <c r="I484" s="161">
        <f t="shared" si="8"/>
        <v>0</v>
      </c>
    </row>
    <row r="485" spans="1:9" ht="94.5" x14ac:dyDescent="0.25">
      <c r="A485" s="157" t="str">
        <f>IF(B485&gt;0,VLOOKUP(B485,КВСР!A159:B1324,2),IF(C485&gt;0,VLOOKUP(C485,КФСР!A159:B1671,2),IF(D485&gt;0,VLOOKUP(D485,Программа!A$1:B$5100,2),IF(F485&gt;0,VLOOKUP(F485,КВР!A$1:B$5001,2),IF(E485&gt;0,VLOOKUP(E485,Направление!A$1:B$4830,2))))))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85" s="171"/>
      <c r="C485" s="172"/>
      <c r="D485" s="174"/>
      <c r="E485" s="172">
        <v>71000</v>
      </c>
      <c r="F485" s="173"/>
      <c r="G485" s="504">
        <v>739530</v>
      </c>
      <c r="H485" s="159">
        <f>H486</f>
        <v>0</v>
      </c>
      <c r="I485" s="161">
        <f t="shared" si="8"/>
        <v>739530</v>
      </c>
    </row>
    <row r="486" spans="1:9" ht="63" x14ac:dyDescent="0.25">
      <c r="A486" s="157" t="str">
        <f>IF(B486&gt;0,VLOOKUP(B486,КВСР!A160:B1325,2),IF(C486&gt;0,VLOOKUP(C486,КФСР!A160:B1672,2),IF(D486&gt;0,VLOOKUP(D486,Программа!A$1:B$5100,2),IF(F486&gt;0,VLOOKUP(F486,КВР!A$1:B$5001,2),IF(E486&gt;0,VLOOKUP(E486,Направление!A$1:B$4830,2))))))</f>
        <v>Предоставление субсидий бюджетным, автономным учреждениям и иным некоммерческим организациям</v>
      </c>
      <c r="B486" s="171"/>
      <c r="C486" s="172"/>
      <c r="D486" s="173"/>
      <c r="E486" s="172"/>
      <c r="F486" s="173">
        <v>600</v>
      </c>
      <c r="G486" s="502">
        <v>739530</v>
      </c>
      <c r="H486" s="160"/>
      <c r="I486" s="161">
        <f t="shared" si="8"/>
        <v>739530</v>
      </c>
    </row>
    <row r="487" spans="1:9" ht="110.25" x14ac:dyDescent="0.25">
      <c r="A487" s="157" t="str">
        <f>IF(B487&gt;0,VLOOKUP(B487,КВСР!A161:B1326,2),IF(C487&gt;0,VLOOKUP(C487,КФСР!A161:B1673,2),IF(D487&gt;0,VLOOKUP(D487,Программа!A$1:B$5100,2),IF(F487&gt;0,VLOOKUP(F487,КВР!A$1:B$5001,2),IF(E487&gt;0,VLOOKUP(E487,Направление!A$1:B$4830,2))))))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87" s="171"/>
      <c r="C487" s="172"/>
      <c r="D487" s="174"/>
      <c r="E487" s="172">
        <v>71060</v>
      </c>
      <c r="F487" s="173"/>
      <c r="G487" s="504">
        <v>4407000</v>
      </c>
      <c r="H487" s="159">
        <f>H488+H489</f>
        <v>0</v>
      </c>
      <c r="I487" s="161">
        <f t="shared" si="8"/>
        <v>4407000</v>
      </c>
    </row>
    <row r="488" spans="1:9" ht="31.5" x14ac:dyDescent="0.25">
      <c r="A488" s="157" t="str">
        <f>IF(B488&gt;0,VLOOKUP(B488,КВСР!A162:B1327,2),IF(C488&gt;0,VLOOKUP(C488,КФСР!A162:B1674,2),IF(D488&gt;0,VLOOKUP(D488,Программа!A$1:B$5100,2),IF(F488&gt;0,VLOOKUP(F488,КВР!A$1:B$5001,2),IF(E488&gt;0,VLOOKUP(E488,Направление!A$1:B$4830,2))))))</f>
        <v>Социальное обеспечение и иные выплаты населению</v>
      </c>
      <c r="B488" s="171"/>
      <c r="C488" s="172"/>
      <c r="D488" s="173"/>
      <c r="E488" s="172"/>
      <c r="F488" s="173">
        <v>300</v>
      </c>
      <c r="G488" s="502">
        <v>2781884</v>
      </c>
      <c r="H488" s="160"/>
      <c r="I488" s="161">
        <f t="shared" si="8"/>
        <v>2781884</v>
      </c>
    </row>
    <row r="489" spans="1:9" ht="63" x14ac:dyDescent="0.25">
      <c r="A489" s="157" t="str">
        <f>IF(B489&gt;0,VLOOKUP(B489,КВСР!A163:B1328,2),IF(C489&gt;0,VLOOKUP(C489,КФСР!A163:B1675,2),IF(D489&gt;0,VLOOKUP(D489,Программа!A$1:B$5100,2),IF(F489&gt;0,VLOOKUP(F489,КВР!A$1:B$5001,2),IF(E489&gt;0,VLOOKUP(E489,Направление!A$1:B$4830,2))))))</f>
        <v>Предоставление субсидий бюджетным, автономным учреждениям и иным некоммерческим организациям</v>
      </c>
      <c r="B489" s="171"/>
      <c r="C489" s="172"/>
      <c r="D489" s="173"/>
      <c r="E489" s="172"/>
      <c r="F489" s="173">
        <v>600</v>
      </c>
      <c r="G489" s="502">
        <v>1625116</v>
      </c>
      <c r="H489" s="160"/>
      <c r="I489" s="161">
        <f t="shared" si="8"/>
        <v>1625116</v>
      </c>
    </row>
    <row r="490" spans="1:9" ht="47.25" x14ac:dyDescent="0.25">
      <c r="A490" s="157" t="str">
        <f>IF(B490&gt;0,VLOOKUP(B490,КВСР!A164:B1329,2),IF(C490&gt;0,VLOOKUP(C490,КФСР!A164:B1676,2),IF(D490&gt;0,VLOOKUP(D490,Программа!A$1:B$5100,2),IF(F490&gt;0,VLOOKUP(F490,КВР!A$1:B$5001,2),IF(E490&gt;0,VLOOKUP(E490,Направление!A$1:B$4830,2))))))</f>
        <v>Субвенция на частичную оплату стоимости путевки в организации отдыха детей и их оздоровления</v>
      </c>
      <c r="B490" s="171"/>
      <c r="C490" s="172"/>
      <c r="D490" s="173"/>
      <c r="E490" s="172">
        <v>75160</v>
      </c>
      <c r="F490" s="173"/>
      <c r="G490" s="504">
        <v>150000</v>
      </c>
      <c r="H490" s="538">
        <f>H491</f>
        <v>-129540</v>
      </c>
      <c r="I490" s="161">
        <f t="shared" si="8"/>
        <v>20460</v>
      </c>
    </row>
    <row r="491" spans="1:9" ht="31.5" x14ac:dyDescent="0.25">
      <c r="A491" s="157" t="str">
        <f>IF(B491&gt;0,VLOOKUP(B491,КВСР!A165:B1330,2),IF(C491&gt;0,VLOOKUP(C491,КФСР!A165:B1677,2),IF(D491&gt;0,VLOOKUP(D491,Программа!A$1:B$5100,2),IF(F491&gt;0,VLOOKUP(F491,КВР!A$1:B$5001,2),IF(E491&gt;0,VLOOKUP(E491,Направление!A$1:B$4830,2))))))</f>
        <v>Социальное обеспечение и иные выплаты населению</v>
      </c>
      <c r="B491" s="171"/>
      <c r="C491" s="172"/>
      <c r="D491" s="173"/>
      <c r="E491" s="172"/>
      <c r="F491" s="173">
        <v>300</v>
      </c>
      <c r="G491" s="502">
        <v>150000</v>
      </c>
      <c r="H491" s="160">
        <v>-129540</v>
      </c>
      <c r="I491" s="161">
        <f t="shared" si="8"/>
        <v>20460</v>
      </c>
    </row>
    <row r="492" spans="1:9" s="553" customFormat="1" ht="31.5" hidden="1" x14ac:dyDescent="0.25">
      <c r="A492" s="549" t="str">
        <f>IF(B492&gt;0,VLOOKUP(B492,КВСР!A167:B1332,2),IF(C492&gt;0,VLOOKUP(C492,КФСР!A167:B1679,2),IF(D492&gt;0,VLOOKUP(D492,Программа!A$1:B$5100,2),IF(F492&gt;0,VLOOKUP(F492,КВР!A$1:B$5001,2),IF(E492&gt;0,VLOOKUP(E492,Направление!A$1:B$4830,2))))))</f>
        <v>Обеспечение компенсационных выплат</v>
      </c>
      <c r="B492" s="550"/>
      <c r="C492" s="551"/>
      <c r="D492" s="174" t="s">
        <v>2955</v>
      </c>
      <c r="E492" s="551"/>
      <c r="F492" s="552"/>
      <c r="G492" s="504">
        <v>0</v>
      </c>
      <c r="H492" s="538">
        <f>H493</f>
        <v>0</v>
      </c>
      <c r="I492" s="161">
        <f t="shared" si="8"/>
        <v>0</v>
      </c>
    </row>
    <row r="493" spans="1:9" ht="47.25" hidden="1" x14ac:dyDescent="0.25">
      <c r="A493" s="157" t="str">
        <f>IF(B493&gt;0,VLOOKUP(B493,КВСР!A164:B1329,2),IF(C493&gt;0,VLOOKUP(C493,КФСР!A164:B1676,2),IF(D493&gt;0,VLOOKUP(D493,Программа!A$1:B$5100,2),IF(F493&gt;0,VLOOKUP(F493,КВР!A$1:B$5001,2),IF(E493&gt;0,VLOOKUP(E493,Направление!A$1:B$4830,2))))))</f>
        <v>Компенсация части расходов на приобретение путевки в организации отдыха детей и их оздоровления</v>
      </c>
      <c r="B493" s="171"/>
      <c r="C493" s="172"/>
      <c r="D493" s="173"/>
      <c r="E493" s="172">
        <v>74390</v>
      </c>
      <c r="F493" s="173"/>
      <c r="G493" s="504">
        <v>0</v>
      </c>
      <c r="H493" s="159">
        <f>H494</f>
        <v>0</v>
      </c>
      <c r="I493" s="161">
        <f t="shared" si="8"/>
        <v>0</v>
      </c>
    </row>
    <row r="494" spans="1:9" ht="31.5" hidden="1" x14ac:dyDescent="0.25">
      <c r="A494" s="157" t="str">
        <f>IF(B494&gt;0,VLOOKUP(B494,КВСР!A165:B1330,2),IF(C494&gt;0,VLOOKUP(C494,КФСР!A165:B1677,2),IF(D494&gt;0,VLOOKUP(D494,Программа!A$1:B$5100,2),IF(F494&gt;0,VLOOKUP(F494,КВР!A$1:B$5001,2),IF(E494&gt;0,VLOOKUP(E494,Направление!A$1:B$4830,2))))))</f>
        <v>Социальное обеспечение и иные выплаты населению</v>
      </c>
      <c r="B494" s="171"/>
      <c r="C494" s="172"/>
      <c r="D494" s="173"/>
      <c r="E494" s="172"/>
      <c r="F494" s="173">
        <v>300</v>
      </c>
      <c r="G494" s="502">
        <v>0</v>
      </c>
      <c r="H494" s="160"/>
      <c r="I494" s="161">
        <f t="shared" si="8"/>
        <v>0</v>
      </c>
    </row>
    <row r="495" spans="1:9" ht="31.5" x14ac:dyDescent="0.25">
      <c r="A495" s="157" t="str">
        <f>IF(B495&gt;0,VLOOKUP(B495,КВСР!A160:B1325,2),IF(C495&gt;0,VLOOKUP(C495,КФСР!A160:B1672,2),IF(D495&gt;0,VLOOKUP(D495,Программа!A$1:B$5100,2),IF(F495&gt;0,VLOOKUP(F495,КВР!A$1:B$5001,2),IF(E495&gt;0,VLOOKUP(E495,Направление!A$1:B$4830,2))))))</f>
        <v>Другие вопросы в области образования</v>
      </c>
      <c r="B495" s="171"/>
      <c r="C495" s="172">
        <v>709</v>
      </c>
      <c r="D495" s="174"/>
      <c r="E495" s="172"/>
      <c r="F495" s="173"/>
      <c r="G495" s="611">
        <v>39946857</v>
      </c>
      <c r="H495" s="611">
        <f>H496+H509+H567+H571+H563+H554</f>
        <v>134156</v>
      </c>
      <c r="I495" s="161">
        <f t="shared" si="8"/>
        <v>40081013</v>
      </c>
    </row>
    <row r="496" spans="1:9" ht="63" x14ac:dyDescent="0.25">
      <c r="A496" s="157" t="str">
        <f>IF(B496&gt;0,VLOOKUP(B496,КВСР!A161:B1326,2),IF(C496&gt;0,VLOOKUP(C496,КФСР!A161:B1673,2),IF(D496&gt;0,VLOOKUP(D496,Программа!A$1:B$5100,2),IF(F496&gt;0,VLOOKUP(F496,КВР!A$1:B$5001,2),IF(E496&gt;0,VLOOKUP(E496,Направление!A$1:B$4830,2))))))</f>
        <v>Муниципальная программа  "Развитие культуры, туризма и молодежной политики в Тутаевском муниципальном районе"</v>
      </c>
      <c r="B496" s="171"/>
      <c r="C496" s="172"/>
      <c r="D496" s="174" t="s">
        <v>716</v>
      </c>
      <c r="E496" s="172"/>
      <c r="F496" s="173"/>
      <c r="G496" s="611">
        <v>302461</v>
      </c>
      <c r="H496" s="161">
        <f>H497+H503</f>
        <v>0</v>
      </c>
      <c r="I496" s="161">
        <f t="shared" si="8"/>
        <v>302461</v>
      </c>
    </row>
    <row r="497" spans="1:9" ht="94.5" x14ac:dyDescent="0.25">
      <c r="A497" s="157" t="str">
        <f>IF(B497&gt;0,VLOOKUP(B497,КВСР!A162:B1327,2),IF(C497&gt;0,VLOOKUP(C497,КФСР!A162:B1674,2),IF(D497&gt;0,VLOOKUP(D497,Программа!A$1:B$5100,2),IF(F497&gt;0,VLOOKUP(F497,КВР!A$1:B$5001,2),IF(E497&gt;0,VLOOKUP(E497,Направление!A$1:B$4830,2))))))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97" s="171"/>
      <c r="C497" s="172"/>
      <c r="D497" s="174" t="s">
        <v>718</v>
      </c>
      <c r="E497" s="172"/>
      <c r="F497" s="173"/>
      <c r="G497" s="611">
        <v>134037</v>
      </c>
      <c r="H497" s="161">
        <f>H498</f>
        <v>0</v>
      </c>
      <c r="I497" s="161">
        <f t="shared" si="8"/>
        <v>134037</v>
      </c>
    </row>
    <row r="498" spans="1:9" ht="78.75" x14ac:dyDescent="0.25">
      <c r="A498" s="157" t="str">
        <f>IF(B498&gt;0,VLOOKUP(B498,КВСР!A163:B1328,2),IF(C498&gt;0,VLOOKUP(C498,КФСР!A163:B1675,2),IF(D498&gt;0,VLOOKUP(D498,Программа!A$1:B$5100,2),IF(F498&gt;0,VLOOKUP(F498,КВР!A$1:B$5001,2),IF(E498&gt;0,VLOOKUP(E498,Направление!A$1:B$4830,2))))))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98" s="171"/>
      <c r="C498" s="172"/>
      <c r="D498" s="174" t="s">
        <v>720</v>
      </c>
      <c r="E498" s="172"/>
      <c r="F498" s="173"/>
      <c r="G498" s="611">
        <v>134037</v>
      </c>
      <c r="H498" s="161">
        <f>H499+H501</f>
        <v>0</v>
      </c>
      <c r="I498" s="161">
        <f t="shared" si="8"/>
        <v>134037</v>
      </c>
    </row>
    <row r="499" spans="1:9" ht="31.5" x14ac:dyDescent="0.25">
      <c r="A499" s="157" t="str">
        <f>IF(B499&gt;0,VLOOKUP(B499,КВСР!A164:B1329,2),IF(C499&gt;0,VLOOKUP(C499,КФСР!A164:B1676,2),IF(D499&gt;0,VLOOKUP(D499,Программа!A$1:B$5100,2),IF(F499&gt;0,VLOOKUP(F499,КВР!A$1:B$5001,2),IF(E499&gt;0,VLOOKUP(E499,Направление!A$1:B$4830,2))))))</f>
        <v>Мероприятия по патриотическому воспитанию граждан</v>
      </c>
      <c r="B499" s="171"/>
      <c r="C499" s="172"/>
      <c r="D499" s="174"/>
      <c r="E499" s="172">
        <v>14880</v>
      </c>
      <c r="F499" s="173"/>
      <c r="G499" s="611">
        <v>74000</v>
      </c>
      <c r="H499" s="161">
        <f>H500</f>
        <v>0</v>
      </c>
      <c r="I499" s="161">
        <f t="shared" si="8"/>
        <v>74000</v>
      </c>
    </row>
    <row r="500" spans="1:9" ht="63" x14ac:dyDescent="0.25">
      <c r="A500" s="157" t="str">
        <f>IF(B500&gt;0,VLOOKUP(B500,КВСР!A165:B1330,2),IF(C500&gt;0,VLOOKUP(C500,КФСР!A165:B1677,2),IF(D500&gt;0,VLOOKUP(D500,Программа!A$1:B$5100,2),IF(F500&gt;0,VLOOKUP(F500,КВР!A$1:B$5001,2),IF(E500&gt;0,VLOOKUP(E500,Направление!A$1:B$4830,2))))))</f>
        <v>Предоставление субсидий бюджетным, автономным учреждениям и иным некоммерческим организациям</v>
      </c>
      <c r="B500" s="171"/>
      <c r="C500" s="172"/>
      <c r="D500" s="174"/>
      <c r="E500" s="172"/>
      <c r="F500" s="173">
        <v>600</v>
      </c>
      <c r="G500" s="611">
        <v>74000</v>
      </c>
      <c r="H500" s="161"/>
      <c r="I500" s="161">
        <f t="shared" si="8"/>
        <v>74000</v>
      </c>
    </row>
    <row r="501" spans="1:9" ht="31.5" x14ac:dyDescent="0.25">
      <c r="A501" s="157" t="str">
        <f>IF(B501&gt;0,VLOOKUP(B501,КВСР!A166:B1331,2),IF(C501&gt;0,VLOOKUP(C501,КФСР!A166:B1678,2),IF(D501&gt;0,VLOOKUP(D501,Программа!A$1:B$5100,2),IF(F501&gt;0,VLOOKUP(F501,КВР!A$1:B$5001,2),IF(E501&gt;0,VLOOKUP(E501,Направление!A$1:B$4830,2))))))</f>
        <v>Мероприятия по патриотическому воспитанию граждан</v>
      </c>
      <c r="B501" s="171"/>
      <c r="C501" s="172"/>
      <c r="D501" s="174"/>
      <c r="E501" s="172">
        <v>74880</v>
      </c>
      <c r="F501" s="173"/>
      <c r="G501" s="611">
        <v>60037</v>
      </c>
      <c r="H501" s="161">
        <f>H502</f>
        <v>0</v>
      </c>
      <c r="I501" s="161">
        <f t="shared" si="8"/>
        <v>60037</v>
      </c>
    </row>
    <row r="502" spans="1:9" ht="63" x14ac:dyDescent="0.25">
      <c r="A502" s="157" t="str">
        <f>IF(B502&gt;0,VLOOKUP(B502,КВСР!A167:B1332,2),IF(C502&gt;0,VLOOKUP(C502,КФСР!A167:B1679,2),IF(D502&gt;0,VLOOKUP(D502,Программа!A$1:B$5100,2),IF(F502&gt;0,VLOOKUP(F502,КВР!A$1:B$5001,2),IF(E502&gt;0,VLOOKUP(E502,Направление!A$1:B$4830,2))))))</f>
        <v>Предоставление субсидий бюджетным, автономным учреждениям и иным некоммерческим организациям</v>
      </c>
      <c r="B502" s="171"/>
      <c r="C502" s="172"/>
      <c r="D502" s="174"/>
      <c r="E502" s="172"/>
      <c r="F502" s="173">
        <v>600</v>
      </c>
      <c r="G502" s="611">
        <v>60037</v>
      </c>
      <c r="H502" s="161"/>
      <c r="I502" s="161">
        <f t="shared" si="8"/>
        <v>60037</v>
      </c>
    </row>
    <row r="503" spans="1:9" ht="63" x14ac:dyDescent="0.25">
      <c r="A503" s="157" t="str">
        <f>IF(B503&gt;0,VLOOKUP(B503,КВСР!A166:B1331,2),IF(C503&gt;0,VLOOKUP(C503,КФСР!A166:B1678,2),IF(D503&gt;0,VLOOKUP(D503,Программа!A$1:B$5100,2),IF(F503&gt;0,VLOOKUP(F503,КВР!A$1:B$5001,2),IF(E503&gt;0,VLOOKUP(E503,Направление!A$1:B$4830,2))))))</f>
        <v>Муниципальная целевая программа «Комплексные меры противодействия злоупотреблению наркотиками и их незаконному обороту»</v>
      </c>
      <c r="B503" s="171"/>
      <c r="C503" s="172"/>
      <c r="D503" s="174" t="s">
        <v>723</v>
      </c>
      <c r="E503" s="172"/>
      <c r="F503" s="173"/>
      <c r="G503" s="611">
        <v>168424</v>
      </c>
      <c r="H503" s="161">
        <f>H504</f>
        <v>0</v>
      </c>
      <c r="I503" s="161">
        <f t="shared" si="8"/>
        <v>168424</v>
      </c>
    </row>
    <row r="504" spans="1:9" ht="47.25" x14ac:dyDescent="0.25">
      <c r="A504" s="157" t="str">
        <f>IF(B504&gt;0,VLOOKUP(B504,КВСР!A167:B1332,2),IF(C504&gt;0,VLOOKUP(C504,КФСР!A167:B1679,2),IF(D504&gt;0,VLOOKUP(D504,Программа!A$1:B$5100,2),IF(F504&gt;0,VLOOKUP(F504,КВР!A$1:B$5001,2),IF(E504&gt;0,VLOOKUP(E504,Направление!A$1:B$4830,2))))))</f>
        <v>Развитие системы профилактики немедицинского потребления наркотиков</v>
      </c>
      <c r="B504" s="171"/>
      <c r="C504" s="172"/>
      <c r="D504" s="174" t="s">
        <v>725</v>
      </c>
      <c r="E504" s="172"/>
      <c r="F504" s="173"/>
      <c r="G504" s="611">
        <v>168424</v>
      </c>
      <c r="H504" s="161">
        <f>H505+H507</f>
        <v>0</v>
      </c>
      <c r="I504" s="161">
        <f t="shared" si="8"/>
        <v>168424</v>
      </c>
    </row>
    <row r="505" spans="1:9" ht="78.75" x14ac:dyDescent="0.25">
      <c r="A505" s="157" t="str">
        <f>IF(B505&gt;0,VLOOKUP(B505,КВСР!A168:B1333,2),IF(C505&gt;0,VLOOKUP(C505,КФСР!A168:B1680,2),IF(D505&gt;0,VLOOKUP(D505,Программа!A$1:B$5100,2),IF(F505&gt;0,VLOOKUP(F505,КВР!A$1:B$5001,2),IF(E505&gt;0,VLOOKUP(E505,Направление!A$1:B$4830,2))))))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505" s="171"/>
      <c r="C505" s="172"/>
      <c r="D505" s="174"/>
      <c r="E505" s="172">
        <v>11430</v>
      </c>
      <c r="F505" s="173"/>
      <c r="G505" s="611">
        <v>16843</v>
      </c>
      <c r="H505" s="161">
        <f>H506</f>
        <v>0</v>
      </c>
      <c r="I505" s="161">
        <f t="shared" si="8"/>
        <v>16843</v>
      </c>
    </row>
    <row r="506" spans="1:9" ht="63" x14ac:dyDescent="0.25">
      <c r="A506" s="157" t="str">
        <f>IF(B506&gt;0,VLOOKUP(B506,КВСР!A169:B1334,2),IF(C506&gt;0,VLOOKUP(C506,КФСР!A169:B1681,2),IF(D506&gt;0,VLOOKUP(D506,Программа!A$1:B$5100,2),IF(F506&gt;0,VLOOKUP(F506,КВР!A$1:B$5001,2),IF(E506&gt;0,VLOOKUP(E506,Направление!A$1:B$4830,2))))))</f>
        <v>Предоставление субсидий бюджетным, автономным учреждениям и иным некоммерческим организациям</v>
      </c>
      <c r="B506" s="171"/>
      <c r="C506" s="172"/>
      <c r="D506" s="174"/>
      <c r="E506" s="172"/>
      <c r="F506" s="173">
        <v>600</v>
      </c>
      <c r="G506" s="612">
        <v>16843</v>
      </c>
      <c r="H506" s="163"/>
      <c r="I506" s="161">
        <f t="shared" si="8"/>
        <v>16843</v>
      </c>
    </row>
    <row r="507" spans="1:9" ht="94.5" x14ac:dyDescent="0.25">
      <c r="A507" s="157" t="str">
        <f>IF(B507&gt;0,VLOOKUP(B507,КВСР!A170:B1335,2),IF(C507&gt;0,VLOOKUP(C507,КФСР!A170:B1682,2),IF(D507&gt;0,VLOOKUP(D507,Программа!A$1:B$5100,2),IF(F507&gt;0,VLOOKUP(F507,КВР!A$1:B$5001,2),IF(E507&gt;0,VLOOKUP(E507,Направление!A$1:B$4830,2))))))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507" s="171"/>
      <c r="C507" s="172"/>
      <c r="D507" s="174"/>
      <c r="E507" s="172">
        <v>71430</v>
      </c>
      <c r="F507" s="173"/>
      <c r="G507" s="611">
        <v>151581</v>
      </c>
      <c r="H507" s="161">
        <f>H508</f>
        <v>0</v>
      </c>
      <c r="I507" s="161">
        <f t="shared" si="8"/>
        <v>151581</v>
      </c>
    </row>
    <row r="508" spans="1:9" ht="63" x14ac:dyDescent="0.25">
      <c r="A508" s="157" t="str">
        <f>IF(B508&gt;0,VLOOKUP(B508,КВСР!A171:B1336,2),IF(C508&gt;0,VLOOKUP(C508,КФСР!A171:B1683,2),IF(D508&gt;0,VLOOKUP(D508,Программа!A$1:B$5100,2),IF(F508&gt;0,VLOOKUP(F508,КВР!A$1:B$5001,2),IF(E508&gt;0,VLOOKUP(E508,Направление!A$1:B$4830,2))))))</f>
        <v>Предоставление субсидий бюджетным, автономным учреждениям и иным некоммерческим организациям</v>
      </c>
      <c r="B508" s="171"/>
      <c r="C508" s="172"/>
      <c r="D508" s="174"/>
      <c r="E508" s="172"/>
      <c r="F508" s="173">
        <v>600</v>
      </c>
      <c r="G508" s="612">
        <v>151581</v>
      </c>
      <c r="H508" s="163"/>
      <c r="I508" s="161">
        <f t="shared" si="8"/>
        <v>151581</v>
      </c>
    </row>
    <row r="509" spans="1:9" ht="63" x14ac:dyDescent="0.25">
      <c r="A509" s="157" t="str">
        <f>IF(B509&gt;0,VLOOKUP(B509,КВСР!A166:B1331,2),IF(C509&gt;0,VLOOKUP(C509,КФСР!A166:B1678,2),IF(D509&gt;0,VLOOKUP(D509,Программа!A$1:B$5100,2),IF(F509&gt;0,VLOOKUP(F509,КВР!A$1:B$5001,2),IF(E509&gt;0,VLOOKUP(E509,Направление!A$1:B$4830,2))))))</f>
        <v>Муниципальная программа "Развитие образования, физической культуры и спорта в Тутаевском муниципальном районе"</v>
      </c>
      <c r="B509" s="171"/>
      <c r="C509" s="172"/>
      <c r="D509" s="174" t="s">
        <v>686</v>
      </c>
      <c r="E509" s="172"/>
      <c r="F509" s="173"/>
      <c r="G509" s="611">
        <v>38840896</v>
      </c>
      <c r="H509" s="611">
        <f>H510+H550</f>
        <v>131056</v>
      </c>
      <c r="I509" s="161">
        <f t="shared" si="8"/>
        <v>38971952</v>
      </c>
    </row>
    <row r="510" spans="1:9" ht="63" x14ac:dyDescent="0.25">
      <c r="A510" s="157" t="str">
        <f>IF(B510&gt;0,VLOOKUP(B510,КВСР!A167:B1332,2),IF(C510&gt;0,VLOOKUP(C510,КФСР!A167:B1679,2),IF(D510&gt;0,VLOOKUP(D510,Программа!A$1:B$5100,2),IF(F510&gt;0,VLOOKUP(F510,КВР!A$1:B$5001,2),IF(E510&gt;0,VLOOKUP(E510,Направление!A$1:B$4830,2))))))</f>
        <v xml:space="preserve">Ведомственная целевая программа департамента образования Администрации Тутаевского муниципального района </v>
      </c>
      <c r="B510" s="171"/>
      <c r="C510" s="172"/>
      <c r="D510" s="174" t="s">
        <v>688</v>
      </c>
      <c r="E510" s="172"/>
      <c r="F510" s="173"/>
      <c r="G510" s="611">
        <v>38784896</v>
      </c>
      <c r="H510" s="611">
        <f>H517+H522+H531+H511+H526</f>
        <v>131056</v>
      </c>
      <c r="I510" s="161">
        <f t="shared" si="8"/>
        <v>38915952</v>
      </c>
    </row>
    <row r="511" spans="1:9" ht="47.25" x14ac:dyDescent="0.25">
      <c r="A511" s="157" t="str">
        <f>IF(B511&gt;0,VLOOKUP(B511,КВСР!A168:B1333,2),IF(C511&gt;0,VLOOKUP(C511,КФСР!A168:B1680,2),IF(D511&gt;0,VLOOKUP(D511,Программа!A$1:B$5100,2),IF(F511&gt;0,VLOOKUP(F511,КВР!A$1:B$5001,2),IF(E511&gt;0,VLOOKUP(E511,Направление!A$1:B$4830,2))))))</f>
        <v>Обеспечение качества и доступности образовательных услуг в сфере дополнительного образования</v>
      </c>
      <c r="B511" s="171"/>
      <c r="C511" s="172"/>
      <c r="D511" s="174" t="s">
        <v>753</v>
      </c>
      <c r="E511" s="172"/>
      <c r="F511" s="173"/>
      <c r="G511" s="611">
        <v>320000</v>
      </c>
      <c r="H511" s="161">
        <f>H513+H514+H515+H516</f>
        <v>6000</v>
      </c>
      <c r="I511" s="161">
        <f t="shared" si="8"/>
        <v>326000</v>
      </c>
    </row>
    <row r="512" spans="1:9" x14ac:dyDescent="0.25">
      <c r="A512" s="157" t="str">
        <f>IF(B512&gt;0,VLOOKUP(B512,КВСР!A169:B1334,2),IF(C512&gt;0,VLOOKUP(C512,КФСР!A169:B1681,2),IF(D512&gt;0,VLOOKUP(D512,Программа!A$1:B$5100,2),IF(F512&gt;0,VLOOKUP(F512,КВР!A$1:B$5001,2),IF(E512&gt;0,VLOOKUP(E512,Направление!A$1:B$4830,2))))))</f>
        <v>Мероприятия в сфере образования</v>
      </c>
      <c r="B512" s="171"/>
      <c r="C512" s="172"/>
      <c r="D512" s="174"/>
      <c r="E512" s="172">
        <v>13320</v>
      </c>
      <c r="F512" s="173"/>
      <c r="G512" s="611">
        <v>320000</v>
      </c>
      <c r="H512" s="161">
        <f>H513+H514+H515+H516</f>
        <v>6000</v>
      </c>
      <c r="I512" s="161">
        <f t="shared" ref="I512:I577" si="10">SUM(G512:H512)</f>
        <v>326000</v>
      </c>
    </row>
    <row r="513" spans="1:9" ht="126" hidden="1" x14ac:dyDescent="0.25">
      <c r="A513" s="157" t="str">
        <f>IF(B513&gt;0,VLOOKUP(B513,КВСР!A169:B1334,2),IF(C513&gt;0,VLOOKUP(C513,КФСР!A169:B1681,2),IF(D513&gt;0,VLOOKUP(D513,Программа!A$1:B$5100,2),IF(F513&gt;0,VLOOKUP(F513,КВР!A$1:B$5001,2),IF(E513&gt;0,VLOOKUP(E513,Направление!A$1:B$4830,2))))))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13" s="171"/>
      <c r="C513" s="172"/>
      <c r="D513" s="174"/>
      <c r="E513" s="172"/>
      <c r="F513" s="173">
        <v>100</v>
      </c>
      <c r="G513" s="521">
        <v>0</v>
      </c>
      <c r="H513" s="162"/>
      <c r="I513" s="161">
        <f t="shared" si="10"/>
        <v>0</v>
      </c>
    </row>
    <row r="514" spans="1:9" ht="63" x14ac:dyDescent="0.25">
      <c r="A514" s="157" t="str">
        <f>IF(B514&gt;0,VLOOKUP(B514,КВСР!A170:B1335,2),IF(C514&gt;0,VLOOKUP(C514,КФСР!A170:B1682,2),IF(D514&gt;0,VLOOKUP(D514,Программа!A$1:B$5100,2),IF(F514&gt;0,VLOOKUP(F514,КВР!A$1:B$5001,2),IF(E514&gt;0,VLOOKUP(E514,Направление!A$1:B$4830,2))))))</f>
        <v xml:space="preserve">Закупка товаров, работ и услуг для обеспечения государственных (муниципальных) нужд
</v>
      </c>
      <c r="B514" s="171"/>
      <c r="C514" s="172"/>
      <c r="D514" s="174"/>
      <c r="E514" s="172"/>
      <c r="F514" s="173">
        <v>200</v>
      </c>
      <c r="G514" s="521">
        <v>92800</v>
      </c>
      <c r="H514" s="162">
        <v>6000</v>
      </c>
      <c r="I514" s="161">
        <f t="shared" si="10"/>
        <v>98800</v>
      </c>
    </row>
    <row r="515" spans="1:9" ht="63" x14ac:dyDescent="0.25">
      <c r="A515" s="157" t="str">
        <f>IF(B515&gt;0,VLOOKUP(B515,КВСР!A171:B1336,2),IF(C515&gt;0,VLOOKUP(C515,КФСР!A171:B1683,2),IF(D515&gt;0,VLOOKUP(D515,Программа!A$1:B$5100,2),IF(F515&gt;0,VLOOKUP(F515,КВР!A$1:B$5001,2),IF(E515&gt;0,VLOOKUP(E515,Направление!A$1:B$4830,2))))))</f>
        <v>Предоставление субсидий бюджетным, автономным учреждениям и иным некоммерческим организациям</v>
      </c>
      <c r="B515" s="171"/>
      <c r="C515" s="172"/>
      <c r="D515" s="174"/>
      <c r="E515" s="172"/>
      <c r="F515" s="173">
        <v>600</v>
      </c>
      <c r="G515" s="521">
        <v>227200</v>
      </c>
      <c r="H515" s="162"/>
      <c r="I515" s="161">
        <f t="shared" si="10"/>
        <v>227200</v>
      </c>
    </row>
    <row r="516" spans="1:9" hidden="1" x14ac:dyDescent="0.25">
      <c r="A516" s="157" t="str">
        <f>IF(B516&gt;0,VLOOKUP(B516,КВСР!A172:B1337,2),IF(C516&gt;0,VLOOKUP(C516,КФСР!A172:B1684,2),IF(D516&gt;0,VLOOKUP(D516,Программа!A$1:B$5100,2),IF(F516&gt;0,VLOOKUP(F516,КВР!A$1:B$5001,2),IF(E516&gt;0,VLOOKUP(E516,Направление!A$1:B$4830,2))))))</f>
        <v>Иные бюджетные ассигнования</v>
      </c>
      <c r="B516" s="171"/>
      <c r="C516" s="172"/>
      <c r="D516" s="174"/>
      <c r="E516" s="172"/>
      <c r="F516" s="173">
        <v>800</v>
      </c>
      <c r="G516" s="521">
        <v>0</v>
      </c>
      <c r="H516" s="162"/>
      <c r="I516" s="161">
        <f t="shared" si="10"/>
        <v>0</v>
      </c>
    </row>
    <row r="517" spans="1:9" ht="31.5" x14ac:dyDescent="0.25">
      <c r="A517" s="157" t="str">
        <f>IF(B517&gt;0,VLOOKUP(B517,КВСР!A168:B1333,2),IF(C517&gt;0,VLOOKUP(C517,КФСР!A168:B1680,2),IF(D517&gt;0,VLOOKUP(D517,Программа!A$1:B$5100,2),IF(F517&gt;0,VLOOKUP(F517,КВР!A$1:B$5001,2),IF(E517&gt;0,VLOOKUP(E517,Направление!A$1:B$4830,2))))))</f>
        <v>Повышение мотивации участников образовательного процесса</v>
      </c>
      <c r="B517" s="171"/>
      <c r="C517" s="172"/>
      <c r="D517" s="174" t="s">
        <v>731</v>
      </c>
      <c r="E517" s="172"/>
      <c r="F517" s="173"/>
      <c r="G517" s="611">
        <v>332000</v>
      </c>
      <c r="H517" s="161">
        <f>H518+H520</f>
        <v>-6000</v>
      </c>
      <c r="I517" s="161">
        <f t="shared" si="10"/>
        <v>326000</v>
      </c>
    </row>
    <row r="518" spans="1:9" ht="31.5" x14ac:dyDescent="0.25">
      <c r="A518" s="157" t="str">
        <f>IF(B518&gt;0,VLOOKUP(B518,КВСР!A169:B1334,2),IF(C518&gt;0,VLOOKUP(C518,КФСР!A169:B1681,2),IF(D518&gt;0,VLOOKUP(D518,Программа!A$1:B$5100,2),IF(F518&gt;0,VLOOKUP(F518,КВР!A$1:B$5001,2),IF(E518&gt;0,VLOOKUP(E518,Направление!A$1:B$4830,2))))))</f>
        <v xml:space="preserve">Выплата ежемесячных и разовых стипендий главы </v>
      </c>
      <c r="B518" s="171"/>
      <c r="C518" s="172"/>
      <c r="D518" s="174"/>
      <c r="E518" s="172">
        <v>12700</v>
      </c>
      <c r="F518" s="173"/>
      <c r="G518" s="611">
        <v>232000</v>
      </c>
      <c r="H518" s="161">
        <f>H519</f>
        <v>-6000</v>
      </c>
      <c r="I518" s="161">
        <f t="shared" si="10"/>
        <v>226000</v>
      </c>
    </row>
    <row r="519" spans="1:9" ht="31.5" x14ac:dyDescent="0.25">
      <c r="A519" s="157" t="str">
        <f>IF(B519&gt;0,VLOOKUP(B519,КВСР!A170:B1335,2),IF(C519&gt;0,VLOOKUP(C519,КФСР!A170:B1682,2),IF(D519&gt;0,VLOOKUP(D519,Программа!A$1:B$5100,2),IF(F519&gt;0,VLOOKUP(F519,КВР!A$1:B$5001,2),IF(E519&gt;0,VLOOKUP(E519,Направление!A$1:B$4830,2))))))</f>
        <v>Социальное обеспечение и иные выплаты населению</v>
      </c>
      <c r="B519" s="171"/>
      <c r="C519" s="172"/>
      <c r="D519" s="174"/>
      <c r="E519" s="172"/>
      <c r="F519" s="173">
        <v>300</v>
      </c>
      <c r="G519" s="612">
        <v>232000</v>
      </c>
      <c r="H519" s="163">
        <v>-6000</v>
      </c>
      <c r="I519" s="161">
        <f t="shared" si="10"/>
        <v>226000</v>
      </c>
    </row>
    <row r="520" spans="1:9" ht="63" x14ac:dyDescent="0.25">
      <c r="A520" s="157" t="str">
        <f>IF(B520&gt;0,VLOOKUP(B520,КВСР!A171:B1336,2),IF(C520&gt;0,VLOOKUP(C520,КФСР!A171:B1683,2),IF(D520&gt;0,VLOOKUP(D520,Программа!A$1:B$5100,2),IF(F520&gt;0,VLOOKUP(F520,КВР!A$1:B$5001,2),IF(E520&gt;0,VLOOKUP(E520,Направление!A$1:B$4830,2))))))</f>
        <v>Денежное поощрение лучших руковдящих и педагогических работников за заслуги в сфере образования</v>
      </c>
      <c r="B520" s="171"/>
      <c r="C520" s="172"/>
      <c r="D520" s="174"/>
      <c r="E520" s="172">
        <v>12710</v>
      </c>
      <c r="F520" s="173"/>
      <c r="G520" s="611">
        <v>100000</v>
      </c>
      <c r="H520" s="161">
        <f>H521</f>
        <v>0</v>
      </c>
      <c r="I520" s="161">
        <f t="shared" si="10"/>
        <v>100000</v>
      </c>
    </row>
    <row r="521" spans="1:9" ht="31.5" x14ac:dyDescent="0.25">
      <c r="A521" s="157" t="str">
        <f>IF(B521&gt;0,VLOOKUP(B521,КВСР!A172:B1337,2),IF(C521&gt;0,VLOOKUP(C521,КФСР!A172:B1684,2),IF(D521&gt;0,VLOOKUP(D521,Программа!A$1:B$5100,2),IF(F521&gt;0,VLOOKUP(F521,КВР!A$1:B$5001,2),IF(E521&gt;0,VLOOKUP(E521,Направление!A$1:B$4830,2))))))</f>
        <v>Социальное обеспечение и иные выплаты населению</v>
      </c>
      <c r="B521" s="171"/>
      <c r="C521" s="172"/>
      <c r="D521" s="174"/>
      <c r="E521" s="172"/>
      <c r="F521" s="173">
        <v>300</v>
      </c>
      <c r="G521" s="612">
        <v>100000</v>
      </c>
      <c r="H521" s="163"/>
      <c r="I521" s="161">
        <f t="shared" si="10"/>
        <v>100000</v>
      </c>
    </row>
    <row r="522" spans="1:9" ht="78.75" x14ac:dyDescent="0.25">
      <c r="A522" s="157" t="str">
        <f>IF(B522&gt;0,VLOOKUP(B522,КВСР!A173:B1338,2),IF(C522&gt;0,VLOOKUP(C522,КФСР!A173:B1685,2),IF(D522&gt;0,VLOOKUP(D522,Программа!A$1:B$5100,2),IF(F522&gt;0,VLOOKUP(F522,КВР!A$1:B$5001,2),IF(E522&gt;0,VLOOKUP(E522,Направление!A$1:B$4830,2))))))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522" s="171"/>
      <c r="C522" s="172"/>
      <c r="D522" s="174" t="s">
        <v>708</v>
      </c>
      <c r="E522" s="172"/>
      <c r="F522" s="173"/>
      <c r="G522" s="611">
        <v>9572879</v>
      </c>
      <c r="H522" s="161">
        <f>H523</f>
        <v>0</v>
      </c>
      <c r="I522" s="161">
        <f t="shared" si="10"/>
        <v>9572879</v>
      </c>
    </row>
    <row r="523" spans="1:9" ht="31.5" x14ac:dyDescent="0.25">
      <c r="A523" s="157" t="str">
        <f>IF(B523&gt;0,VLOOKUP(B523,КВСР!A174:B1339,2),IF(C523&gt;0,VLOOKUP(C523,КФСР!A174:B1686,2),IF(D523&gt;0,VLOOKUP(D523,Программа!A$1:B$5100,2),IF(F523&gt;0,VLOOKUP(F523,КВР!A$1:B$5001,2),IF(E523&gt;0,VLOOKUP(E523,Направление!A$1:B$4830,2))))))</f>
        <v>Обеспечение деятельности прочих учреждений в сфере образования</v>
      </c>
      <c r="B523" s="171"/>
      <c r="C523" s="172"/>
      <c r="D523" s="174"/>
      <c r="E523" s="172">
        <v>13310</v>
      </c>
      <c r="F523" s="173"/>
      <c r="G523" s="611">
        <v>9572879</v>
      </c>
      <c r="H523" s="161">
        <f>H524+H525</f>
        <v>0</v>
      </c>
      <c r="I523" s="161">
        <f t="shared" si="10"/>
        <v>9572879</v>
      </c>
    </row>
    <row r="524" spans="1:9" ht="63" hidden="1" x14ac:dyDescent="0.25">
      <c r="A524" s="157" t="str">
        <f>IF(B524&gt;0,VLOOKUP(B524,КВСР!A175:B1340,2),IF(C524&gt;0,VLOOKUP(C524,КФСР!A175:B1687,2),IF(D524&gt;0,VLOOKUP(D524,Программа!A$1:B$5100,2),IF(F524&gt;0,VLOOKUP(F524,КВР!A$1:B$5001,2),IF(E524&gt;0,VLOOKUP(E524,Направление!A$1:B$4830,2))))))</f>
        <v xml:space="preserve">Закупка товаров, работ и услуг для обеспечения государственных (муниципальных) нужд
</v>
      </c>
      <c r="B524" s="171"/>
      <c r="C524" s="172"/>
      <c r="D524" s="174"/>
      <c r="E524" s="172"/>
      <c r="F524" s="173">
        <v>200</v>
      </c>
      <c r="G524" s="612">
        <v>0</v>
      </c>
      <c r="H524" s="163"/>
      <c r="I524" s="161">
        <f t="shared" si="10"/>
        <v>0</v>
      </c>
    </row>
    <row r="525" spans="1:9" ht="63" x14ac:dyDescent="0.25">
      <c r="A525" s="157" t="str">
        <f>IF(B525&gt;0,VLOOKUP(B525,КВСР!A176:B1341,2),IF(C525&gt;0,VLOOKUP(C525,КФСР!A176:B1688,2),IF(D525&gt;0,VLOOKUP(D525,Программа!A$1:B$5100,2),IF(F525&gt;0,VLOOKUP(F525,КВР!A$1:B$5001,2),IF(E525&gt;0,VLOOKUP(E525,Направление!A$1:B$4830,2))))))</f>
        <v>Предоставление субсидий бюджетным, автономным учреждениям и иным некоммерческим организациям</v>
      </c>
      <c r="B525" s="171"/>
      <c r="C525" s="172"/>
      <c r="D525" s="174"/>
      <c r="E525" s="172"/>
      <c r="F525" s="173">
        <v>600</v>
      </c>
      <c r="G525" s="612">
        <v>9572879</v>
      </c>
      <c r="H525" s="163"/>
      <c r="I525" s="161">
        <f t="shared" si="10"/>
        <v>9572879</v>
      </c>
    </row>
    <row r="526" spans="1:9" ht="47.25" hidden="1" x14ac:dyDescent="0.25">
      <c r="A526" s="157" t="str">
        <f>IF(B526&gt;0,VLOOKUP(B526,КВСР!A177:B1342,2),IF(C526&gt;0,VLOOKUP(C526,КФСР!A177:B1689,2),IF(D526&gt;0,VLOOKUP(D526,Программа!A$1:B$5100,2),IF(F526&gt;0,VLOOKUP(F526,КВР!A$1:B$5001,2),IF(E526&gt;0,VLOOKUP(E526,Направление!A$1:B$4830,2))))))</f>
        <v>Обеспечение реализации мероприятий в рамках областных целевых программ</v>
      </c>
      <c r="B526" s="171"/>
      <c r="C526" s="172"/>
      <c r="D526" s="174" t="s">
        <v>2949</v>
      </c>
      <c r="E526" s="172"/>
      <c r="F526" s="173"/>
      <c r="G526" s="611">
        <v>0</v>
      </c>
      <c r="H526" s="491">
        <f>H527</f>
        <v>0</v>
      </c>
      <c r="I526" s="161">
        <f t="shared" si="10"/>
        <v>0</v>
      </c>
    </row>
    <row r="527" spans="1:9" ht="78.75" hidden="1" x14ac:dyDescent="0.25">
      <c r="A527" s="157" t="str">
        <f>IF(B527&gt;0,VLOOKUP(B527,КВСР!A177:B1342,2),IF(C527&gt;0,VLOOKUP(C527,КФСР!A177:B1689,2),IF(D527&gt;0,VLOOKUP(D527,Программа!A$1:B$5100,2),IF(F527&gt;0,VLOOKUP(F527,КВР!A$1:B$5001,2),IF(E527&gt;0,VLOOKUP(E527,Направление!A$1:B$4830,2))))))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7" s="171"/>
      <c r="C527" s="172"/>
      <c r="D527" s="174"/>
      <c r="E527" s="172">
        <v>10470</v>
      </c>
      <c r="F527" s="173"/>
      <c r="G527" s="611">
        <v>0</v>
      </c>
      <c r="H527" s="161">
        <f>H528</f>
        <v>0</v>
      </c>
      <c r="I527" s="161">
        <f t="shared" si="10"/>
        <v>0</v>
      </c>
    </row>
    <row r="528" spans="1:9" ht="63" hidden="1" x14ac:dyDescent="0.25">
      <c r="A528" s="157" t="str">
        <f>IF(B528&gt;0,VLOOKUP(B528,КВСР!A178:B1343,2),IF(C528&gt;0,VLOOKUP(C528,КФСР!A178:B1690,2),IF(D528&gt;0,VLOOKUP(D528,Программа!A$1:B$5100,2),IF(F528&gt;0,VLOOKUP(F528,КВР!A$1:B$5001,2),IF(E528&gt;0,VLOOKUP(E528,Направление!A$1:B$4830,2))))))</f>
        <v>Предоставление субсидий бюджетным, автономным учреждениям и иным некоммерческим организациям</v>
      </c>
      <c r="B528" s="171"/>
      <c r="C528" s="172"/>
      <c r="D528" s="174"/>
      <c r="E528" s="172"/>
      <c r="F528" s="173">
        <v>600</v>
      </c>
      <c r="G528" s="612">
        <v>0</v>
      </c>
      <c r="H528" s="163"/>
      <c r="I528" s="161">
        <f t="shared" si="10"/>
        <v>0</v>
      </c>
    </row>
    <row r="529" spans="1:9" ht="78.75" hidden="1" x14ac:dyDescent="0.25">
      <c r="A529" s="157" t="str">
        <f>IF(B529&gt;0,VLOOKUP(B529,КВСР!A179:B1344,2),IF(C529&gt;0,VLOOKUP(C529,КФСР!A179:B1691,2),IF(D529&gt;0,VLOOKUP(D529,Программа!A$1:B$5100,2),IF(F529&gt;0,VLOOKUP(F529,КВР!A$1:B$5001,2),IF(E529&gt;0,VLOOKUP(E529,Направление!A$1:B$4830,2))))))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9" s="171"/>
      <c r="C529" s="172"/>
      <c r="D529" s="174"/>
      <c r="E529" s="172">
        <v>70470</v>
      </c>
      <c r="F529" s="173"/>
      <c r="G529" s="611">
        <v>0</v>
      </c>
      <c r="H529" s="161"/>
      <c r="I529" s="161">
        <f t="shared" si="10"/>
        <v>0</v>
      </c>
    </row>
    <row r="530" spans="1:9" ht="63" hidden="1" x14ac:dyDescent="0.25">
      <c r="A530" s="157" t="str">
        <f>IF(B530&gt;0,VLOOKUP(B530,КВСР!A180:B1345,2),IF(C530&gt;0,VLOOKUP(C530,КФСР!A180:B1692,2),IF(D530&gt;0,VLOOKUP(D530,Программа!A$1:B$5100,2),IF(F530&gt;0,VLOOKUP(F530,КВР!A$1:B$5001,2),IF(E530&gt;0,VLOOKUP(E530,Направление!A$1:B$4830,2))))))</f>
        <v>Предоставление субсидий бюджетным, автономным учреждениям и иным некоммерческим организациям</v>
      </c>
      <c r="B530" s="171"/>
      <c r="C530" s="172"/>
      <c r="D530" s="174"/>
      <c r="E530" s="172"/>
      <c r="F530" s="173">
        <v>600</v>
      </c>
      <c r="G530" s="612">
        <v>0</v>
      </c>
      <c r="H530" s="163"/>
      <c r="I530" s="161">
        <f t="shared" si="10"/>
        <v>0</v>
      </c>
    </row>
    <row r="531" spans="1:9" ht="31.5" x14ac:dyDescent="0.25">
      <c r="A531" s="157" t="str">
        <f>IF(B531&gt;0,VLOOKUP(B531,КВСР!A168:B1333,2),IF(C531&gt;0,VLOOKUP(C531,КФСР!A168:B1680,2),IF(D531&gt;0,VLOOKUP(D531,Программа!A$1:B$5100,2),IF(F531&gt;0,VLOOKUP(F531,КВР!A$1:B$5001,2),IF(E531&gt;0,VLOOKUP(E531,Направление!A$1:B$4830,2))))))</f>
        <v>Обеспечение эффективности управления системой образования</v>
      </c>
      <c r="B531" s="171"/>
      <c r="C531" s="172"/>
      <c r="D531" s="174" t="s">
        <v>2952</v>
      </c>
      <c r="E531" s="172"/>
      <c r="F531" s="173"/>
      <c r="G531" s="611">
        <v>28560017</v>
      </c>
      <c r="H531" s="161">
        <f>H532+H536+H538+H543+H546</f>
        <v>131056</v>
      </c>
      <c r="I531" s="161">
        <f t="shared" si="10"/>
        <v>28691073</v>
      </c>
    </row>
    <row r="532" spans="1:9" x14ac:dyDescent="0.25">
      <c r="A532" s="157" t="str">
        <f>IF(B532&gt;0,VLOOKUP(B532,КВСР!A169:B1334,2),IF(C532&gt;0,VLOOKUP(C532,КФСР!A169:B1681,2),IF(D532&gt;0,VLOOKUP(D532,Программа!A$1:B$5100,2),IF(F532&gt;0,VLOOKUP(F532,КВР!A$1:B$5001,2),IF(E532&gt;0,VLOOKUP(E532,Направление!A$1:B$4830,2))))))</f>
        <v>Содержание центрального аппарата</v>
      </c>
      <c r="B532" s="171"/>
      <c r="C532" s="172"/>
      <c r="D532" s="174"/>
      <c r="E532" s="172">
        <v>12010</v>
      </c>
      <c r="F532" s="155"/>
      <c r="G532" s="504">
        <v>5655112</v>
      </c>
      <c r="H532" s="159">
        <f>H533+H534+H535</f>
        <v>111056</v>
      </c>
      <c r="I532" s="161">
        <f t="shared" si="10"/>
        <v>5766168</v>
      </c>
    </row>
    <row r="533" spans="1:9" ht="126" x14ac:dyDescent="0.25">
      <c r="A533" s="157" t="str">
        <f>IF(B533&gt;0,VLOOKUP(B533,КВСР!A164:B1329,2),IF(C533&gt;0,VLOOKUP(C533,КФСР!A164:B1676,2),IF(D533&gt;0,VLOOKUP(D533,Программа!A$1:B$5100,2),IF(F533&gt;0,VLOOKUP(F533,КВР!A$1:B$5001,2),IF(E533&gt;0,VLOOKUP(E533,Направление!A$1:B$4830,2))))))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3" s="171"/>
      <c r="C533" s="172"/>
      <c r="D533" s="173"/>
      <c r="E533" s="172"/>
      <c r="F533" s="155">
        <v>100</v>
      </c>
      <c r="G533" s="502">
        <v>4822264</v>
      </c>
      <c r="H533" s="160">
        <f>76661+34395</f>
        <v>111056</v>
      </c>
      <c r="I533" s="161">
        <f t="shared" si="10"/>
        <v>4933320</v>
      </c>
    </row>
    <row r="534" spans="1:9" ht="63" x14ac:dyDescent="0.25">
      <c r="A534" s="157" t="str">
        <f>IF(B534&gt;0,VLOOKUP(B534,КВСР!A165:B1330,2),IF(C534&gt;0,VLOOKUP(C534,КФСР!A165:B1677,2),IF(D534&gt;0,VLOOKUP(D534,Программа!A$1:B$5100,2),IF(F534&gt;0,VLOOKUP(F534,КВР!A$1:B$5001,2),IF(E534&gt;0,VLOOKUP(E534,Направление!A$1:B$4830,2))))))</f>
        <v xml:space="preserve">Закупка товаров, работ и услуг для обеспечения государственных (муниципальных) нужд
</v>
      </c>
      <c r="B534" s="171"/>
      <c r="C534" s="172"/>
      <c r="D534" s="173"/>
      <c r="E534" s="172"/>
      <c r="F534" s="155">
        <v>200</v>
      </c>
      <c r="G534" s="502">
        <v>795748</v>
      </c>
      <c r="H534" s="160">
        <v>-1092</v>
      </c>
      <c r="I534" s="161">
        <f t="shared" si="10"/>
        <v>794656</v>
      </c>
    </row>
    <row r="535" spans="1:9" x14ac:dyDescent="0.25">
      <c r="A535" s="157" t="str">
        <f>IF(B535&gt;0,VLOOKUP(B535,КВСР!A166:B1331,2),IF(C535&gt;0,VLOOKUP(C535,КФСР!A166:B1678,2),IF(D535&gt;0,VLOOKUP(D535,Программа!A$1:B$5100,2),IF(F535&gt;0,VLOOKUP(F535,КВР!A$1:B$5001,2),IF(E535&gt;0,VLOOKUP(E535,Направление!A$1:B$4830,2))))))</f>
        <v>Иные бюджетные ассигнования</v>
      </c>
      <c r="B535" s="171"/>
      <c r="C535" s="172"/>
      <c r="D535" s="173"/>
      <c r="E535" s="172"/>
      <c r="F535" s="155">
        <v>800</v>
      </c>
      <c r="G535" s="502">
        <v>37100</v>
      </c>
      <c r="H535" s="160">
        <v>1092</v>
      </c>
      <c r="I535" s="161">
        <f t="shared" si="10"/>
        <v>38192</v>
      </c>
    </row>
    <row r="536" spans="1:9" ht="31.5" hidden="1" x14ac:dyDescent="0.25">
      <c r="A536" s="157" t="str">
        <f>IF(B536&gt;0,VLOOKUP(B536,КВСР!A166:B1331,2),IF(C536&gt;0,VLOOKUP(C536,КФСР!A166:B1678,2),IF(D536&gt;0,VLOOKUP(D536,Программа!A$1:B$5100,2),IF(F536&gt;0,VLOOKUP(F536,КВР!A$1:B$5001,2),IF(E536&gt;0,VLOOKUP(E536,Направление!A$1:B$4830,2))))))</f>
        <v>Выполнение других обязательств органов местного самоуправления</v>
      </c>
      <c r="B536" s="171"/>
      <c r="C536" s="172"/>
      <c r="D536" s="174"/>
      <c r="E536" s="172">
        <v>12080</v>
      </c>
      <c r="F536" s="155"/>
      <c r="G536" s="504">
        <v>0</v>
      </c>
      <c r="H536" s="159">
        <f>H537</f>
        <v>0</v>
      </c>
      <c r="I536" s="161">
        <f t="shared" si="10"/>
        <v>0</v>
      </c>
    </row>
    <row r="537" spans="1:9" ht="63" hidden="1" x14ac:dyDescent="0.25">
      <c r="A537" s="157" t="str">
        <f>IF(B537&gt;0,VLOOKUP(B537,КВСР!A167:B1332,2),IF(C537&gt;0,VLOOKUP(C537,КФСР!A167:B1679,2),IF(D537&gt;0,VLOOKUP(D537,Программа!A$1:B$5100,2),IF(F537&gt;0,VLOOKUP(F537,КВР!A$1:B$5001,2),IF(E537&gt;0,VLOOKUP(E537,Направление!A$1:B$4830,2))))))</f>
        <v xml:space="preserve">Закупка товаров, работ и услуг для обеспечения государственных (муниципальных) нужд
</v>
      </c>
      <c r="B537" s="171"/>
      <c r="C537" s="172"/>
      <c r="D537" s="173"/>
      <c r="E537" s="172"/>
      <c r="F537" s="155">
        <v>200</v>
      </c>
      <c r="G537" s="502">
        <v>0</v>
      </c>
      <c r="H537" s="160"/>
      <c r="I537" s="161">
        <f t="shared" si="10"/>
        <v>0</v>
      </c>
    </row>
    <row r="538" spans="1:9" ht="31.5" x14ac:dyDescent="0.25">
      <c r="A538" s="157" t="str">
        <f>IF(B538&gt;0,VLOOKUP(B538,КВСР!A168:B1333,2),IF(C538&gt;0,VLOOKUP(C538,КФСР!A168:B1680,2),IF(D538&gt;0,VLOOKUP(D538,Программа!A$1:B$5100,2),IF(F538&gt;0,VLOOKUP(F538,КВР!A$1:B$5001,2),IF(E538&gt;0,VLOOKUP(E538,Направление!A$1:B$4830,2))))))</f>
        <v>Обеспечение деятельности прочих учреждений в сфере образования</v>
      </c>
      <c r="B538" s="171"/>
      <c r="C538" s="172"/>
      <c r="D538" s="174"/>
      <c r="E538" s="172">
        <v>13310</v>
      </c>
      <c r="F538" s="173"/>
      <c r="G538" s="611">
        <v>18846512</v>
      </c>
      <c r="H538" s="161">
        <f>H539+H540+H541+H542</f>
        <v>20000</v>
      </c>
      <c r="I538" s="161">
        <f t="shared" si="10"/>
        <v>18866512</v>
      </c>
    </row>
    <row r="539" spans="1:9" ht="126" x14ac:dyDescent="0.25">
      <c r="A539" s="157" t="str">
        <f>IF(B539&gt;0,VLOOKUP(B539,КВСР!A169:B1334,2),IF(C539&gt;0,VLOOKUP(C539,КФСР!A169:B1681,2),IF(D539&gt;0,VLOOKUP(D539,Программа!A$1:B$5100,2),IF(F539&gt;0,VLOOKUP(F539,КВР!A$1:B$5001,2),IF(E539&gt;0,VLOOKUP(E539,Направление!A$1:B$4830,2))))))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9" s="171"/>
      <c r="C539" s="172"/>
      <c r="D539" s="173"/>
      <c r="E539" s="172"/>
      <c r="F539" s="173">
        <v>100</v>
      </c>
      <c r="G539" s="521">
        <v>17522537</v>
      </c>
      <c r="H539" s="162">
        <f>-26073+2400+286073</f>
        <v>262400</v>
      </c>
      <c r="I539" s="161">
        <f t="shared" si="10"/>
        <v>17784937</v>
      </c>
    </row>
    <row r="540" spans="1:9" ht="63" x14ac:dyDescent="0.25">
      <c r="A540" s="157" t="str">
        <f>IF(B540&gt;0,VLOOKUP(B540,КВСР!A170:B1335,2),IF(C540&gt;0,VLOOKUP(C540,КФСР!A170:B1682,2),IF(D540&gt;0,VLOOKUP(D540,Программа!A$1:B$5100,2),IF(F540&gt;0,VLOOKUP(F540,КВР!A$1:B$5001,2),IF(E540&gt;0,VLOOKUP(E540,Направление!A$1:B$4830,2))))))</f>
        <v xml:space="preserve">Закупка товаров, работ и услуг для обеспечения государственных (муниципальных) нужд
</v>
      </c>
      <c r="B540" s="171"/>
      <c r="C540" s="172"/>
      <c r="D540" s="173"/>
      <c r="E540" s="172"/>
      <c r="F540" s="173">
        <v>200</v>
      </c>
      <c r="G540" s="521">
        <v>1303275</v>
      </c>
      <c r="H540" s="162">
        <v>-255591</v>
      </c>
      <c r="I540" s="161">
        <f t="shared" si="10"/>
        <v>1047684</v>
      </c>
    </row>
    <row r="541" spans="1:9" ht="63" hidden="1" x14ac:dyDescent="0.25">
      <c r="A541" s="157" t="str">
        <f>IF(B541&gt;0,VLOOKUP(B541,КВСР!A171:B1336,2),IF(C541&gt;0,VLOOKUP(C541,КФСР!A171:B1683,2),IF(D541&gt;0,VLOOKUP(D541,Программа!A$1:B$5100,2),IF(F541&gt;0,VLOOKUP(F541,КВР!A$1:B$5001,2),IF(E541&gt;0,VLOOKUP(E541,Направление!A$1:B$4830,2))))))</f>
        <v>Предоставление субсидий бюджетным, автономным учреждениям и иным некоммерческим организациям</v>
      </c>
      <c r="B541" s="171"/>
      <c r="C541" s="172"/>
      <c r="D541" s="173"/>
      <c r="E541" s="172"/>
      <c r="F541" s="173">
        <v>600</v>
      </c>
      <c r="G541" s="521">
        <v>0</v>
      </c>
      <c r="H541" s="162"/>
      <c r="I541" s="161">
        <f t="shared" si="10"/>
        <v>0</v>
      </c>
    </row>
    <row r="542" spans="1:9" x14ac:dyDescent="0.25">
      <c r="A542" s="157" t="str">
        <f>IF(B542&gt;0,VLOOKUP(B542,КВСР!A172:B1337,2),IF(C542&gt;0,VLOOKUP(C542,КФСР!A172:B1684,2),IF(D542&gt;0,VLOOKUP(D542,Программа!A$1:B$5100,2),IF(F542&gt;0,VLOOKUP(F542,КВР!A$1:B$5001,2),IF(E542&gt;0,VLOOKUP(E542,Направление!A$1:B$4830,2))))))</f>
        <v>Иные бюджетные ассигнования</v>
      </c>
      <c r="B542" s="171"/>
      <c r="C542" s="172"/>
      <c r="D542" s="173"/>
      <c r="E542" s="172"/>
      <c r="F542" s="173">
        <v>800</v>
      </c>
      <c r="G542" s="521">
        <v>20700</v>
      </c>
      <c r="H542" s="162">
        <f>12507-1500+2184</f>
        <v>13191</v>
      </c>
      <c r="I542" s="161">
        <f t="shared" si="10"/>
        <v>33891</v>
      </c>
    </row>
    <row r="543" spans="1:9" ht="47.25" x14ac:dyDescent="0.25">
      <c r="A543" s="157" t="str">
        <f>IF(B543&gt;0,VLOOKUP(B543,КВСР!A168:B1333,2),IF(C543&gt;0,VLOOKUP(C543,КФСР!A168:B1680,2),IF(D543&gt;0,VLOOKUP(D543,Программа!A$1:B$5100,2),IF(F543&gt;0,VLOOKUP(F543,КВР!A$1:B$5001,2),IF(E543&gt;0,VLOOKUP(E543,Направление!A$1:B$4830,2))))))</f>
        <v>Содержание органов местного самоуправления за счет средств поселений</v>
      </c>
      <c r="B543" s="171"/>
      <c r="C543" s="172"/>
      <c r="D543" s="174"/>
      <c r="E543" s="172">
        <v>29016</v>
      </c>
      <c r="F543" s="155"/>
      <c r="G543" s="504">
        <v>60399</v>
      </c>
      <c r="H543" s="159">
        <f>H545+H544</f>
        <v>0</v>
      </c>
      <c r="I543" s="161">
        <f t="shared" si="10"/>
        <v>60399</v>
      </c>
    </row>
    <row r="544" spans="1:9" ht="126" x14ac:dyDescent="0.25">
      <c r="A544" s="157" t="str">
        <f>IF(B544&gt;0,VLOOKUP(B544,КВСР!A169:B1334,2),IF(C544&gt;0,VLOOKUP(C544,КФСР!A169:B1681,2),IF(D544&gt;0,VLOOKUP(D544,Программа!A$1:B$5100,2),IF(F544&gt;0,VLOOKUP(F544,КВР!A$1:B$5001,2),IF(E544&gt;0,VLOOKUP(E544,Направление!A$1:B$4830,2))))))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4" s="171"/>
      <c r="C544" s="172"/>
      <c r="D544" s="174"/>
      <c r="E544" s="172"/>
      <c r="F544" s="155">
        <v>100</v>
      </c>
      <c r="G544" s="617">
        <v>54908</v>
      </c>
      <c r="H544" s="175"/>
      <c r="I544" s="161">
        <f t="shared" si="10"/>
        <v>54908</v>
      </c>
    </row>
    <row r="545" spans="1:9" ht="63" x14ac:dyDescent="0.25">
      <c r="A545" s="157" t="str">
        <f>IF(B545&gt;0,VLOOKUP(B545,КВСР!A170:B1335,2),IF(C545&gt;0,VLOOKUP(C545,КФСР!A170:B1682,2),IF(D545&gt;0,VLOOKUP(D545,Программа!A$1:B$5100,2),IF(F545&gt;0,VLOOKUP(F545,КВР!A$1:B$5001,2),IF(E545&gt;0,VLOOKUP(E545,Направление!A$1:B$4830,2))))))</f>
        <v xml:space="preserve">Закупка товаров, работ и услуг для обеспечения государственных (муниципальных) нужд
</v>
      </c>
      <c r="B545" s="171"/>
      <c r="C545" s="172"/>
      <c r="D545" s="173"/>
      <c r="E545" s="172"/>
      <c r="F545" s="155">
        <v>200</v>
      </c>
      <c r="G545" s="502">
        <v>5491</v>
      </c>
      <c r="H545" s="160"/>
      <c r="I545" s="161">
        <f t="shared" si="10"/>
        <v>5491</v>
      </c>
    </row>
    <row r="546" spans="1:9" ht="47.25" x14ac:dyDescent="0.25">
      <c r="A546" s="157" t="str">
        <f>IF(B546&gt;0,VLOOKUP(B546,КВСР!A168:B1333,2),IF(C546&gt;0,VLOOKUP(C546,КФСР!A168:B1680,2),IF(D546&gt;0,VLOOKUP(D546,Программа!A$1:B$5100,2),IF(F546&gt;0,VLOOKUP(F546,КВР!A$1:B$5001,2),IF(E546&gt;0,VLOOKUP(E546,Направление!A$1:B$4830,2))))))</f>
        <v>Расходы на обеспечение деятельности органов опеки и попечительства за счет средств областного бюджета</v>
      </c>
      <c r="B546" s="171"/>
      <c r="C546" s="172"/>
      <c r="D546" s="174"/>
      <c r="E546" s="172">
        <v>70550</v>
      </c>
      <c r="F546" s="155"/>
      <c r="G546" s="611">
        <v>3997994</v>
      </c>
      <c r="H546" s="161">
        <f>H547+H548+H549</f>
        <v>0</v>
      </c>
      <c r="I546" s="161">
        <f t="shared" si="10"/>
        <v>3997994</v>
      </c>
    </row>
    <row r="547" spans="1:9" ht="126" x14ac:dyDescent="0.25">
      <c r="A547" s="157" t="str">
        <f>IF(B547&gt;0,VLOOKUP(B547,КВСР!A169:B1334,2),IF(C547&gt;0,VLOOKUP(C547,КФСР!A169:B1681,2),IF(D547&gt;0,VLOOKUP(D547,Программа!A$1:B$5100,2),IF(F547&gt;0,VLOOKUP(F547,КВР!A$1:B$5001,2),IF(E547&gt;0,VLOOKUP(E547,Направление!A$1:B$4830,2))))))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7" s="171"/>
      <c r="C547" s="172"/>
      <c r="D547" s="173"/>
      <c r="E547" s="172"/>
      <c r="F547" s="155">
        <v>100</v>
      </c>
      <c r="G547" s="521">
        <v>3114423</v>
      </c>
      <c r="H547" s="162"/>
      <c r="I547" s="161">
        <f t="shared" si="10"/>
        <v>3114423</v>
      </c>
    </row>
    <row r="548" spans="1:9" ht="63" x14ac:dyDescent="0.25">
      <c r="A548" s="157" t="str">
        <f>IF(B548&gt;0,VLOOKUP(B548,КВСР!A170:B1335,2),IF(C548&gt;0,VLOOKUP(C548,КФСР!A170:B1682,2),IF(D548&gt;0,VLOOKUP(D548,Программа!A$1:B$5100,2),IF(F548&gt;0,VLOOKUP(F548,КВР!A$1:B$5001,2),IF(E548&gt;0,VLOOKUP(E548,Направление!A$1:B$4830,2))))))</f>
        <v xml:space="preserve">Закупка товаров, работ и услуг для обеспечения государственных (муниципальных) нужд
</v>
      </c>
      <c r="B548" s="171"/>
      <c r="C548" s="172"/>
      <c r="D548" s="173"/>
      <c r="E548" s="172"/>
      <c r="F548" s="155">
        <v>200</v>
      </c>
      <c r="G548" s="502">
        <v>878571</v>
      </c>
      <c r="H548" s="160"/>
      <c r="I548" s="161">
        <f t="shared" si="10"/>
        <v>878571</v>
      </c>
    </row>
    <row r="549" spans="1:9" x14ac:dyDescent="0.25">
      <c r="A549" s="157" t="str">
        <f>IF(B549&gt;0,VLOOKUP(B549,КВСР!A171:B1336,2),IF(C549&gt;0,VLOOKUP(C549,КФСР!A171:B1683,2),IF(D549&gt;0,VLOOKUP(D549,Программа!A$1:B$5100,2),IF(F549&gt;0,VLOOKUP(F549,КВР!A$1:B$5001,2),IF(E549&gt;0,VLOOKUP(E549,Направление!A$1:B$4830,2))))))</f>
        <v>Иные бюджетные ассигнования</v>
      </c>
      <c r="B549" s="171"/>
      <c r="C549" s="172"/>
      <c r="D549" s="173"/>
      <c r="E549" s="172"/>
      <c r="F549" s="155">
        <v>800</v>
      </c>
      <c r="G549" s="502">
        <v>5000</v>
      </c>
      <c r="H549" s="160"/>
      <c r="I549" s="161">
        <f t="shared" si="10"/>
        <v>5000</v>
      </c>
    </row>
    <row r="550" spans="1:9" ht="63" x14ac:dyDescent="0.25">
      <c r="A550" s="157" t="str">
        <f>IF(B550&gt;0,VLOOKUP(B550,КВСР!A176:B1341,2),IF(C550&gt;0,VLOOKUP(C550,КФСР!A176:B1688,2),IF(D550&gt;0,VLOOKUP(D550,Программа!A$1:B$5100,2),IF(F550&gt;0,VLOOKUP(F550,КВР!A$1:B$5001,2),IF(E550&gt;0,VLOOKUP(E550,Направление!A$1:B$4830,2))))))</f>
        <v>Муниципальная целевая программа "Духовно-нравственное воспитание и просвещение населения Тутаевского муниципального района"</v>
      </c>
      <c r="B550" s="171"/>
      <c r="C550" s="172"/>
      <c r="D550" s="174" t="s">
        <v>740</v>
      </c>
      <c r="E550" s="172"/>
      <c r="F550" s="173"/>
      <c r="G550" s="611">
        <v>56000</v>
      </c>
      <c r="H550" s="161">
        <f>H552</f>
        <v>0</v>
      </c>
      <c r="I550" s="161">
        <f t="shared" si="10"/>
        <v>56000</v>
      </c>
    </row>
    <row r="551" spans="1:9" ht="63" x14ac:dyDescent="0.25">
      <c r="A551" s="157" t="str">
        <f>IF(B551&gt;0,VLOOKUP(B551,КВСР!A177:B1342,2),IF(C551&gt;0,VLOOKUP(C551,КФСР!A177:B1689,2),IF(D551&gt;0,VLOOKUP(D551,Программа!A$1:B$5100,2),IF(F551&gt;0,VLOOKUP(F551,КВР!A$1:B$5001,2),IF(E551&gt;0,VLOOKUP(E551,Направление!A$1:B$4830,2))))))</f>
        <v>Реализация мер по созданию целостной системы духовно-нравственного воспитания и просвещения населения</v>
      </c>
      <c r="B551" s="171"/>
      <c r="C551" s="172"/>
      <c r="D551" s="174" t="s">
        <v>742</v>
      </c>
      <c r="E551" s="172"/>
      <c r="F551" s="173"/>
      <c r="G551" s="611">
        <v>56000</v>
      </c>
      <c r="H551" s="161">
        <f>H552</f>
        <v>0</v>
      </c>
      <c r="I551" s="161">
        <f t="shared" si="10"/>
        <v>56000</v>
      </c>
    </row>
    <row r="552" spans="1:9" ht="47.25" x14ac:dyDescent="0.25">
      <c r="A552" s="157" t="str">
        <f>IF(B552&gt;0,VLOOKUP(B552,КВСР!A177:B1342,2),IF(C552&gt;0,VLOOKUP(C552,КФСР!A177:B1689,2),IF(D552&gt;0,VLOOKUP(D552,Программа!A$1:B$5100,2),IF(F552&gt;0,VLOOKUP(F552,КВР!A$1:B$5001,2),IF(E552&gt;0,VLOOKUP(E552,Направление!A$1:B$4830,2))))))</f>
        <v>Расходы на реализацию МЦП "Духовно - нравственное воспитание и просвещение населения ТМР"</v>
      </c>
      <c r="B552" s="171"/>
      <c r="C552" s="172"/>
      <c r="D552" s="174"/>
      <c r="E552" s="172">
        <v>13810</v>
      </c>
      <c r="F552" s="173"/>
      <c r="G552" s="611">
        <v>56000</v>
      </c>
      <c r="H552" s="161">
        <f>H553</f>
        <v>0</v>
      </c>
      <c r="I552" s="161">
        <f t="shared" si="10"/>
        <v>56000</v>
      </c>
    </row>
    <row r="553" spans="1:9" ht="63" x14ac:dyDescent="0.25">
      <c r="A553" s="157" t="str">
        <f>IF(B553&gt;0,VLOOKUP(B553,КВСР!A178:B1343,2),IF(C553&gt;0,VLOOKUP(C553,КФСР!A178:B1690,2),IF(D553&gt;0,VLOOKUP(D553,Программа!A$1:B$5100,2),IF(F553&gt;0,VLOOKUP(F553,КВР!A$1:B$5001,2),IF(E553&gt;0,VLOOKUP(E553,Направление!A$1:B$4830,2))))))</f>
        <v>Предоставление субсидий бюджетным, автономным учреждениям и иным некоммерческим организациям</v>
      </c>
      <c r="B553" s="171"/>
      <c r="C553" s="172"/>
      <c r="D553" s="174"/>
      <c r="E553" s="172"/>
      <c r="F553" s="173">
        <v>600</v>
      </c>
      <c r="G553" s="521">
        <v>56000</v>
      </c>
      <c r="H553" s="162"/>
      <c r="I553" s="161">
        <f t="shared" si="10"/>
        <v>56000</v>
      </c>
    </row>
    <row r="554" spans="1:9" ht="47.25" x14ac:dyDescent="0.25">
      <c r="A554" s="157" t="str">
        <f>IF(B554&gt;0,VLOOKUP(B554,КВСР!A179:B1344,2),IF(C554&gt;0,VLOOKUP(C554,КФСР!A179:B1691,2),IF(D554&gt;0,VLOOKUP(D554,Программа!A$1:B$5100,2),IF(F554&gt;0,VLOOKUP(F554,КВР!A$1:B$5001,2),IF(E554&gt;0,VLOOKUP(E554,Направление!A$1:B$4830,2))))))</f>
        <v>Муниципальная программа "Социальная поддержка населения Тутаевского муниципального района"</v>
      </c>
      <c r="B554" s="171"/>
      <c r="C554" s="172"/>
      <c r="D554" s="174" t="s">
        <v>695</v>
      </c>
      <c r="E554" s="172"/>
      <c r="F554" s="173"/>
      <c r="G554" s="611">
        <v>15500</v>
      </c>
      <c r="H554" s="161">
        <f>H555</f>
        <v>3100</v>
      </c>
      <c r="I554" s="161">
        <f t="shared" si="10"/>
        <v>18600</v>
      </c>
    </row>
    <row r="555" spans="1:9" ht="63" x14ac:dyDescent="0.25">
      <c r="A555" s="157" t="str">
        <f>IF(B555&gt;0,VLOOKUP(B555,КВСР!A182:B1347,2),IF(C555&gt;0,VLOOKUP(C555,КФСР!A182:B1694,2),IF(D555&gt;0,VLOOKUP(D555,Программа!A$1:B$5100,2),IF(F555&gt;0,VLOOKUP(F555,КВР!A$1:B$5001,2),IF(E555&gt;0,VLOOKUP(E555,Направление!A$1:B$4830,2))))))</f>
        <v>Муниципальная целевая программа "Улучшение условий и охраны труда" по Тутаевскому муниципальному району</v>
      </c>
      <c r="B555" s="171"/>
      <c r="C555" s="172"/>
      <c r="D555" s="174" t="s">
        <v>697</v>
      </c>
      <c r="E555" s="172"/>
      <c r="F555" s="173"/>
      <c r="G555" s="611">
        <v>15500</v>
      </c>
      <c r="H555" s="161">
        <f>H557+H559</f>
        <v>3100</v>
      </c>
      <c r="I555" s="161">
        <f t="shared" si="10"/>
        <v>18600</v>
      </c>
    </row>
    <row r="556" spans="1:9" ht="63" x14ac:dyDescent="0.25">
      <c r="A556" s="157" t="str">
        <f>IF(B556&gt;0,VLOOKUP(B556,КВСР!A183:B1348,2),IF(C556&gt;0,VLOOKUP(C556,КФСР!A183:B1695,2),IF(D556&gt;0,VLOOKUP(D556,Программа!A$1:B$5100,2),IF(F556&gt;0,VLOOKUP(F556,КВР!A$1:B$5001,2),IF(E556&gt;0,VLOOKUP(E556,Направление!A$1:B$4830,2))))))</f>
        <v>Специальная оценка условий труда работающих в организациях расположенных на территории Тутаевского муниципального района</v>
      </c>
      <c r="B556" s="171"/>
      <c r="C556" s="172"/>
      <c r="D556" s="174" t="s">
        <v>698</v>
      </c>
      <c r="E556" s="172"/>
      <c r="F556" s="173"/>
      <c r="G556" s="611">
        <v>13100</v>
      </c>
      <c r="H556" s="611">
        <f>H557</f>
        <v>0</v>
      </c>
      <c r="I556" s="161">
        <f t="shared" si="10"/>
        <v>13100</v>
      </c>
    </row>
    <row r="557" spans="1:9" ht="31.5" x14ac:dyDescent="0.25">
      <c r="A557" s="157" t="str">
        <f>IF(B557&gt;0,VLOOKUP(B557,КВСР!A183:B1348,2),IF(C557&gt;0,VLOOKUP(C557,КФСР!A183:B1695,2),IF(D557&gt;0,VLOOKUP(D557,Программа!A$1:B$5100,2),IF(F557&gt;0,VLOOKUP(F557,КВР!A$1:B$5001,2),IF(E557&gt;0,VLOOKUP(E557,Направление!A$1:B$4830,2))))))</f>
        <v>Расходы на реализацию МЦП "Улучшение условий и охраны труда"</v>
      </c>
      <c r="B557" s="171"/>
      <c r="C557" s="172"/>
      <c r="D557" s="174"/>
      <c r="E557" s="172">
        <v>16150</v>
      </c>
      <c r="F557" s="173"/>
      <c r="G557" s="611">
        <v>13100</v>
      </c>
      <c r="H557" s="161">
        <f>H558</f>
        <v>0</v>
      </c>
      <c r="I557" s="161">
        <f t="shared" si="10"/>
        <v>13100</v>
      </c>
    </row>
    <row r="558" spans="1:9" ht="63" x14ac:dyDescent="0.25">
      <c r="A558" s="157" t="str">
        <f>IF(B558&gt;0,VLOOKUP(B558,КВСР!A184:B1349,2),IF(C558&gt;0,VLOOKUP(C558,КФСР!A184:B1696,2),IF(D558&gt;0,VLOOKUP(D558,Программа!A$1:B$5100,2),IF(F558&gt;0,VLOOKUP(F558,КВР!A$1:B$5001,2),IF(E558&gt;0,VLOOKUP(E558,Направление!A$1:B$4830,2))))))</f>
        <v>Предоставление субсидий бюджетным, автономным учреждениям и иным некоммерческим организациям</v>
      </c>
      <c r="B558" s="171"/>
      <c r="C558" s="172"/>
      <c r="D558" s="174"/>
      <c r="E558" s="172"/>
      <c r="F558" s="173">
        <v>600</v>
      </c>
      <c r="G558" s="521">
        <v>13100</v>
      </c>
      <c r="H558" s="162"/>
      <c r="I558" s="161">
        <f t="shared" si="10"/>
        <v>13100</v>
      </c>
    </row>
    <row r="559" spans="1:9" ht="47.25" x14ac:dyDescent="0.25">
      <c r="A559" s="157" t="str">
        <f>IF(B559&gt;0,VLOOKUP(B559,КВСР!A185:B1350,2),IF(C559&gt;0,VLOOKUP(C559,КФСР!A185:B1697,2),IF(D559&gt;0,VLOOKUP(D559,Программа!A$1:B$5100,2),IF(F559&gt;0,VLOOKUP(F559,КВР!A$1:B$5001,2),IF(E559&gt;0,VLOOKUP(E559,Направление!A$1:B$4830,2))))))</f>
        <v>Обучение по охране труда работников организаций Тутаевского муниципального района</v>
      </c>
      <c r="B559" s="171"/>
      <c r="C559" s="172"/>
      <c r="D559" s="174" t="s">
        <v>2927</v>
      </c>
      <c r="E559" s="172"/>
      <c r="F559" s="173"/>
      <c r="G559" s="521">
        <v>2400</v>
      </c>
      <c r="H559" s="521">
        <f>H560</f>
        <v>3100</v>
      </c>
      <c r="I559" s="161">
        <f t="shared" si="10"/>
        <v>5500</v>
      </c>
    </row>
    <row r="560" spans="1:9" ht="31.5" x14ac:dyDescent="0.25">
      <c r="A560" s="157" t="str">
        <f>IF(B560&gt;0,VLOOKUP(B560,КВСР!A186:B1351,2),IF(C560&gt;0,VLOOKUP(C560,КФСР!A186:B1698,2),IF(D560&gt;0,VLOOKUP(D560,Программа!A$1:B$5100,2),IF(F560&gt;0,VLOOKUP(F560,КВР!A$1:B$5001,2),IF(E560&gt;0,VLOOKUP(E560,Направление!A$1:B$4830,2))))))</f>
        <v>Расходы на реализацию МЦП "Улучшение условий и охраны труда"</v>
      </c>
      <c r="B560" s="171"/>
      <c r="C560" s="172"/>
      <c r="D560" s="174"/>
      <c r="E560" s="172">
        <v>16150</v>
      </c>
      <c r="F560" s="173"/>
      <c r="G560" s="521">
        <v>2400</v>
      </c>
      <c r="H560" s="521">
        <f>H561+H562</f>
        <v>3100</v>
      </c>
      <c r="I560" s="161">
        <f t="shared" si="10"/>
        <v>5500</v>
      </c>
    </row>
    <row r="561" spans="1:9" ht="63" x14ac:dyDescent="0.25">
      <c r="A561" s="157" t="str">
        <f>IF(B561&gt;0,VLOOKUP(B561,КВСР!A187:B1352,2),IF(C561&gt;0,VLOOKUP(C561,КФСР!A187:B1699,2),IF(D561&gt;0,VLOOKUP(D561,Программа!A$1:B$5100,2),IF(F561&gt;0,VLOOKUP(F561,КВР!A$1:B$5001,2),IF(E561&gt;0,VLOOKUP(E561,Направление!A$1:B$4830,2))))))</f>
        <v xml:space="preserve">Закупка товаров, работ и услуг для обеспечения государственных (муниципальных) нужд
</v>
      </c>
      <c r="B561" s="171"/>
      <c r="C561" s="172"/>
      <c r="D561" s="174"/>
      <c r="E561" s="172"/>
      <c r="F561" s="173">
        <v>200</v>
      </c>
      <c r="G561" s="521"/>
      <c r="H561" s="521">
        <v>3100</v>
      </c>
      <c r="I561" s="161">
        <f t="shared" si="10"/>
        <v>3100</v>
      </c>
    </row>
    <row r="562" spans="1:9" ht="63" x14ac:dyDescent="0.25">
      <c r="A562" s="157" t="str">
        <f>IF(B562&gt;0,VLOOKUP(B562,КВСР!A187:B1352,2),IF(C562&gt;0,VLOOKUP(C562,КФСР!A187:B1699,2),IF(D562&gt;0,VLOOKUP(D562,Программа!A$1:B$5100,2),IF(F562&gt;0,VLOOKUP(F562,КВР!A$1:B$5001,2),IF(E562&gt;0,VLOOKUP(E562,Направление!A$1:B$4830,2))))))</f>
        <v>Предоставление субсидий бюджетным, автономным учреждениям и иным некоммерческим организациям</v>
      </c>
      <c r="B562" s="171"/>
      <c r="C562" s="172"/>
      <c r="D562" s="174"/>
      <c r="E562" s="172"/>
      <c r="F562" s="173">
        <v>600</v>
      </c>
      <c r="G562" s="521">
        <v>2400</v>
      </c>
      <c r="H562" s="162"/>
      <c r="I562" s="161">
        <f t="shared" si="10"/>
        <v>2400</v>
      </c>
    </row>
    <row r="563" spans="1:9" ht="63" hidden="1" x14ac:dyDescent="0.25">
      <c r="A563" s="157" t="str">
        <f>IF(B563&gt;0,VLOOKUP(B563,КВСР!A185:B1350,2),IF(C563&gt;0,VLOOKUP(C563,КФСР!A185:B1697,2),IF(D563&gt;0,VLOOKUP(D563,Программа!A$1:B$5100,2),IF(F563&gt;0,VLOOKUP(F563,КВР!A$1:B$5001,2),IF(E563&gt;0,VLOOKUP(E563,Направление!A$1:B$4830,2))))))</f>
        <v>Муниципальная программа "Информатизация управленческой деятельности Администрации Тутаевского муниципального района"</v>
      </c>
      <c r="B563" s="171"/>
      <c r="C563" s="172"/>
      <c r="D563" s="174" t="s">
        <v>642</v>
      </c>
      <c r="E563" s="172"/>
      <c r="F563" s="173"/>
      <c r="G563" s="611">
        <v>0</v>
      </c>
      <c r="H563" s="491">
        <f>H564</f>
        <v>0</v>
      </c>
      <c r="I563" s="161">
        <f t="shared" si="10"/>
        <v>0</v>
      </c>
    </row>
    <row r="564" spans="1:9" ht="63" hidden="1" x14ac:dyDescent="0.25">
      <c r="A564" s="157" t="str">
        <f>IF(B564&gt;0,VLOOKUP(B564,КВСР!A186:B1351,2),IF(C564&gt;0,VLOOKUP(C564,КФСР!A186:B1698,2),IF(D564&gt;0,VLOOKUP(D564,Программа!A$1:B$5100,2),IF(F564&gt;0,VLOOKUP(F564,КВР!A$1:B$5001,2),IF(E564&gt;0,VLOOKUP(E564,Направление!A$1:B$4830,2))))))</f>
        <v>Закупка компьютерного оборудования  и оргтехники для бесперебойного обеспечения деятельности органов местного самоуправления</v>
      </c>
      <c r="B564" s="171"/>
      <c r="C564" s="172"/>
      <c r="D564" s="174" t="s">
        <v>644</v>
      </c>
      <c r="E564" s="172"/>
      <c r="F564" s="173"/>
      <c r="G564" s="611">
        <v>0</v>
      </c>
      <c r="H564" s="491">
        <f>H565</f>
        <v>0</v>
      </c>
      <c r="I564" s="161">
        <f t="shared" si="10"/>
        <v>0</v>
      </c>
    </row>
    <row r="565" spans="1:9" ht="31.5" hidden="1" x14ac:dyDescent="0.25">
      <c r="A565" s="157" t="str">
        <f>IF(B565&gt;0,VLOOKUP(B565,КВСР!A187:B1352,2),IF(C565&gt;0,VLOOKUP(C565,КФСР!A187:B1699,2),IF(D565&gt;0,VLOOKUP(D565,Программа!A$1:B$5100,2),IF(F565&gt;0,VLOOKUP(F565,КВР!A$1:B$5001,2),IF(E565&gt;0,VLOOKUP(E565,Направление!A$1:B$4830,2))))))</f>
        <v>Расходы на проведение мероприятий по информатизации</v>
      </c>
      <c r="B565" s="171"/>
      <c r="C565" s="172"/>
      <c r="D565" s="174"/>
      <c r="E565" s="172">
        <v>12210</v>
      </c>
      <c r="F565" s="173"/>
      <c r="G565" s="611">
        <v>0</v>
      </c>
      <c r="H565" s="491">
        <f>H566</f>
        <v>0</v>
      </c>
      <c r="I565" s="161">
        <f t="shared" si="10"/>
        <v>0</v>
      </c>
    </row>
    <row r="566" spans="1:9" ht="63" hidden="1" x14ac:dyDescent="0.25">
      <c r="A566" s="157" t="str">
        <f>IF(B566&gt;0,VLOOKUP(B566,КВСР!A188:B1353,2),IF(C566&gt;0,VLOOKUP(C566,КФСР!A188:B1700,2),IF(D566&gt;0,VLOOKUP(D566,Программа!A$1:B$5100,2),IF(F566&gt;0,VLOOKUP(F566,КВР!A$1:B$5001,2),IF(E566&gt;0,VLOOKUP(E566,Направление!A$1:B$4830,2))))))</f>
        <v xml:space="preserve">Закупка товаров, работ и услуг для обеспечения государственных (муниципальных) нужд
</v>
      </c>
      <c r="B566" s="171"/>
      <c r="C566" s="172"/>
      <c r="D566" s="174"/>
      <c r="E566" s="172"/>
      <c r="F566" s="173">
        <v>200</v>
      </c>
      <c r="G566" s="521">
        <v>0</v>
      </c>
      <c r="H566" s="162"/>
      <c r="I566" s="161">
        <f t="shared" si="10"/>
        <v>0</v>
      </c>
    </row>
    <row r="567" spans="1:9" ht="63" x14ac:dyDescent="0.25">
      <c r="A567" s="157" t="str">
        <f>IF(B567&gt;0,VLOOKUP(B567,КВСР!A185:B1350,2),IF(C567&gt;0,VLOOKUP(C567,КФСР!A185:B1697,2),IF(D567&gt;0,VLOOKUP(D567,Программа!A$1:B$5100,2),IF(F567&gt;0,VLOOKUP(F567,КВР!A$1:B$5001,2),IF(E567&gt;0,VLOOKUP(E567,Направление!A$1:B$4830,2))))))</f>
        <v>Муниципальная программа "Профилактика правонарушений и усиление борьбы с преступностью в Тутаевском муниципальном районе"</v>
      </c>
      <c r="B567" s="171"/>
      <c r="C567" s="172"/>
      <c r="D567" s="174" t="s">
        <v>748</v>
      </c>
      <c r="E567" s="172"/>
      <c r="F567" s="173"/>
      <c r="G567" s="611">
        <v>63000</v>
      </c>
      <c r="H567" s="161">
        <f>H568</f>
        <v>0</v>
      </c>
      <c r="I567" s="161">
        <f t="shared" si="10"/>
        <v>63000</v>
      </c>
    </row>
    <row r="568" spans="1:9" ht="31.5" x14ac:dyDescent="0.25">
      <c r="A568" s="157" t="str">
        <f>IF(B568&gt;0,VLOOKUP(B568,КВСР!A186:B1351,2),IF(C568&gt;0,VLOOKUP(C568,КФСР!A186:B1698,2),IF(D568&gt;0,VLOOKUP(D568,Программа!A$1:B$5100,2),IF(F568&gt;0,VLOOKUP(F568,КВР!A$1:B$5001,2),IF(E568&gt;0,VLOOKUP(E568,Направление!A$1:B$4830,2))))))</f>
        <v>Реализация мероприятий по профилактике правонарушений</v>
      </c>
      <c r="B568" s="171"/>
      <c r="C568" s="172"/>
      <c r="D568" s="174" t="s">
        <v>750</v>
      </c>
      <c r="E568" s="172"/>
      <c r="F568" s="173"/>
      <c r="G568" s="611">
        <v>63000</v>
      </c>
      <c r="H568" s="161">
        <f>H569</f>
        <v>0</v>
      </c>
      <c r="I568" s="161">
        <f t="shared" si="10"/>
        <v>63000</v>
      </c>
    </row>
    <row r="569" spans="1:9" ht="47.25" x14ac:dyDescent="0.25">
      <c r="A569" s="157" t="str">
        <f>IF(B569&gt;0,VLOOKUP(B569,КВСР!A187:B1352,2),IF(C569&gt;0,VLOOKUP(C569,КФСР!A187:B1699,2),IF(D569&gt;0,VLOOKUP(D569,Программа!A$1:B$5100,2),IF(F569&gt;0,VLOOKUP(F569,КВР!A$1:B$5001,2),IF(E569&gt;0,VLOOKUP(E569,Направление!A$1:B$4830,2))))))</f>
        <v>Расходы на профилактику правонарушений и усиления борьбы с преступностью</v>
      </c>
      <c r="B569" s="171"/>
      <c r="C569" s="172"/>
      <c r="D569" s="174"/>
      <c r="E569" s="172">
        <v>12250</v>
      </c>
      <c r="F569" s="173"/>
      <c r="G569" s="521">
        <v>63000</v>
      </c>
      <c r="H569" s="162"/>
      <c r="I569" s="161">
        <f t="shared" si="10"/>
        <v>63000</v>
      </c>
    </row>
    <row r="570" spans="1:9" ht="63" x14ac:dyDescent="0.25">
      <c r="A570" s="157" t="str">
        <f>IF(B570&gt;0,VLOOKUP(B570,КВСР!A188:B1353,2),IF(C570&gt;0,VLOOKUP(C570,КФСР!A188:B1700,2),IF(D570&gt;0,VLOOKUP(D570,Программа!A$1:B$5100,2),IF(F570&gt;0,VLOOKUP(F570,КВР!A$1:B$5001,2),IF(E570&gt;0,VLOOKUP(E570,Направление!A$1:B$4830,2))))))</f>
        <v>Предоставление субсидий бюджетным, автономным учреждениям и иным некоммерческим организациям</v>
      </c>
      <c r="B570" s="171"/>
      <c r="C570" s="172"/>
      <c r="D570" s="174"/>
      <c r="E570" s="172"/>
      <c r="F570" s="173">
        <v>600</v>
      </c>
      <c r="G570" s="521"/>
      <c r="H570" s="162"/>
      <c r="I570" s="161">
        <v>63000</v>
      </c>
    </row>
    <row r="571" spans="1:9" x14ac:dyDescent="0.25">
      <c r="A571" s="157" t="str">
        <f>IF(B571&gt;0,VLOOKUP(B571,КВСР!A194:B1359,2),IF(C571&gt;0,VLOOKUP(C571,КФСР!A194:B1706,2),IF(D571&gt;0,VLOOKUP(D571,Программа!A$1:B$5100,2),IF(F571&gt;0,VLOOKUP(F571,КВР!A$1:B$5001,2),IF(E571&gt;0,VLOOKUP(E571,Направление!A$1:B$4830,2))))))</f>
        <v>Непрограммные расходы бюджета</v>
      </c>
      <c r="B571" s="158"/>
      <c r="C571" s="153"/>
      <c r="D571" s="154" t="s">
        <v>626</v>
      </c>
      <c r="E571" s="153"/>
      <c r="F571" s="155"/>
      <c r="G571" s="504">
        <v>725000</v>
      </c>
      <c r="H571" s="159">
        <f>H572</f>
        <v>0</v>
      </c>
      <c r="I571" s="161">
        <f t="shared" si="10"/>
        <v>725000</v>
      </c>
    </row>
    <row r="572" spans="1:9" ht="31.5" x14ac:dyDescent="0.25">
      <c r="A572" s="157" t="str">
        <f>IF(B572&gt;0,VLOOKUP(B572,КВСР!A195:B1360,2),IF(C572&gt;0,VLOOKUP(C572,КФСР!A195:B1707,2),IF(D572&gt;0,VLOOKUP(D572,Программа!A$1:B$5100,2),IF(F572&gt;0,VLOOKUP(F572,КВР!A$1:B$5001,2),IF(E572&gt;0,VLOOKUP(E572,Направление!A$1:B$4830,2))))))</f>
        <v>Государственная поддержка в сфере образования</v>
      </c>
      <c r="B572" s="158"/>
      <c r="C572" s="153"/>
      <c r="D572" s="154"/>
      <c r="E572" s="153">
        <v>13710</v>
      </c>
      <c r="F572" s="155"/>
      <c r="G572" s="611">
        <v>725000</v>
      </c>
      <c r="H572" s="161">
        <f>H573</f>
        <v>0</v>
      </c>
      <c r="I572" s="161">
        <f t="shared" si="10"/>
        <v>725000</v>
      </c>
    </row>
    <row r="573" spans="1:9" ht="63" x14ac:dyDescent="0.25">
      <c r="A573" s="157" t="str">
        <f>IF(B573&gt;0,VLOOKUP(B573,КВСР!A196:B1361,2),IF(C573&gt;0,VLOOKUP(C573,КФСР!A196:B1708,2),IF(D573&gt;0,VLOOKUP(D573,Программа!A$1:B$5100,2),IF(F573&gt;0,VLOOKUP(F573,КВР!A$1:B$5001,2),IF(E573&gt;0,VLOOKUP(E573,Направление!A$1:B$4830,2))))))</f>
        <v>Предоставление субсидий бюджетным, автономным учреждениям и иным некоммерческим организациям</v>
      </c>
      <c r="B573" s="158"/>
      <c r="C573" s="153"/>
      <c r="D573" s="155"/>
      <c r="E573" s="153"/>
      <c r="F573" s="155">
        <v>600</v>
      </c>
      <c r="G573" s="502">
        <v>725000</v>
      </c>
      <c r="H573" s="160"/>
      <c r="I573" s="161">
        <f t="shared" si="10"/>
        <v>725000</v>
      </c>
    </row>
    <row r="574" spans="1:9" x14ac:dyDescent="0.25">
      <c r="A574" s="157" t="str">
        <f>IF(B574&gt;0,VLOOKUP(B574,КВСР!A197:B1362,2),IF(C574&gt;0,VLOOKUP(C574,КФСР!A197:B1709,2),IF(D574&gt;0,VLOOKUP(D574,Программа!A$1:B$5100,2),IF(F574&gt;0,VLOOKUP(F574,КВР!A$1:B$5001,2),IF(E574&gt;0,VLOOKUP(E574,Направление!A$1:B$4830,2))))))</f>
        <v>Социальное обеспечение населения</v>
      </c>
      <c r="B574" s="158"/>
      <c r="C574" s="153">
        <v>1003</v>
      </c>
      <c r="D574" s="155"/>
      <c r="E574" s="153"/>
      <c r="F574" s="155"/>
      <c r="G574" s="502">
        <v>291160</v>
      </c>
      <c r="H574" s="502">
        <f>H575</f>
        <v>76171</v>
      </c>
      <c r="I574" s="161">
        <f t="shared" si="10"/>
        <v>367331</v>
      </c>
    </row>
    <row r="575" spans="1:9" ht="63" x14ac:dyDescent="0.25">
      <c r="A575" s="157" t="str">
        <f>IF(B575&gt;0,VLOOKUP(B575,КВСР!A198:B1363,2),IF(C575&gt;0,VLOOKUP(C575,КФСР!A198:B1710,2),IF(D575&gt;0,VLOOKUP(D575,Программа!A$1:B$5100,2),IF(F575&gt;0,VLOOKUP(F575,КВР!A$1:B$5001,2),IF(E575&gt;0,VLOOKUP(E575,Направление!A$1:B$4830,2))))))</f>
        <v>Муниципальная программа "Развитие образования, физической культуры и спорта в Тутаевском муниципальном районе"</v>
      </c>
      <c r="B575" s="158"/>
      <c r="C575" s="153"/>
      <c r="D575" s="154" t="s">
        <v>686</v>
      </c>
      <c r="E575" s="153"/>
      <c r="F575" s="155"/>
      <c r="G575" s="502">
        <v>291160</v>
      </c>
      <c r="H575" s="502">
        <f>H576</f>
        <v>76171</v>
      </c>
      <c r="I575" s="161">
        <f t="shared" si="10"/>
        <v>367331</v>
      </c>
    </row>
    <row r="576" spans="1:9" ht="63" x14ac:dyDescent="0.25">
      <c r="A576" s="157" t="str">
        <f>IF(B576&gt;0,VLOOKUP(B576,КВСР!A199:B1364,2),IF(C576&gt;0,VLOOKUP(C576,КФСР!A199:B1711,2),IF(D576&gt;0,VLOOKUP(D576,Программа!A$1:B$5100,2),IF(F576&gt;0,VLOOKUP(F576,КВР!A$1:B$5001,2),IF(E576&gt;0,VLOOKUP(E576,Направление!A$1:B$4830,2))))))</f>
        <v xml:space="preserve">Ведомственная целевая программа департамента образования Администрации Тутаевского муниципального района </v>
      </c>
      <c r="B576" s="158"/>
      <c r="C576" s="153"/>
      <c r="D576" s="154" t="s">
        <v>688</v>
      </c>
      <c r="E576" s="153"/>
      <c r="F576" s="155"/>
      <c r="G576" s="502">
        <v>291160</v>
      </c>
      <c r="H576" s="502">
        <f>H577</f>
        <v>76171</v>
      </c>
      <c r="I576" s="161">
        <f t="shared" si="10"/>
        <v>367331</v>
      </c>
    </row>
    <row r="577" spans="1:9" ht="31.5" x14ac:dyDescent="0.25">
      <c r="A577" s="157" t="str">
        <f>IF(B577&gt;0,VLOOKUP(B577,КВСР!A200:B1365,2),IF(C577&gt;0,VLOOKUP(C577,КФСР!A200:B1712,2),IF(D577&gt;0,VLOOKUP(D577,Программа!A$1:B$5100,2),IF(F577&gt;0,VLOOKUP(F577,КВР!A$1:B$5001,2),IF(E577&gt;0,VLOOKUP(E577,Направление!A$1:B$4830,2))))))</f>
        <v>Обеспечение компенсационных выплат</v>
      </c>
      <c r="B577" s="158"/>
      <c r="C577" s="153"/>
      <c r="D577" s="154" t="s">
        <v>2955</v>
      </c>
      <c r="E577" s="153"/>
      <c r="F577" s="155"/>
      <c r="G577" s="502">
        <v>291160</v>
      </c>
      <c r="H577" s="502">
        <f>H578</f>
        <v>76171</v>
      </c>
      <c r="I577" s="161">
        <f t="shared" si="10"/>
        <v>367331</v>
      </c>
    </row>
    <row r="578" spans="1:9" ht="47.25" x14ac:dyDescent="0.25">
      <c r="A578" s="157" t="str">
        <f>IF(B578&gt;0,VLOOKUP(B578,КВСР!A201:B1366,2),IF(C578&gt;0,VLOOKUP(C578,КФСР!A201:B1713,2),IF(D578&gt;0,VLOOKUP(D578,Программа!A$1:B$5100,2),IF(F578&gt;0,VLOOKUP(F578,КВР!A$1:B$5001,2),IF(E578&gt;0,VLOOKUP(E578,Направление!A$1:B$4830,2))))))</f>
        <v>Компенсация части расходов на приобретение путевки в организации отдыха детей и их оздоровления</v>
      </c>
      <c r="B578" s="158"/>
      <c r="C578" s="153"/>
      <c r="D578" s="154"/>
      <c r="E578" s="153">
        <v>74390</v>
      </c>
      <c r="F578" s="155"/>
      <c r="G578" s="502">
        <v>291160</v>
      </c>
      <c r="H578" s="502">
        <f>H579</f>
        <v>76171</v>
      </c>
      <c r="I578" s="161">
        <f t="shared" ref="I578:I653" si="11">SUM(G578:H578)</f>
        <v>367331</v>
      </c>
    </row>
    <row r="579" spans="1:9" ht="31.5" x14ac:dyDescent="0.25">
      <c r="A579" s="157" t="str">
        <f>IF(B579&gt;0,VLOOKUP(B579,КВСР!A202:B1367,2),IF(C579&gt;0,VLOOKUP(C579,КФСР!A202:B1714,2),IF(D579&gt;0,VLOOKUP(D579,Программа!A$1:B$5100,2),IF(F579&gt;0,VLOOKUP(F579,КВР!A$1:B$5001,2),IF(E579&gt;0,VLOOKUP(E579,Направление!A$1:B$4830,2))))))</f>
        <v>Социальное обеспечение и иные выплаты населению</v>
      </c>
      <c r="B579" s="158"/>
      <c r="C579" s="153"/>
      <c r="D579" s="154"/>
      <c r="E579" s="153"/>
      <c r="F579" s="155">
        <v>300</v>
      </c>
      <c r="G579" s="502">
        <v>291160</v>
      </c>
      <c r="H579" s="160">
        <v>76171</v>
      </c>
      <c r="I579" s="161">
        <f t="shared" si="11"/>
        <v>367331</v>
      </c>
    </row>
    <row r="580" spans="1:9" x14ac:dyDescent="0.25">
      <c r="A580" s="157" t="str">
        <f>IF(B580&gt;0,VLOOKUP(B580,КВСР!A201:B1366,2),IF(C580&gt;0,VLOOKUP(C580,КФСР!A201:B1713,2),IF(D580&gt;0,VLOOKUP(D580,Программа!A$1:B$5100,2),IF(F580&gt;0,VLOOKUP(F580,КВР!A$1:B$5001,2),IF(E580&gt;0,VLOOKUP(E580,Направление!A$1:B$4830,2))))))</f>
        <v>Охрана семьи и детства</v>
      </c>
      <c r="B580" s="171"/>
      <c r="C580" s="153">
        <v>1004</v>
      </c>
      <c r="D580" s="176"/>
      <c r="E580" s="177"/>
      <c r="F580" s="173"/>
      <c r="G580" s="611">
        <v>48209787</v>
      </c>
      <c r="H580" s="161">
        <f>H581</f>
        <v>24915</v>
      </c>
      <c r="I580" s="161">
        <f t="shared" si="11"/>
        <v>48234702</v>
      </c>
    </row>
    <row r="581" spans="1:9" ht="63" x14ac:dyDescent="0.25">
      <c r="A581" s="157" t="str">
        <f>IF(B581&gt;0,VLOOKUP(B581,КВСР!A202:B1367,2),IF(C581&gt;0,VLOOKUP(C581,КФСР!A202:B1714,2),IF(D581&gt;0,VLOOKUP(D581,Программа!A$1:B$5100,2),IF(F581&gt;0,VLOOKUP(F581,КВР!A$1:B$5001,2),IF(E581&gt;0,VLOOKUP(E581,Направление!A$1:B$4830,2))))))</f>
        <v>Муниципальная программа "Развитие образования, физической культуры и спорта в Тутаевском муниципальном районе"</v>
      </c>
      <c r="B581" s="158"/>
      <c r="C581" s="153"/>
      <c r="D581" s="178" t="s">
        <v>686</v>
      </c>
      <c r="E581" s="179"/>
      <c r="F581" s="173"/>
      <c r="G581" s="611">
        <v>48209787</v>
      </c>
      <c r="H581" s="161">
        <f>H582</f>
        <v>24915</v>
      </c>
      <c r="I581" s="161">
        <f t="shared" si="11"/>
        <v>48234702</v>
      </c>
    </row>
    <row r="582" spans="1:9" ht="63" x14ac:dyDescent="0.25">
      <c r="A582" s="157" t="str">
        <f>IF(B582&gt;0,VLOOKUP(B582,КВСР!A203:B1368,2),IF(C582&gt;0,VLOOKUP(C582,КФСР!A203:B1715,2),IF(D582&gt;0,VLOOKUP(D582,Программа!A$1:B$5100,2),IF(F582&gt;0,VLOOKUP(F582,КВР!A$1:B$5001,2),IF(E582&gt;0,VLOOKUP(E582,Направление!A$1:B$4830,2))))))</f>
        <v xml:space="preserve">Ведомственная целевая программа департамента образования Администрации Тутаевского муниципального района </v>
      </c>
      <c r="B582" s="158"/>
      <c r="C582" s="153"/>
      <c r="D582" s="178" t="s">
        <v>688</v>
      </c>
      <c r="E582" s="179"/>
      <c r="F582" s="173"/>
      <c r="G582" s="611">
        <v>48209787</v>
      </c>
      <c r="H582" s="161">
        <f>H583+H601</f>
        <v>24915</v>
      </c>
      <c r="I582" s="161">
        <f t="shared" si="11"/>
        <v>48234702</v>
      </c>
    </row>
    <row r="583" spans="1:9" ht="63" x14ac:dyDescent="0.25">
      <c r="A583" s="157" t="str">
        <f>IF(B583&gt;0,VLOOKUP(B583,КВСР!A204:B1369,2),IF(C583&gt;0,VLOOKUP(C583,КФСР!A204:B1716,2),IF(D583&gt;0,VLOOKUP(D583,Программа!A$1:B$5100,2),IF(F583&gt;0,VLOOKUP(F583,КВР!A$1:B$5001,2),IF(E583&gt;0,VLOOKUP(E583,Направление!A$1:B$4830,2))))))</f>
        <v>Обеспечение качества реализации мер по социальной поддержке детей-сирот и детей, оставшихся без попечения родителей</v>
      </c>
      <c r="B583" s="158"/>
      <c r="C583" s="153"/>
      <c r="D583" s="154" t="s">
        <v>738</v>
      </c>
      <c r="E583" s="179"/>
      <c r="F583" s="173"/>
      <c r="G583" s="611">
        <v>28840428</v>
      </c>
      <c r="H583" s="161">
        <f>H586+H588+H590+H593+H596+H584</f>
        <v>24915</v>
      </c>
      <c r="I583" s="161">
        <f t="shared" si="11"/>
        <v>28865343</v>
      </c>
    </row>
    <row r="584" spans="1:9" ht="31.5" hidden="1" x14ac:dyDescent="0.25">
      <c r="A584" s="157" t="str">
        <f>IF(B584&gt;0,VLOOKUP(B584,КВСР!A205:B1370,2),IF(C584&gt;0,VLOOKUP(C584,КФСР!A205:B1717,2),IF(D584&gt;0,VLOOKUP(D584,Программа!A$1:B$5100,2),IF(F584&gt;0,VLOOKUP(F584,КВР!A$1:B$5001,2),IF(E584&gt;0,VLOOKUP(E584,Направление!A$1:B$4830,2))))))</f>
        <v xml:space="preserve">Государственная поддержка опеки и попечительства </v>
      </c>
      <c r="B584" s="158"/>
      <c r="C584" s="153"/>
      <c r="D584" s="178"/>
      <c r="E584" s="179">
        <v>13750</v>
      </c>
      <c r="F584" s="173"/>
      <c r="G584" s="611">
        <v>0</v>
      </c>
      <c r="H584" s="161">
        <f>H585</f>
        <v>0</v>
      </c>
      <c r="I584" s="161">
        <f t="shared" si="11"/>
        <v>0</v>
      </c>
    </row>
    <row r="585" spans="1:9" ht="31.5" hidden="1" x14ac:dyDescent="0.25">
      <c r="A585" s="157" t="str">
        <f>IF(B585&gt;0,VLOOKUP(B585,КВСР!A205:B1370,2),IF(C585&gt;0,VLOOKUP(C585,КФСР!A205:B1717,2),IF(D585&gt;0,VLOOKUP(D585,Программа!A$1:B$5100,2),IF(F585&gt;0,VLOOKUP(F585,КВР!A$1:B$5001,2),IF(E585&gt;0,VLOOKUP(E585,Направление!A$1:B$4830,2))))))</f>
        <v>Социальное обеспечение и иные выплаты населению</v>
      </c>
      <c r="B585" s="158"/>
      <c r="C585" s="153"/>
      <c r="D585" s="178"/>
      <c r="E585" s="179"/>
      <c r="F585" s="173">
        <v>300</v>
      </c>
      <c r="G585" s="612">
        <v>0</v>
      </c>
      <c r="H585" s="163"/>
      <c r="I585" s="161">
        <f t="shared" si="11"/>
        <v>0</v>
      </c>
    </row>
    <row r="586" spans="1:9" ht="47.25" hidden="1" x14ac:dyDescent="0.25">
      <c r="A586" s="157" t="str">
        <f>IF(B586&gt;0,VLOOKUP(B586,КВСР!A204:B1369,2),IF(C586&gt;0,VLOOKUP(C586,КФСР!A204:B1716,2),IF(D586&gt;0,VLOOKUP(D586,Программа!A$1:B$5100,2),IF(F586&gt;0,VLOOKUP(F586,КВР!A$1:B$5001,2),IF(E586&gt;0,VLOOKUP(E586,Направление!A$1:B$4830,2))))))</f>
        <v xml:space="preserve">Расходы на укрепление института семьи, повышение качества жизни семей с несовершеннолетними детьми </v>
      </c>
      <c r="B586" s="158"/>
      <c r="C586" s="153"/>
      <c r="D586" s="178"/>
      <c r="E586" s="179" t="s">
        <v>756</v>
      </c>
      <c r="F586" s="173"/>
      <c r="G586" s="611">
        <v>0</v>
      </c>
      <c r="H586" s="161">
        <f>H587</f>
        <v>0</v>
      </c>
      <c r="I586" s="161">
        <f t="shared" si="11"/>
        <v>0</v>
      </c>
    </row>
    <row r="587" spans="1:9" ht="63" hidden="1" x14ac:dyDescent="0.25">
      <c r="A587" s="157" t="str">
        <f>IF(B587&gt;0,VLOOKUP(B587,КВСР!A205:B1370,2),IF(C587&gt;0,VLOOKUP(C587,КФСР!A205:B1717,2),IF(D587&gt;0,VLOOKUP(D587,Программа!A$1:B$5100,2),IF(F587&gt;0,VLOOKUP(F587,КВР!A$1:B$5001,2),IF(E587&gt;0,VLOOKUP(E587,Направление!A$1:B$4830,2))))))</f>
        <v xml:space="preserve">Закупка товаров, работ и услуг для обеспечения государственных (муниципальных) нужд
</v>
      </c>
      <c r="B587" s="158"/>
      <c r="C587" s="153"/>
      <c r="D587" s="180"/>
      <c r="E587" s="177"/>
      <c r="F587" s="173">
        <v>200</v>
      </c>
      <c r="G587" s="502">
        <v>0</v>
      </c>
      <c r="H587" s="160"/>
      <c r="I587" s="161">
        <f t="shared" si="11"/>
        <v>0</v>
      </c>
    </row>
    <row r="588" spans="1:9" ht="78.75" x14ac:dyDescent="0.25">
      <c r="A588" s="157" t="str">
        <f>IF(B588&gt;0,VLOOKUP(B588,КВСР!A207:B1372,2),IF(C588&gt;0,VLOOKUP(C588,КФСР!A207:B1719,2),IF(D588&gt;0,VLOOKUP(D588,Программа!A$1:B$5100,2),IF(F588&gt;0,VLOOKUP(F588,КВР!A$1:B$5001,2),IF(E588&gt;0,VLOOKUP(E588,Направление!A$1:B$4830,2))))))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88" s="158"/>
      <c r="C588" s="153"/>
      <c r="D588" s="178"/>
      <c r="E588" s="179">
        <v>52600</v>
      </c>
      <c r="F588" s="173"/>
      <c r="G588" s="504">
        <v>534660</v>
      </c>
      <c r="H588" s="159">
        <f>H589</f>
        <v>-16759</v>
      </c>
      <c r="I588" s="161">
        <f t="shared" si="11"/>
        <v>517901</v>
      </c>
    </row>
    <row r="589" spans="1:9" ht="31.5" x14ac:dyDescent="0.25">
      <c r="A589" s="157" t="str">
        <f>IF(B589&gt;0,VLOOKUP(B589,КВСР!A208:B1373,2),IF(C589&gt;0,VLOOKUP(C589,КФСР!A208:B1720,2),IF(D589&gt;0,VLOOKUP(D589,Программа!A$1:B$5100,2),IF(F589&gt;0,VLOOKUP(F589,КВР!A$1:B$5001,2),IF(E589&gt;0,VLOOKUP(E589,Направление!A$1:B$4830,2))))))</f>
        <v>Социальное обеспечение и иные выплаты населению</v>
      </c>
      <c r="B589" s="158"/>
      <c r="C589" s="153"/>
      <c r="D589" s="181"/>
      <c r="E589" s="179"/>
      <c r="F589" s="173">
        <v>300</v>
      </c>
      <c r="G589" s="502">
        <v>534660</v>
      </c>
      <c r="H589" s="160">
        <v>-16759</v>
      </c>
      <c r="I589" s="161">
        <f t="shared" si="11"/>
        <v>517901</v>
      </c>
    </row>
    <row r="590" spans="1:9" ht="94.5" hidden="1" x14ac:dyDescent="0.25">
      <c r="A590" s="157" t="str">
        <f>IF(B590&gt;0,VLOOKUP(B590,КВСР!A209:B1374,2),IF(C590&gt;0,VLOOKUP(C590,КФСР!A209:B1721,2),IF(D590&gt;0,VLOOKUP(D590,Программа!A$1:B$5100,2),IF(F590&gt;0,VLOOKUP(F590,КВР!A$1:B$5001,2),IF(E590&gt;0,VLOOKUP(E590,Направление!A$1:B$4830,2))))))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90" s="158"/>
      <c r="C590" s="153"/>
      <c r="D590" s="178"/>
      <c r="E590" s="179">
        <v>70430</v>
      </c>
      <c r="F590" s="173"/>
      <c r="G590" s="504">
        <v>0</v>
      </c>
      <c r="H590" s="504">
        <f>H592+H591</f>
        <v>0</v>
      </c>
      <c r="I590" s="161">
        <f t="shared" si="11"/>
        <v>0</v>
      </c>
    </row>
    <row r="591" spans="1:9" ht="63" hidden="1" x14ac:dyDescent="0.25">
      <c r="A591" s="157" t="str">
        <f>IF(B591&gt;0,VLOOKUP(B591,КВСР!A210:B1375,2),IF(C591&gt;0,VLOOKUP(C591,КФСР!A210:B1722,2),IF(D591&gt;0,VLOOKUP(D591,Программа!A$1:B$5100,2),IF(F591&gt;0,VLOOKUP(F591,КВР!A$1:B$5001,2),IF(E591&gt;0,VLOOKUP(E591,Направление!A$1:B$4830,2))))))</f>
        <v xml:space="preserve">Закупка товаров, работ и услуг для обеспечения государственных (муниципальных) нужд
</v>
      </c>
      <c r="B591" s="158"/>
      <c r="C591" s="153"/>
      <c r="D591" s="178"/>
      <c r="E591" s="179"/>
      <c r="F591" s="173">
        <v>200</v>
      </c>
      <c r="G591" s="504">
        <v>0</v>
      </c>
      <c r="H591" s="159"/>
      <c r="I591" s="161">
        <f t="shared" si="11"/>
        <v>0</v>
      </c>
    </row>
    <row r="592" spans="1:9" ht="31.5" hidden="1" x14ac:dyDescent="0.25">
      <c r="A592" s="157" t="str">
        <f>IF(B592&gt;0,VLOOKUP(B592,КВСР!A210:B1375,2),IF(C592&gt;0,VLOOKUP(C592,КФСР!A210:B1722,2),IF(D592&gt;0,VLOOKUP(D592,Программа!A$1:B$5100,2),IF(F592&gt;0,VLOOKUP(F592,КВР!A$1:B$5001,2),IF(E592&gt;0,VLOOKUP(E592,Направление!A$1:B$4830,2))))))</f>
        <v>Социальное обеспечение и иные выплаты населению</v>
      </c>
      <c r="B592" s="158"/>
      <c r="C592" s="153"/>
      <c r="D592" s="181"/>
      <c r="E592" s="179"/>
      <c r="F592" s="173">
        <v>300</v>
      </c>
      <c r="G592" s="502">
        <v>0</v>
      </c>
      <c r="H592" s="160"/>
      <c r="I592" s="161">
        <f t="shared" si="11"/>
        <v>0</v>
      </c>
    </row>
    <row r="593" spans="1:9" ht="78.75" x14ac:dyDescent="0.25">
      <c r="A593" s="157" t="str">
        <f>IF(B593&gt;0,VLOOKUP(B593,КВСР!A211:B1376,2),IF(C593&gt;0,VLOOKUP(C593,КФСР!A211:B1723,2),IF(D593&gt;0,VLOOKUP(D593,Программа!A$1:B$5100,2),IF(F593&gt;0,VLOOKUP(F593,КВР!A$1:B$5001,2),IF(E593&gt;0,VLOOKUP(E593,Направление!A$1:B$4830,2))))))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93" s="158"/>
      <c r="C593" s="153"/>
      <c r="D593" s="178"/>
      <c r="E593" s="153">
        <v>70460</v>
      </c>
      <c r="F593" s="173"/>
      <c r="G593" s="504">
        <v>25660860</v>
      </c>
      <c r="H593" s="159">
        <f>H594+H595</f>
        <v>-152418</v>
      </c>
      <c r="I593" s="161">
        <f t="shared" si="11"/>
        <v>25508442</v>
      </c>
    </row>
    <row r="594" spans="1:9" ht="63" x14ac:dyDescent="0.25">
      <c r="A594" s="157" t="str">
        <f>IF(B594&gt;0,VLOOKUP(B594,КВСР!A212:B1377,2),IF(C594&gt;0,VLOOKUP(C594,КФСР!A212:B1724,2),IF(D594&gt;0,VLOOKUP(D594,Программа!A$1:B$5100,2),IF(F594&gt;0,VLOOKUP(F594,КВР!A$1:B$5001,2),IF(E594&gt;0,VLOOKUP(E594,Направление!A$1:B$4830,2))))))</f>
        <v xml:space="preserve">Закупка товаров, работ и услуг для обеспечения государственных (муниципальных) нужд
</v>
      </c>
      <c r="B594" s="158"/>
      <c r="C594" s="153"/>
      <c r="D594" s="181"/>
      <c r="E594" s="179"/>
      <c r="F594" s="173">
        <v>200</v>
      </c>
      <c r="G594" s="502">
        <v>82495</v>
      </c>
      <c r="H594" s="160">
        <v>-190</v>
      </c>
      <c r="I594" s="161">
        <f t="shared" si="11"/>
        <v>82305</v>
      </c>
    </row>
    <row r="595" spans="1:9" ht="31.5" x14ac:dyDescent="0.25">
      <c r="A595" s="157" t="str">
        <f>IF(B595&gt;0,VLOOKUP(B595,КВСР!A213:B1378,2),IF(C595&gt;0,VLOOKUP(C595,КФСР!A213:B1725,2),IF(D595&gt;0,VLOOKUP(D595,Программа!A$1:B$5100,2),IF(F595&gt;0,VLOOKUP(F595,КВР!A$1:B$5001,2),IF(E595&gt;0,VLOOKUP(E595,Направление!A$1:B$4830,2))))))</f>
        <v>Социальное обеспечение и иные выплаты населению</v>
      </c>
      <c r="B595" s="158"/>
      <c r="C595" s="153"/>
      <c r="D595" s="181"/>
      <c r="E595" s="179"/>
      <c r="F595" s="173">
        <v>300</v>
      </c>
      <c r="G595" s="502">
        <v>25578365</v>
      </c>
      <c r="H595" s="160">
        <f>-4668-147560</f>
        <v>-152228</v>
      </c>
      <c r="I595" s="161">
        <f t="shared" si="11"/>
        <v>25426137</v>
      </c>
    </row>
    <row r="596" spans="1:9" ht="47.25" x14ac:dyDescent="0.25">
      <c r="A596" s="157" t="str">
        <f>IF(B596&gt;0,VLOOKUP(B596,КВСР!A214:B1379,2),IF(C596&gt;0,VLOOKUP(C596,КФСР!A214:B1726,2),IF(D596&gt;0,VLOOKUP(D596,Программа!A$1:B$5100,2),IF(F596&gt;0,VLOOKUP(F596,КВР!A$1:B$5001,2),IF(E596&gt;0,VLOOKUP(E596,Направление!A$1:B$4830,2))))))</f>
        <v>Государственная поддержка опеки и попечительства за счет средств областного бюджета</v>
      </c>
      <c r="B596" s="158"/>
      <c r="C596" s="153"/>
      <c r="D596" s="178"/>
      <c r="E596" s="153">
        <v>70500</v>
      </c>
      <c r="F596" s="173"/>
      <c r="G596" s="504">
        <v>2644908</v>
      </c>
      <c r="H596" s="159">
        <f>H598+H599+H600+H597</f>
        <v>194092</v>
      </c>
      <c r="I596" s="161">
        <f t="shared" si="11"/>
        <v>2839000</v>
      </c>
    </row>
    <row r="597" spans="1:9" ht="126" hidden="1" x14ac:dyDescent="0.25">
      <c r="A597" s="157" t="str">
        <f>IF(B597&gt;0,VLOOKUP(B597,КВСР!A215:B1380,2),IF(C597&gt;0,VLOOKUP(C597,КФСР!A215:B1727,2),IF(D597&gt;0,VLOOKUP(D597,Программа!A$1:B$5100,2),IF(F597&gt;0,VLOOKUP(F597,КВР!A$1:B$5001,2),IF(E597&gt;0,VLOOKUP(E597,Направление!A$1:B$4830,2))))))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97" s="158"/>
      <c r="C597" s="153"/>
      <c r="D597" s="178"/>
      <c r="E597" s="179"/>
      <c r="F597" s="173">
        <v>100</v>
      </c>
      <c r="G597" s="617">
        <v>0</v>
      </c>
      <c r="H597" s="175"/>
      <c r="I597" s="161">
        <f t="shared" si="11"/>
        <v>0</v>
      </c>
    </row>
    <row r="598" spans="1:9" ht="63" hidden="1" x14ac:dyDescent="0.25">
      <c r="A598" s="157" t="str">
        <f>IF(B598&gt;0,VLOOKUP(B598,КВСР!A215:B1380,2),IF(C598&gt;0,VLOOKUP(C598,КФСР!A215:B1727,2),IF(D598&gt;0,VLOOKUP(D598,Программа!A$1:B$5100,2),IF(F598&gt;0,VLOOKUP(F598,КВР!A$1:B$5001,2),IF(E598&gt;0,VLOOKUP(E598,Направление!A$1:B$4830,2))))))</f>
        <v xml:space="preserve">Закупка товаров, работ и услуг для обеспечения государственных (муниципальных) нужд
</v>
      </c>
      <c r="B598" s="158"/>
      <c r="C598" s="153"/>
      <c r="D598" s="181"/>
      <c r="E598" s="179"/>
      <c r="F598" s="173">
        <v>200</v>
      </c>
      <c r="G598" s="502">
        <v>46253</v>
      </c>
      <c r="H598" s="160">
        <v>-46253</v>
      </c>
      <c r="I598" s="161">
        <f t="shared" si="11"/>
        <v>0</v>
      </c>
    </row>
    <row r="599" spans="1:9" ht="31.5" x14ac:dyDescent="0.25">
      <c r="A599" s="157" t="str">
        <f>IF(B599&gt;0,VLOOKUP(B599,КВСР!A216:B1381,2),IF(C599&gt;0,VLOOKUP(C599,КФСР!A216:B1728,2),IF(D599&gt;0,VLOOKUP(D599,Программа!A$1:B$5100,2),IF(F599&gt;0,VLOOKUP(F599,КВР!A$1:B$5001,2),IF(E599&gt;0,VLOOKUP(E599,Направление!A$1:B$4830,2))))))</f>
        <v>Социальное обеспечение и иные выплаты населению</v>
      </c>
      <c r="B599" s="158"/>
      <c r="C599" s="153"/>
      <c r="D599" s="181"/>
      <c r="E599" s="179"/>
      <c r="F599" s="173">
        <v>300</v>
      </c>
      <c r="G599" s="502">
        <v>1076495</v>
      </c>
      <c r="H599" s="160">
        <f>266692-26347</f>
        <v>240345</v>
      </c>
      <c r="I599" s="161">
        <f t="shared" si="11"/>
        <v>1316840</v>
      </c>
    </row>
    <row r="600" spans="1:9" ht="63" x14ac:dyDescent="0.25">
      <c r="A600" s="157" t="str">
        <f>IF(B600&gt;0,VLOOKUP(B600,КВСР!A217:B1382,2),IF(C600&gt;0,VLOOKUP(C600,КФСР!A217:B1729,2),IF(D600&gt;0,VLOOKUP(D600,Программа!A$1:B$5100,2),IF(F600&gt;0,VLOOKUP(F600,КВР!A$1:B$5001,2),IF(E600&gt;0,VLOOKUP(E600,Направление!A$1:B$4830,2))))))</f>
        <v>Предоставление субсидий бюджетным, автономным учреждениям и иным некоммерческим организациям</v>
      </c>
      <c r="B600" s="158"/>
      <c r="C600" s="153"/>
      <c r="D600" s="181"/>
      <c r="E600" s="179"/>
      <c r="F600" s="173">
        <v>600</v>
      </c>
      <c r="G600" s="502">
        <v>1522160</v>
      </c>
      <c r="H600" s="160"/>
      <c r="I600" s="161">
        <f t="shared" si="11"/>
        <v>1522160</v>
      </c>
    </row>
    <row r="601" spans="1:9" ht="31.5" x14ac:dyDescent="0.25">
      <c r="A601" s="157" t="str">
        <f>IF(B601&gt;0,VLOOKUP(B601,КВСР!A218:B1383,2),IF(C601&gt;0,VLOOKUP(C601,КФСР!A218:B1730,2),IF(D601&gt;0,VLOOKUP(D601,Программа!A$1:B$5100,2),IF(F601&gt;0,VLOOKUP(F601,КВР!A$1:B$5001,2),IF(E601&gt;0,VLOOKUP(E601,Направление!A$1:B$4830,2))))))</f>
        <v>Обеспечение компенсационных выплат</v>
      </c>
      <c r="B601" s="158"/>
      <c r="C601" s="153"/>
      <c r="D601" s="154" t="s">
        <v>2955</v>
      </c>
      <c r="E601" s="179"/>
      <c r="F601" s="173"/>
      <c r="G601" s="504">
        <v>19369359</v>
      </c>
      <c r="H601" s="538">
        <f>H602</f>
        <v>0</v>
      </c>
      <c r="I601" s="161">
        <f t="shared" si="11"/>
        <v>19369359</v>
      </c>
    </row>
    <row r="602" spans="1:9" ht="94.5" x14ac:dyDescent="0.25">
      <c r="A602" s="157" t="str">
        <f>IF(B602&gt;0,VLOOKUP(B602,КВСР!A207:B1372,2),IF(C602&gt;0,VLOOKUP(C602,КФСР!A207:B1719,2),IF(D602&gt;0,VLOOKUP(D602,Программа!A$1:B$5100,2),IF(F602&gt;0,VLOOKUP(F602,КВР!A$1:B$5001,2),IF(E602&gt;0,VLOOKUP(E602,Направление!A$1:B$4830,2))))))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602" s="158"/>
      <c r="C602" s="153"/>
      <c r="D602" s="178"/>
      <c r="E602" s="153">
        <v>70430</v>
      </c>
      <c r="F602" s="173"/>
      <c r="G602" s="504">
        <v>19369359</v>
      </c>
      <c r="H602" s="538">
        <f>H603+H604</f>
        <v>0</v>
      </c>
      <c r="I602" s="161">
        <f t="shared" si="11"/>
        <v>19369359</v>
      </c>
    </row>
    <row r="603" spans="1:9" ht="63" x14ac:dyDescent="0.25">
      <c r="A603" s="157" t="str">
        <f>IF(B603&gt;0,VLOOKUP(B603,КВСР!A208:B1373,2),IF(C603&gt;0,VLOOKUP(C603,КФСР!A208:B1720,2),IF(D603&gt;0,VLOOKUP(D603,Программа!A$1:B$5100,2),IF(F603&gt;0,VLOOKUP(F603,КВР!A$1:B$5001,2),IF(E603&gt;0,VLOOKUP(E603,Направление!A$1:B$4830,2))))))</f>
        <v xml:space="preserve">Закупка товаров, работ и услуг для обеспечения государственных (муниципальных) нужд
</v>
      </c>
      <c r="B603" s="158"/>
      <c r="C603" s="153"/>
      <c r="D603" s="181"/>
      <c r="E603" s="179"/>
      <c r="F603" s="173">
        <v>200</v>
      </c>
      <c r="G603" s="521">
        <v>286449</v>
      </c>
      <c r="H603" s="162">
        <v>17591</v>
      </c>
      <c r="I603" s="161">
        <f t="shared" si="11"/>
        <v>304040</v>
      </c>
    </row>
    <row r="604" spans="1:9" ht="31.5" x14ac:dyDescent="0.25">
      <c r="A604" s="157" t="str">
        <f>IF(B604&gt;0,VLOOKUP(B604,КВСР!A209:B1374,2),IF(C604&gt;0,VLOOKUP(C604,КФСР!A209:B1721,2),IF(D604&gt;0,VLOOKUP(D604,Программа!A$1:B$5100,2),IF(F604&gt;0,VLOOKUP(F604,КВР!A$1:B$5001,2),IF(E604&gt;0,VLOOKUP(E604,Направление!A$1:B$4830,2))))))</f>
        <v>Социальное обеспечение и иные выплаты населению</v>
      </c>
      <c r="B604" s="158"/>
      <c r="C604" s="153"/>
      <c r="D604" s="181"/>
      <c r="E604" s="179"/>
      <c r="F604" s="173">
        <v>300</v>
      </c>
      <c r="G604" s="521">
        <v>19082910</v>
      </c>
      <c r="H604" s="162">
        <v>-17591</v>
      </c>
      <c r="I604" s="161">
        <f t="shared" si="11"/>
        <v>19065319</v>
      </c>
    </row>
    <row r="605" spans="1:9" s="182" customFormat="1" x14ac:dyDescent="0.25">
      <c r="A605" s="157" t="str">
        <f>IF(B605&gt;0,VLOOKUP(B605,КВСР!A228:B1393,2),IF(C605&gt;0,VLOOKUP(C605,КФСР!A228:B1740,2),IF(D605&gt;0,VLOOKUP(D605,Программа!A$1:B$5100,2),IF(F605&gt;0,VLOOKUP(F605,КВР!A$1:B$5001,2),IF(E605&gt;0,VLOOKUP(E605,Направление!A$1:B$4830,2))))))</f>
        <v>Массовый спорт</v>
      </c>
      <c r="B605" s="171"/>
      <c r="C605" s="172">
        <v>1102</v>
      </c>
      <c r="D605" s="154"/>
      <c r="E605" s="153"/>
      <c r="F605" s="155"/>
      <c r="G605" s="611">
        <v>40355184</v>
      </c>
      <c r="H605" s="611">
        <f>H617+H606+H629</f>
        <v>55900</v>
      </c>
      <c r="I605" s="161">
        <f t="shared" si="11"/>
        <v>40411084</v>
      </c>
    </row>
    <row r="606" spans="1:9" s="182" customFormat="1" ht="63" x14ac:dyDescent="0.25">
      <c r="A606" s="157" t="str">
        <f>IF(B606&gt;0,VLOOKUP(B606,КВСР!A229:B1394,2),IF(C606&gt;0,VLOOKUP(C606,КФСР!A229:B1741,2),IF(D606&gt;0,VLOOKUP(D606,Программа!A$1:B$5100,2),IF(F606&gt;0,VLOOKUP(F606,КВР!A$1:B$5001,2),IF(E606&gt;0,VLOOKUP(E606,Направление!A$1:B$4830,2))))))</f>
        <v>Муниципальная программа  "Развитие культуры, туризма и молодежной политики в Тутаевском муниципальном районе"</v>
      </c>
      <c r="B606" s="171"/>
      <c r="C606" s="172"/>
      <c r="D606" s="154" t="s">
        <v>716</v>
      </c>
      <c r="E606" s="153"/>
      <c r="F606" s="155"/>
      <c r="G606" s="611">
        <v>444000</v>
      </c>
      <c r="H606" s="161">
        <f>H608+H613</f>
        <v>0</v>
      </c>
      <c r="I606" s="161">
        <f t="shared" si="11"/>
        <v>444000</v>
      </c>
    </row>
    <row r="607" spans="1:9" s="182" customFormat="1" ht="94.5" x14ac:dyDescent="0.25">
      <c r="A607" s="157" t="str">
        <f>IF(B607&gt;0,VLOOKUP(B607,КВСР!A230:B1395,2),IF(C607&gt;0,VLOOKUP(C607,КФСР!A230:B1742,2),IF(D607&gt;0,VLOOKUP(D607,Программа!A$1:B$5100,2),IF(F607&gt;0,VLOOKUP(F607,КВР!A$1:B$5001,2),IF(E607&gt;0,VLOOKUP(E607,Направление!A$1:B$4830,2))))))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07" s="171"/>
      <c r="C607" s="172"/>
      <c r="D607" s="154" t="s">
        <v>718</v>
      </c>
      <c r="E607" s="153"/>
      <c r="F607" s="155"/>
      <c r="G607" s="611">
        <v>44000</v>
      </c>
      <c r="H607" s="161">
        <f>H608</f>
        <v>0</v>
      </c>
      <c r="I607" s="161">
        <f t="shared" si="11"/>
        <v>44000</v>
      </c>
    </row>
    <row r="608" spans="1:9" s="182" customFormat="1" ht="78.75" x14ac:dyDescent="0.25">
      <c r="A608" s="157" t="str">
        <f>IF(B608&gt;0,VLOOKUP(B608,КВСР!A231:B1396,2),IF(C608&gt;0,VLOOKUP(C608,КФСР!A231:B1743,2),IF(D608&gt;0,VLOOKUP(D608,Программа!A$1:B$5100,2),IF(F608&gt;0,VLOOKUP(F608,КВР!A$1:B$5001,2),IF(E608&gt;0,VLOOKUP(E608,Направление!A$1:B$4830,2))))))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08" s="171"/>
      <c r="C608" s="172"/>
      <c r="D608" s="154" t="s">
        <v>720</v>
      </c>
      <c r="E608" s="153"/>
      <c r="F608" s="155"/>
      <c r="G608" s="611">
        <v>44000</v>
      </c>
      <c r="H608" s="161">
        <f>H609+H611</f>
        <v>0</v>
      </c>
      <c r="I608" s="161">
        <f t="shared" si="11"/>
        <v>44000</v>
      </c>
    </row>
    <row r="609" spans="1:9" s="182" customFormat="1" ht="31.5" x14ac:dyDescent="0.25">
      <c r="A609" s="157" t="str">
        <f>IF(B609&gt;0,VLOOKUP(B609,КВСР!A231:B1396,2),IF(C609&gt;0,VLOOKUP(C609,КФСР!A231:B1743,2),IF(D609&gt;0,VLOOKUP(D609,Программа!A$1:B$5100,2),IF(F609&gt;0,VLOOKUP(F609,КВР!A$1:B$5001,2),IF(E609&gt;0,VLOOKUP(E609,Направление!A$1:B$4830,2))))))</f>
        <v>Обеспечение деятельности учреждений спорта</v>
      </c>
      <c r="B609" s="171"/>
      <c r="C609" s="172"/>
      <c r="D609" s="154"/>
      <c r="E609" s="153">
        <v>14020</v>
      </c>
      <c r="F609" s="155"/>
      <c r="G609" s="611">
        <v>40000</v>
      </c>
      <c r="H609" s="161">
        <f>H610</f>
        <v>0</v>
      </c>
      <c r="I609" s="161">
        <f t="shared" si="11"/>
        <v>40000</v>
      </c>
    </row>
    <row r="610" spans="1:9" s="182" customFormat="1" ht="63" x14ac:dyDescent="0.25">
      <c r="A610" s="157" t="str">
        <f>IF(B610&gt;0,VLOOKUP(B610,КВСР!A232:B1397,2),IF(C610&gt;0,VLOOKUP(C610,КФСР!A232:B1744,2),IF(D610&gt;0,VLOOKUP(D610,Программа!A$1:B$5100,2),IF(F610&gt;0,VLOOKUP(F610,КВР!A$1:B$5001,2),IF(E610&gt;0,VLOOKUP(E610,Направление!A$1:B$4830,2))))))</f>
        <v>Предоставление субсидий бюджетным, автономным учреждениям и иным некоммерческим организациям</v>
      </c>
      <c r="B610" s="171"/>
      <c r="C610" s="172"/>
      <c r="D610" s="154"/>
      <c r="E610" s="153"/>
      <c r="F610" s="155">
        <v>600</v>
      </c>
      <c r="G610" s="521">
        <v>40000</v>
      </c>
      <c r="H610" s="162"/>
      <c r="I610" s="161">
        <f t="shared" si="11"/>
        <v>40000</v>
      </c>
    </row>
    <row r="611" spans="1:9" s="182" customFormat="1" ht="31.5" x14ac:dyDescent="0.25">
      <c r="A611" s="157" t="str">
        <f>IF(B611&gt;0,VLOOKUP(B611,КВСР!A233:B1398,2),IF(C611&gt;0,VLOOKUP(C611,КФСР!A233:B1745,2),IF(D611&gt;0,VLOOKUP(D611,Программа!A$1:B$5100,2),IF(F611&gt;0,VLOOKUP(F611,КВР!A$1:B$5001,2),IF(E611&gt;0,VLOOKUP(E611,Направление!A$1:B$4830,2))))))</f>
        <v>Мероприятия по патриотическому воспитанию граждан</v>
      </c>
      <c r="B611" s="171"/>
      <c r="C611" s="172"/>
      <c r="D611" s="154"/>
      <c r="E611" s="153">
        <v>74880</v>
      </c>
      <c r="F611" s="155"/>
      <c r="G611" s="521">
        <v>4000</v>
      </c>
      <c r="H611" s="521">
        <f>H612</f>
        <v>0</v>
      </c>
      <c r="I611" s="161">
        <f t="shared" si="11"/>
        <v>4000</v>
      </c>
    </row>
    <row r="612" spans="1:9" s="182" customFormat="1" ht="63" x14ac:dyDescent="0.25">
      <c r="A612" s="157" t="str">
        <f>IF(B612&gt;0,VLOOKUP(B612,КВСР!A234:B1399,2),IF(C612&gt;0,VLOOKUP(C612,КФСР!A234:B1746,2),IF(D612&gt;0,VLOOKUP(D612,Программа!A$1:B$5100,2),IF(F612&gt;0,VLOOKUP(F612,КВР!A$1:B$5001,2),IF(E612&gt;0,VLOOKUP(E612,Направление!A$1:B$4830,2))))))</f>
        <v>Предоставление субсидий бюджетным, автономным учреждениям и иным некоммерческим организациям</v>
      </c>
      <c r="B612" s="171"/>
      <c r="C612" s="172"/>
      <c r="D612" s="154"/>
      <c r="E612" s="153"/>
      <c r="F612" s="155">
        <v>600</v>
      </c>
      <c r="G612" s="521">
        <v>4000</v>
      </c>
      <c r="H612" s="162"/>
      <c r="I612" s="161">
        <f t="shared" si="11"/>
        <v>4000</v>
      </c>
    </row>
    <row r="613" spans="1:9" s="182" customFormat="1" ht="63" x14ac:dyDescent="0.25">
      <c r="A613" s="157" t="str">
        <f>IF(B613&gt;0,VLOOKUP(B613,КВСР!A233:B1398,2),IF(C613&gt;0,VLOOKUP(C613,КФСР!A233:B1745,2),IF(D613&gt;0,VLOOKUP(D613,Программа!A$1:B$5100,2),IF(F613&gt;0,VLOOKUP(F613,КВР!A$1:B$5001,2),IF(E613&gt;0,VLOOKUP(E613,Направление!A$1:B$4830,2))))))</f>
        <v>Муниципальная целевая программа «Комплексные меры противодействия злоупотреблению наркотиками и их незаконному обороту»</v>
      </c>
      <c r="B613" s="171"/>
      <c r="C613" s="172"/>
      <c r="D613" s="154" t="s">
        <v>723</v>
      </c>
      <c r="E613" s="153"/>
      <c r="F613" s="155"/>
      <c r="G613" s="611">
        <v>400000</v>
      </c>
      <c r="H613" s="161">
        <f>H614</f>
        <v>0</v>
      </c>
      <c r="I613" s="161">
        <f t="shared" si="11"/>
        <v>400000</v>
      </c>
    </row>
    <row r="614" spans="1:9" s="182" customFormat="1" ht="47.25" x14ac:dyDescent="0.25">
      <c r="A614" s="157" t="str">
        <f>IF(B614&gt;0,VLOOKUP(B614,КВСР!A234:B1399,2),IF(C614&gt;0,VLOOKUP(C614,КФСР!A234:B1746,2),IF(D614&gt;0,VLOOKUP(D614,Программа!A$1:B$5100,2),IF(F614&gt;0,VLOOKUP(F614,КВР!A$1:B$5001,2),IF(E614&gt;0,VLOOKUP(E614,Направление!A$1:B$4830,2))))))</f>
        <v>Развитие системы профилактики немедицинского потребления наркотиков</v>
      </c>
      <c r="B614" s="171"/>
      <c r="C614" s="172"/>
      <c r="D614" s="154" t="s">
        <v>725</v>
      </c>
      <c r="E614" s="153"/>
      <c r="F614" s="155"/>
      <c r="G614" s="611">
        <v>400000</v>
      </c>
      <c r="H614" s="161">
        <f>H615</f>
        <v>0</v>
      </c>
      <c r="I614" s="161">
        <f t="shared" si="11"/>
        <v>400000</v>
      </c>
    </row>
    <row r="615" spans="1:9" s="182" customFormat="1" ht="31.5" x14ac:dyDescent="0.25">
      <c r="A615" s="157" t="str">
        <f>IF(B615&gt;0,VLOOKUP(B615,КВСР!A235:B1400,2),IF(C615&gt;0,VLOOKUP(C615,КФСР!A235:B1747,2),IF(D615&gt;0,VLOOKUP(D615,Программа!A$1:B$5100,2),IF(F615&gt;0,VLOOKUP(F615,КВР!A$1:B$5001,2),IF(E615&gt;0,VLOOKUP(E615,Направление!A$1:B$4830,2))))))</f>
        <v>Обеспечение деятельности учреждений спорта</v>
      </c>
      <c r="B615" s="171"/>
      <c r="C615" s="172"/>
      <c r="D615" s="154"/>
      <c r="E615" s="153">
        <v>14020</v>
      </c>
      <c r="F615" s="155"/>
      <c r="G615" s="611">
        <v>400000</v>
      </c>
      <c r="H615" s="161">
        <f>H616</f>
        <v>0</v>
      </c>
      <c r="I615" s="161">
        <f t="shared" si="11"/>
        <v>400000</v>
      </c>
    </row>
    <row r="616" spans="1:9" s="182" customFormat="1" ht="63" x14ac:dyDescent="0.25">
      <c r="A616" s="157" t="str">
        <f>IF(B616&gt;0,VLOOKUP(B616,КВСР!A238:B1403,2),IF(C616&gt;0,VLOOKUP(C616,КФСР!A238:B1750,2),IF(D616&gt;0,VLOOKUP(D616,Программа!A$1:B$5100,2),IF(F616&gt;0,VLOOKUP(F616,КВР!A$1:B$5001,2),IF(E616&gt;0,VLOOKUP(E616,Направление!A$1:B$4830,2))))))</f>
        <v>Предоставление субсидий бюджетным, автономным учреждениям и иным некоммерческим организациям</v>
      </c>
      <c r="B616" s="171"/>
      <c r="C616" s="172"/>
      <c r="D616" s="154"/>
      <c r="E616" s="153"/>
      <c r="F616" s="155">
        <v>600</v>
      </c>
      <c r="G616" s="521">
        <v>400000</v>
      </c>
      <c r="H616" s="162"/>
      <c r="I616" s="161">
        <f t="shared" si="11"/>
        <v>400000</v>
      </c>
    </row>
    <row r="617" spans="1:9" s="182" customFormat="1" ht="63" x14ac:dyDescent="0.25">
      <c r="A617" s="157" t="str">
        <f>IF(B617&gt;0,VLOOKUP(B617,КВСР!A229:B1394,2),IF(C617&gt;0,VLOOKUP(C617,КФСР!A229:B1741,2),IF(D617&gt;0,VLOOKUP(D617,Программа!A$1:B$5100,2),IF(F617&gt;0,VLOOKUP(F617,КВР!A$1:B$5001,2),IF(E617&gt;0,VLOOKUP(E617,Направление!A$1:B$4830,2))))))</f>
        <v>Муниципальная программа "Развитие образования, физической культуры и спорта в Тутаевском муниципальном районе"</v>
      </c>
      <c r="B617" s="171"/>
      <c r="C617" s="172"/>
      <c r="D617" s="154" t="s">
        <v>686</v>
      </c>
      <c r="E617" s="153"/>
      <c r="F617" s="155"/>
      <c r="G617" s="611">
        <v>39889377</v>
      </c>
      <c r="H617" s="161">
        <f>H618</f>
        <v>60000</v>
      </c>
      <c r="I617" s="161">
        <f t="shared" si="11"/>
        <v>39949377</v>
      </c>
    </row>
    <row r="618" spans="1:9" s="182" customFormat="1" ht="63" x14ac:dyDescent="0.25">
      <c r="A618" s="157" t="str">
        <f>IF(B618&gt;0,VLOOKUP(B618,КВСР!A230:B1395,2),IF(C618&gt;0,VLOOKUP(C618,КФСР!A230:B1742,2),IF(D618&gt;0,VLOOKUP(D618,Программа!A$1:B$5100,2),IF(F618&gt;0,VLOOKUP(F618,КВР!A$1:B$5001,2),IF(E618&gt;0,VLOOKUP(E618,Направление!A$1:B$4830,2))))))</f>
        <v>Муниципальная целевая программа "Развитие физической культуры и спорта в Тутаевском муниципальном районе"</v>
      </c>
      <c r="B618" s="171"/>
      <c r="C618" s="172"/>
      <c r="D618" s="154" t="s">
        <v>706</v>
      </c>
      <c r="E618" s="153"/>
      <c r="F618" s="155"/>
      <c r="G618" s="611">
        <v>39889377</v>
      </c>
      <c r="H618" s="161">
        <f>H619+H626</f>
        <v>60000</v>
      </c>
      <c r="I618" s="161">
        <f t="shared" si="11"/>
        <v>39949377</v>
      </c>
    </row>
    <row r="619" spans="1:9" s="182" customFormat="1" ht="94.5" x14ac:dyDescent="0.25">
      <c r="A619" s="157" t="str">
        <f>IF(B619&gt;0,VLOOKUP(B619,КВСР!A231:B1396,2),IF(C619&gt;0,VLOOKUP(C619,КФСР!A231:B1743,2),IF(D619&gt;0,VLOOKUP(D619,Программа!A$1:B$5100,2),IF(F619&gt;0,VLOOKUP(F619,КВР!A$1:B$5001,2),IF(E619&gt;0,VLOOKUP(E619,Направление!A$1:B$4830,2))))))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619" s="171"/>
      <c r="C619" s="172"/>
      <c r="D619" s="154" t="s">
        <v>763</v>
      </c>
      <c r="E619" s="153"/>
      <c r="F619" s="155"/>
      <c r="G619" s="611">
        <v>39889377</v>
      </c>
      <c r="H619" s="161">
        <f>H620+H624+H622</f>
        <v>60000</v>
      </c>
      <c r="I619" s="161">
        <f t="shared" si="11"/>
        <v>39949377</v>
      </c>
    </row>
    <row r="620" spans="1:9" s="182" customFormat="1" ht="31.5" x14ac:dyDescent="0.25">
      <c r="A620" s="157" t="str">
        <f>IF(B620&gt;0,VLOOKUP(B620,КВСР!A232:B1397,2),IF(C620&gt;0,VLOOKUP(C620,КФСР!A232:B1744,2),IF(D620&gt;0,VLOOKUP(D620,Программа!A$1:B$5100,2),IF(F620&gt;0,VLOOKUP(F620,КВР!A$1:B$5001,2),IF(E620&gt;0,VLOOKUP(E620,Направление!A$1:B$4830,2))))))</f>
        <v>Обеспечение деятельности учреждений спорта</v>
      </c>
      <c r="B620" s="171"/>
      <c r="C620" s="172"/>
      <c r="D620" s="154"/>
      <c r="E620" s="153">
        <v>14020</v>
      </c>
      <c r="F620" s="155"/>
      <c r="G620" s="504">
        <v>39417015</v>
      </c>
      <c r="H620" s="159">
        <f>H621</f>
        <v>60000</v>
      </c>
      <c r="I620" s="161">
        <f t="shared" si="11"/>
        <v>39477015</v>
      </c>
    </row>
    <row r="621" spans="1:9" s="182" customFormat="1" ht="63" x14ac:dyDescent="0.25">
      <c r="A621" s="157" t="str">
        <f>IF(B621&gt;0,VLOOKUP(B621,КВСР!A233:B1398,2),IF(C621&gt;0,VLOOKUP(C621,КФСР!A233:B1745,2),IF(D621&gt;0,VLOOKUP(D621,Программа!A$1:B$5100,2),IF(F621&gt;0,VLOOKUP(F621,КВР!A$1:B$5001,2),IF(E621&gt;0,VLOOKUP(E621,Направление!A$1:B$4830,2))))))</f>
        <v>Предоставление субсидий бюджетным, автономным учреждениям и иным некоммерческим организациям</v>
      </c>
      <c r="B621" s="171"/>
      <c r="C621" s="172"/>
      <c r="D621" s="154"/>
      <c r="E621" s="153"/>
      <c r="F621" s="155">
        <v>600</v>
      </c>
      <c r="G621" s="521">
        <v>39417015</v>
      </c>
      <c r="H621" s="162">
        <v>60000</v>
      </c>
      <c r="I621" s="161">
        <f t="shared" si="11"/>
        <v>39477015</v>
      </c>
    </row>
    <row r="622" spans="1:9" s="182" customFormat="1" x14ac:dyDescent="0.25">
      <c r="A622" s="157" t="str">
        <f>IF(B622&gt;0,VLOOKUP(B622,КВСР!A234:B1399,2),IF(C622&gt;0,VLOOKUP(C622,КФСР!A234:B1746,2),IF(D622&gt;0,VLOOKUP(D622,Программа!A$1:B$5100,2),IF(F622&gt;0,VLOOKUP(F622,КВР!A$1:B$5001,2),IF(E622&gt;0,VLOOKUP(E622,Направление!A$1:B$4830,2))))))</f>
        <v xml:space="preserve">Иная дотация </v>
      </c>
      <c r="B622" s="171"/>
      <c r="C622" s="172"/>
      <c r="D622" s="154"/>
      <c r="E622" s="153">
        <v>73260</v>
      </c>
      <c r="F622" s="155"/>
      <c r="G622" s="521">
        <v>190000</v>
      </c>
      <c r="H622" s="521">
        <f>H623</f>
        <v>0</v>
      </c>
      <c r="I622" s="161">
        <f t="shared" si="11"/>
        <v>190000</v>
      </c>
    </row>
    <row r="623" spans="1:9" s="182" customFormat="1" ht="63" x14ac:dyDescent="0.25">
      <c r="A623" s="157" t="str">
        <f>IF(B623&gt;0,VLOOKUP(B623,КВСР!A235:B1400,2),IF(C623&gt;0,VLOOKUP(C623,КФСР!A235:B1747,2),IF(D623&gt;0,VLOOKUP(D623,Программа!A$1:B$5100,2),IF(F623&gt;0,VLOOKUP(F623,КВР!A$1:B$5001,2),IF(E623&gt;0,VLOOKUP(E623,Направление!A$1:B$4830,2))))))</f>
        <v>Предоставление субсидий бюджетным, автономным учреждениям и иным некоммерческим организациям</v>
      </c>
      <c r="B623" s="171"/>
      <c r="C623" s="172"/>
      <c r="D623" s="154"/>
      <c r="E623" s="153"/>
      <c r="F623" s="155">
        <v>600</v>
      </c>
      <c r="G623" s="521">
        <v>190000</v>
      </c>
      <c r="H623" s="162"/>
      <c r="I623" s="161">
        <f t="shared" si="11"/>
        <v>190000</v>
      </c>
    </row>
    <row r="624" spans="1:9" s="182" customFormat="1" ht="94.5" x14ac:dyDescent="0.25">
      <c r="A624" s="157" t="str">
        <f>IF(B624&gt;0,VLOOKUP(B624,КВСР!A234:B1399,2),IF(C624&gt;0,VLOOKUP(C624,КФСР!A234:B1746,2),IF(D624&gt;0,VLOOKUP(D624,Программа!A$1:B$5100,2),IF(F624&gt;0,VLOOKUP(F624,КВР!A$1:B$5001,2),IF(E624&gt;0,VLOOKUP(E624,Направление!A$1:B$4830,2))))))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624" s="171"/>
      <c r="C624" s="172"/>
      <c r="D624" s="154"/>
      <c r="E624" s="153">
        <v>75870</v>
      </c>
      <c r="F624" s="155"/>
      <c r="G624" s="521">
        <v>282362</v>
      </c>
      <c r="H624" s="521">
        <f>H625</f>
        <v>0</v>
      </c>
      <c r="I624" s="521">
        <f>I625</f>
        <v>282362</v>
      </c>
    </row>
    <row r="625" spans="1:9" s="182" customFormat="1" ht="63" x14ac:dyDescent="0.25">
      <c r="A625" s="157" t="str">
        <f>IF(B625&gt;0,VLOOKUP(B625,КВСР!A235:B1400,2),IF(C625&gt;0,VLOOKUP(C625,КФСР!A235:B1747,2),IF(D625&gt;0,VLOOKUP(D625,Программа!A$1:B$5100,2),IF(F625&gt;0,VLOOKUP(F625,КВР!A$1:B$5001,2),IF(E625&gt;0,VLOOKUP(E625,Направление!A$1:B$4830,2))))))</f>
        <v>Предоставление субсидий бюджетным, автономным учреждениям и иным некоммерческим организациям</v>
      </c>
      <c r="B625" s="171"/>
      <c r="C625" s="172"/>
      <c r="D625" s="154"/>
      <c r="E625" s="153"/>
      <c r="F625" s="155">
        <v>600</v>
      </c>
      <c r="G625" s="521">
        <v>282362</v>
      </c>
      <c r="H625" s="162"/>
      <c r="I625" s="161">
        <f t="shared" si="11"/>
        <v>282362</v>
      </c>
    </row>
    <row r="626" spans="1:9" s="182" customFormat="1" ht="47.25" hidden="1" x14ac:dyDescent="0.25">
      <c r="A626" s="157" t="str">
        <f>IF(B626&gt;0,VLOOKUP(B626,КВСР!A234:B1399,2),IF(C626&gt;0,VLOOKUP(C626,КФСР!A234:B1746,2),IF(D626&gt;0,VLOOKUP(D626,Программа!A$1:B$5100,2),IF(F626&gt;0,VLOOKUP(F626,КВР!A$1:B$5001,2),IF(E626&gt;0,VLOOKUP(E626,Направление!A$1:B$4830,2))))))</f>
        <v>Строительство и реконструкция спортивных сооружений и укрепление материальной базы</v>
      </c>
      <c r="B626" s="171"/>
      <c r="C626" s="172"/>
      <c r="D626" s="154" t="s">
        <v>707</v>
      </c>
      <c r="E626" s="153"/>
      <c r="F626" s="155"/>
      <c r="G626" s="611">
        <v>0</v>
      </c>
      <c r="H626" s="161">
        <f>H627</f>
        <v>0</v>
      </c>
      <c r="I626" s="161">
        <f t="shared" si="11"/>
        <v>0</v>
      </c>
    </row>
    <row r="627" spans="1:9" s="182" customFormat="1" ht="47.25" hidden="1" x14ac:dyDescent="0.25">
      <c r="A627" s="157" t="str">
        <f>IF(B627&gt;0,VLOOKUP(B627,КВСР!A235:B1400,2),IF(C627&gt;0,VLOOKUP(C627,КФСР!A235:B1747,2),IF(D627&gt;0,VLOOKUP(D627,Программа!A$1:B$5100,2),IF(F627&gt;0,VLOOKUP(F627,КВР!A$1:B$5001,2),IF(E627&gt;0,VLOOKUP(E627,Направление!A$1:B$4830,2))))))</f>
        <v xml:space="preserve">Развитие сети плоскостных спортивных сооружений в муниципальных образованиях </v>
      </c>
      <c r="B627" s="171"/>
      <c r="C627" s="172"/>
      <c r="D627" s="154"/>
      <c r="E627" s="172" t="s">
        <v>765</v>
      </c>
      <c r="F627" s="173"/>
      <c r="G627" s="611">
        <v>0</v>
      </c>
      <c r="H627" s="161">
        <f>H628</f>
        <v>0</v>
      </c>
      <c r="I627" s="161">
        <f t="shared" si="11"/>
        <v>0</v>
      </c>
    </row>
    <row r="628" spans="1:9" s="182" customFormat="1" ht="63" hidden="1" x14ac:dyDescent="0.25">
      <c r="A628" s="157" t="str">
        <f>IF(B628&gt;0,VLOOKUP(B628,КВСР!A236:B1401,2),IF(C628&gt;0,VLOOKUP(C628,КФСР!A236:B1748,2),IF(D628&gt;0,VLOOKUP(D628,Программа!A$1:B$5100,2),IF(F628&gt;0,VLOOKUP(F628,КВР!A$1:B$5001,2),IF(E628&gt;0,VLOOKUP(E628,Направление!A$1:B$4830,2))))))</f>
        <v>Предоставление субсидий бюджетным, автономным учреждениям и иным некоммерческим организациям</v>
      </c>
      <c r="B628" s="171"/>
      <c r="C628" s="172"/>
      <c r="D628" s="154"/>
      <c r="E628" s="172"/>
      <c r="F628" s="173">
        <v>600</v>
      </c>
      <c r="G628" s="521">
        <v>0</v>
      </c>
      <c r="H628" s="162"/>
      <c r="I628" s="161">
        <f t="shared" si="11"/>
        <v>0</v>
      </c>
    </row>
    <row r="629" spans="1:9" s="182" customFormat="1" ht="47.25" x14ac:dyDescent="0.25">
      <c r="A629" s="157" t="str">
        <f>IF(B629&gt;0,VLOOKUP(B629,КВСР!A237:B1402,2),IF(C629&gt;0,VLOOKUP(C629,КФСР!A237:B1749,2),IF(D629&gt;0,VLOOKUP(D629,Программа!A$1:B$5100,2),IF(F629&gt;0,VLOOKUP(F629,КВР!A$1:B$5001,2),IF(E629&gt;0,VLOOKUP(E629,Направление!A$1:B$4830,2))))))</f>
        <v>Муниципальная программа "Социальная поддержка населения Тутаевского муниципального района"</v>
      </c>
      <c r="B629" s="171"/>
      <c r="C629" s="172"/>
      <c r="D629" s="154" t="s">
        <v>695</v>
      </c>
      <c r="E629" s="172"/>
      <c r="F629" s="173"/>
      <c r="G629" s="521">
        <v>21807</v>
      </c>
      <c r="H629" s="521">
        <f>H630</f>
        <v>-4100</v>
      </c>
      <c r="I629" s="161">
        <f t="shared" si="11"/>
        <v>17707</v>
      </c>
    </row>
    <row r="630" spans="1:9" s="182" customFormat="1" ht="63" x14ac:dyDescent="0.25">
      <c r="A630" s="157" t="str">
        <f>IF(B630&gt;0,VLOOKUP(B630,КВСР!A238:B1403,2),IF(C630&gt;0,VLOOKUP(C630,КФСР!A238:B1750,2),IF(D630&gt;0,VLOOKUP(D630,Программа!A$1:B$5100,2),IF(F630&gt;0,VLOOKUP(F630,КВР!A$1:B$5001,2),IF(E630&gt;0,VLOOKUP(E630,Направление!A$1:B$4830,2))))))</f>
        <v>Муниципальная целевая программа "Улучшение условий и охраны труда" по Тутаевскому муниципальному району</v>
      </c>
      <c r="B630" s="171"/>
      <c r="C630" s="172"/>
      <c r="D630" s="154" t="s">
        <v>697</v>
      </c>
      <c r="E630" s="172"/>
      <c r="F630" s="173"/>
      <c r="G630" s="521">
        <v>21807</v>
      </c>
      <c r="H630" s="521">
        <f>H631+H634</f>
        <v>-4100</v>
      </c>
      <c r="I630" s="161">
        <f t="shared" si="11"/>
        <v>17707</v>
      </c>
    </row>
    <row r="631" spans="1:9" s="182" customFormat="1" ht="63" x14ac:dyDescent="0.25">
      <c r="A631" s="157" t="str">
        <f>IF(B631&gt;0,VLOOKUP(B631,КВСР!A239:B1404,2),IF(C631&gt;0,VLOOKUP(C631,КФСР!A239:B1751,2),IF(D631&gt;0,VLOOKUP(D631,Программа!A$1:B$5100,2),IF(F631&gt;0,VLOOKUP(F631,КВР!A$1:B$5001,2),IF(E631&gt;0,VLOOKUP(E631,Направление!A$1:B$4830,2))))))</f>
        <v>Специальная оценка условий труда работающих в организациях расположенных на территории Тутаевского муниципального района</v>
      </c>
      <c r="B631" s="171"/>
      <c r="C631" s="172"/>
      <c r="D631" s="154" t="s">
        <v>698</v>
      </c>
      <c r="E631" s="172"/>
      <c r="F631" s="173"/>
      <c r="G631" s="521">
        <v>17007</v>
      </c>
      <c r="H631" s="521">
        <f>H632</f>
        <v>-4100</v>
      </c>
      <c r="I631" s="161">
        <f t="shared" si="11"/>
        <v>12907</v>
      </c>
    </row>
    <row r="632" spans="1:9" s="182" customFormat="1" ht="31.5" x14ac:dyDescent="0.25">
      <c r="A632" s="157" t="str">
        <f>IF(B632&gt;0,VLOOKUP(B632,КВСР!A240:B1405,2),IF(C632&gt;0,VLOOKUP(C632,КФСР!A240:B1752,2),IF(D632&gt;0,VLOOKUP(D632,Программа!A$1:B$5100,2),IF(F632&gt;0,VLOOKUP(F632,КВР!A$1:B$5001,2),IF(E632&gt;0,VLOOKUP(E632,Направление!A$1:B$4830,2))))))</f>
        <v>Расходы на реализацию МЦП "Улучшение условий и охраны труда"</v>
      </c>
      <c r="B632" s="171"/>
      <c r="C632" s="172"/>
      <c r="D632" s="154"/>
      <c r="E632" s="172">
        <v>16150</v>
      </c>
      <c r="F632" s="173"/>
      <c r="G632" s="521">
        <v>17007</v>
      </c>
      <c r="H632" s="521">
        <f>H633</f>
        <v>-4100</v>
      </c>
      <c r="I632" s="161">
        <f t="shared" si="11"/>
        <v>12907</v>
      </c>
    </row>
    <row r="633" spans="1:9" s="182" customFormat="1" ht="63" x14ac:dyDescent="0.25">
      <c r="A633" s="157" t="str">
        <f>IF(B633&gt;0,VLOOKUP(B633,КВСР!A241:B1406,2),IF(C633&gt;0,VLOOKUP(C633,КФСР!A241:B1753,2),IF(D633&gt;0,VLOOKUP(D633,Программа!A$1:B$5100,2),IF(F633&gt;0,VLOOKUP(F633,КВР!A$1:B$5001,2),IF(E633&gt;0,VLOOKUP(E633,Направление!A$1:B$4830,2))))))</f>
        <v>Предоставление субсидий бюджетным, автономным учреждениям и иным некоммерческим организациям</v>
      </c>
      <c r="B633" s="171"/>
      <c r="C633" s="172"/>
      <c r="D633" s="154"/>
      <c r="E633" s="172"/>
      <c r="F633" s="173">
        <v>600</v>
      </c>
      <c r="G633" s="521">
        <v>17007</v>
      </c>
      <c r="H633" s="162">
        <v>-4100</v>
      </c>
      <c r="I633" s="161">
        <f t="shared" si="11"/>
        <v>12907</v>
      </c>
    </row>
    <row r="634" spans="1:9" s="182" customFormat="1" ht="63" x14ac:dyDescent="0.25">
      <c r="A634" s="157" t="str">
        <f>IF(B634&gt;0,VLOOKUP(B634,КВСР!A242:B1407,2),IF(C634&gt;0,VLOOKUP(C634,КФСР!A242:B1754,2),IF(D634&gt;0,VLOOKUP(D634,Программа!A$1:B$5100,2),IF(F634&gt;0,VLOOKUP(F634,КВР!A$1:B$5001,2),IF(E634&gt;0,VLOOKUP(E634,Направление!A$1:B$4830,2))))))</f>
        <v>Специальная оценка условий труда работающих в организациях расположенных на территории Тутаевского муниципального района</v>
      </c>
      <c r="B634" s="171"/>
      <c r="C634" s="172"/>
      <c r="D634" s="154" t="s">
        <v>698</v>
      </c>
      <c r="E634" s="172"/>
      <c r="F634" s="173"/>
      <c r="G634" s="521">
        <v>4800</v>
      </c>
      <c r="H634" s="521">
        <f>H635</f>
        <v>0</v>
      </c>
      <c r="I634" s="521">
        <f>I635</f>
        <v>4800</v>
      </c>
    </row>
    <row r="635" spans="1:9" s="182" customFormat="1" ht="31.5" x14ac:dyDescent="0.25">
      <c r="A635" s="157" t="str">
        <f>IF(B635&gt;0,VLOOKUP(B635,КВСР!A243:B1408,2),IF(C635&gt;0,VLOOKUP(C635,КФСР!A243:B1755,2),IF(D635&gt;0,VLOOKUP(D635,Программа!A$1:B$5100,2),IF(F635&gt;0,VLOOKUP(F635,КВР!A$1:B$5001,2),IF(E635&gt;0,VLOOKUP(E635,Направление!A$1:B$4830,2))))))</f>
        <v>Расходы на реализацию МЦП "Улучшение условий и охраны труда"</v>
      </c>
      <c r="B635" s="171"/>
      <c r="C635" s="172"/>
      <c r="D635" s="154"/>
      <c r="E635" s="172">
        <v>16150</v>
      </c>
      <c r="F635" s="173"/>
      <c r="G635" s="521">
        <v>4800</v>
      </c>
      <c r="H635" s="521">
        <f>H636</f>
        <v>0</v>
      </c>
      <c r="I635" s="521">
        <f>I636</f>
        <v>4800</v>
      </c>
    </row>
    <row r="636" spans="1:9" s="182" customFormat="1" ht="63" x14ac:dyDescent="0.25">
      <c r="A636" s="157" t="str">
        <f>IF(B636&gt;0,VLOOKUP(B636,КВСР!A244:B1409,2),IF(C636&gt;0,VLOOKUP(C636,КФСР!A244:B1756,2),IF(D636&gt;0,VLOOKUP(D636,Программа!A$1:B$5100,2),IF(F636&gt;0,VLOOKUP(F636,КВР!A$1:B$5001,2),IF(E636&gt;0,VLOOKUP(E636,Направление!A$1:B$4830,2))))))</f>
        <v>Предоставление субсидий бюджетным, автономным учреждениям и иным некоммерческим организациям</v>
      </c>
      <c r="B636" s="171"/>
      <c r="C636" s="172"/>
      <c r="D636" s="154"/>
      <c r="E636" s="172"/>
      <c r="F636" s="173">
        <v>600</v>
      </c>
      <c r="G636" s="521">
        <v>4800</v>
      </c>
      <c r="H636" s="162"/>
      <c r="I636" s="161">
        <f>G636+H636</f>
        <v>4800</v>
      </c>
    </row>
    <row r="637" spans="1:9" s="182" customFormat="1" ht="31.5" x14ac:dyDescent="0.25">
      <c r="A637" s="151" t="str">
        <f>IF(B637&gt;0,VLOOKUP(B637,КВСР!A236:B1401,2),IF(C637&gt;0,VLOOKUP(C637,КФСР!A236:B1748,2),IF(D637&gt;0,VLOOKUP(D637,Программа!A$1:B$5100,2),IF(F637&gt;0,VLOOKUP(F637,КВР!A$1:B$5001,2),IF(E637&gt;0,VLOOKUP(E637,Направление!A$1:B$4830,2))))))</f>
        <v>Департамент труда и соц. развития Администрации ТМР</v>
      </c>
      <c r="B637" s="152">
        <v>954</v>
      </c>
      <c r="C637" s="153"/>
      <c r="D637" s="154"/>
      <c r="E637" s="153"/>
      <c r="F637" s="155"/>
      <c r="G637" s="610">
        <v>407756729</v>
      </c>
      <c r="H637" s="156">
        <f>H638+H648+H654+H724+H751</f>
        <v>455804</v>
      </c>
      <c r="I637" s="625">
        <f t="shared" si="11"/>
        <v>408212533</v>
      </c>
    </row>
    <row r="638" spans="1:9" s="182" customFormat="1" x14ac:dyDescent="0.25">
      <c r="A638" s="157" t="str">
        <f>IF(B638&gt;0,VLOOKUP(B638,КВСР!A241:B1406,2),IF(C638&gt;0,VLOOKUP(C638,КФСР!A241:B1753,2),IF(D638&gt;0,VLOOKUP(D638,Программа!A$1:B$5100,2),IF(F638&gt;0,VLOOKUP(F638,КВР!A$1:B$5001,2),IF(E638&gt;0,VLOOKUP(E638,Направление!A$1:B$4830,2))))))</f>
        <v>Пенсионное обеспечение</v>
      </c>
      <c r="B638" s="158"/>
      <c r="C638" s="153">
        <v>1001</v>
      </c>
      <c r="D638" s="154"/>
      <c r="E638" s="153"/>
      <c r="F638" s="155"/>
      <c r="G638" s="611">
        <v>4226600</v>
      </c>
      <c r="H638" s="161">
        <f>H639</f>
        <v>17666</v>
      </c>
      <c r="I638" s="161">
        <f t="shared" si="11"/>
        <v>4244266</v>
      </c>
    </row>
    <row r="639" spans="1:9" s="182" customFormat="1" ht="47.25" x14ac:dyDescent="0.25">
      <c r="A639" s="157" t="str">
        <f>IF(B639&gt;0,VLOOKUP(B639,КВСР!A242:B1407,2),IF(C639&gt;0,VLOOKUP(C639,КФСР!A242:B1754,2),IF(D639&gt;0,VLOOKUP(D639,Программа!A$1:B$5100,2),IF(F639&gt;0,VLOOKUP(F639,КВР!A$1:B$5001,2),IF(E639&gt;0,VLOOKUP(E639,Направление!A$1:B$4830,2))))))</f>
        <v>Муниципальная программа "Социальная поддержка населения Тутаевского муниципального района"</v>
      </c>
      <c r="B639" s="158"/>
      <c r="C639" s="153"/>
      <c r="D639" s="174" t="s">
        <v>695</v>
      </c>
      <c r="E639" s="172"/>
      <c r="F639" s="155"/>
      <c r="G639" s="611">
        <v>4226600</v>
      </c>
      <c r="H639" s="161">
        <f>H641</f>
        <v>17666</v>
      </c>
      <c r="I639" s="161">
        <f t="shared" si="11"/>
        <v>4244266</v>
      </c>
    </row>
    <row r="640" spans="1:9" s="182" customFormat="1" ht="47.25" x14ac:dyDescent="0.25">
      <c r="A640" s="157" t="str">
        <f>IF(B640&gt;0,VLOOKUP(B640,КВСР!A243:B1408,2),IF(C640&gt;0,VLOOKUP(C640,КФСР!A243:B1755,2),IF(D640&gt;0,VLOOKUP(D640,Программа!A$1:B$5100,2),IF(F640&gt;0,VLOOKUP(F640,КВР!A$1:B$5001,2),IF(E640&gt;0,VLOOKUP(E640,Направление!A$1:B$4830,2))))))</f>
        <v xml:space="preserve">Ведомственная целевая программа «Социальная поддержка населения Тутаевского муниципального района» </v>
      </c>
      <c r="B640" s="158"/>
      <c r="C640" s="153"/>
      <c r="D640" s="174" t="s">
        <v>768</v>
      </c>
      <c r="E640" s="172"/>
      <c r="F640" s="155"/>
      <c r="G640" s="611">
        <v>4226600</v>
      </c>
      <c r="H640" s="161">
        <f>H641</f>
        <v>17666</v>
      </c>
      <c r="I640" s="161">
        <f t="shared" si="11"/>
        <v>4244266</v>
      </c>
    </row>
    <row r="641" spans="1:9" s="182" customFormat="1" ht="47.25" x14ac:dyDescent="0.25">
      <c r="A641" s="157" t="str">
        <f>IF(B641&gt;0,VLOOKUP(B641,КВСР!A244:B1409,2),IF(C641&gt;0,VLOOKUP(C641,КФСР!A244:B1756,2),IF(D641&gt;0,VLOOKUP(D641,Программа!A$1:B$5100,2),IF(F641&gt;0,VLOOKUP(F641,КВР!A$1:B$5001,2),IF(E641&gt;0,VLOOKUP(E641,Направление!A$1:B$4830,2))))))</f>
        <v>Исполнение публичных обязательств по предоставлению выплат, пособий и компенсаций</v>
      </c>
      <c r="B641" s="158"/>
      <c r="C641" s="153"/>
      <c r="D641" s="174" t="s">
        <v>770</v>
      </c>
      <c r="E641" s="172"/>
      <c r="F641" s="155"/>
      <c r="G641" s="611">
        <f>G642+G645</f>
        <v>4226600</v>
      </c>
      <c r="H641" s="611">
        <f t="shared" ref="H641:I641" si="12">H642+H645</f>
        <v>17666</v>
      </c>
      <c r="I641" s="611">
        <f t="shared" si="12"/>
        <v>4244266</v>
      </c>
    </row>
    <row r="642" spans="1:9" s="182" customFormat="1" ht="31.5" x14ac:dyDescent="0.25">
      <c r="A642" s="157" t="str">
        <f>IF(B642&gt;0,VLOOKUP(B642,КВСР!A245:B1410,2),IF(C642&gt;0,VLOOKUP(C642,КФСР!A245:B1757,2),IF(D642&gt;0,VLOOKUP(D642,Программа!A$1:B$5100,2),IF(F642&gt;0,VLOOKUP(F642,КВР!A$1:B$5001,2),IF(E642&gt;0,VLOOKUP(E642,Направление!A$1:B$4830,2))))))</f>
        <v>Доплаты к пенсиям муниципальных служащих</v>
      </c>
      <c r="B642" s="158"/>
      <c r="C642" s="153"/>
      <c r="D642" s="154"/>
      <c r="E642" s="153">
        <v>16010</v>
      </c>
      <c r="F642" s="155"/>
      <c r="G642" s="611">
        <v>4226600</v>
      </c>
      <c r="H642" s="161">
        <f>H644+H643</f>
        <v>-98334</v>
      </c>
      <c r="I642" s="161">
        <f t="shared" si="11"/>
        <v>4128266</v>
      </c>
    </row>
    <row r="643" spans="1:9" s="182" customFormat="1" ht="63" x14ac:dyDescent="0.25">
      <c r="A643" s="157" t="str">
        <f>IF(B643&gt;0,VLOOKUP(B643,КВСР!A244:B1409,2),IF(C643&gt;0,VLOOKUP(C643,КФСР!A244:B1756,2),IF(D643&gt;0,VLOOKUP(D643,Программа!A$1:B$5100,2),IF(F643&gt;0,VLOOKUP(F643,КВР!A$1:B$5001,2),IF(E643&gt;0,VLOOKUP(E643,Направление!A$1:B$4830,2))))))</f>
        <v xml:space="preserve">Закупка товаров, работ и услуг для обеспечения государственных (муниципальных) нужд
</v>
      </c>
      <c r="B643" s="158"/>
      <c r="C643" s="153"/>
      <c r="D643" s="155"/>
      <c r="E643" s="153"/>
      <c r="F643" s="155">
        <v>200</v>
      </c>
      <c r="G643" s="644">
        <v>62400</v>
      </c>
      <c r="H643" s="163">
        <v>-1756</v>
      </c>
      <c r="I643" s="161">
        <f t="shared" si="11"/>
        <v>60644</v>
      </c>
    </row>
    <row r="644" spans="1:9" s="182" customFormat="1" ht="31.5" x14ac:dyDescent="0.25">
      <c r="A644" s="157" t="str">
        <f>IF(B644&gt;0,VLOOKUP(B644,КВСР!A244:B1409,2),IF(C644&gt;0,VLOOKUP(C644,КФСР!A244:B1756,2),IF(D644&gt;0,VLOOKUP(D644,Программа!A$1:B$5100,2),IF(F644&gt;0,VLOOKUP(F644,КВР!A$1:B$5001,2),IF(E644&gt;0,VLOOKUP(E644,Направление!A$1:B$4830,2))))))</f>
        <v>Социальное обеспечение и иные выплаты населению</v>
      </c>
      <c r="B644" s="158"/>
      <c r="C644" s="153"/>
      <c r="D644" s="155"/>
      <c r="E644" s="153"/>
      <c r="F644" s="155">
        <v>300</v>
      </c>
      <c r="G644" s="160">
        <v>4164200</v>
      </c>
      <c r="H644" s="160">
        <v>-96578</v>
      </c>
      <c r="I644" s="161">
        <f t="shared" si="11"/>
        <v>4067622</v>
      </c>
    </row>
    <row r="645" spans="1:9" s="182" customFormat="1" ht="63" x14ac:dyDescent="0.25">
      <c r="A645" s="157" t="str">
        <f>IF(B645&gt;0,VLOOKUP(B645,КВСР!A245:B1410,2),IF(C645&gt;0,VLOOKUP(C645,КФСР!A245:B1757,2),IF(D645&gt;0,VLOOKUP(D645,Программа!A$1:B$5100,2),IF(F645&gt;0,VLOOKUP(F645,КВР!A$1:B$5001,2),IF(E645&gt;0,VLOOKUP(E645,Направление!A$1:B$4830,2))))))</f>
        <v>Обеспечение мероприятий по  формированию современной  городской среды в области обустройства мест массового отдыха</v>
      </c>
      <c r="B645" s="158"/>
      <c r="C645" s="153"/>
      <c r="D645" s="155"/>
      <c r="E645" s="153">
        <v>29756</v>
      </c>
      <c r="F645" s="155"/>
      <c r="G645" s="538">
        <f>G646+G647</f>
        <v>0</v>
      </c>
      <c r="H645" s="538">
        <f t="shared" ref="H645:I645" si="13">H646+H647</f>
        <v>116000</v>
      </c>
      <c r="I645" s="538">
        <f t="shared" si="13"/>
        <v>116000</v>
      </c>
    </row>
    <row r="646" spans="1:9" s="182" customFormat="1" ht="63" x14ac:dyDescent="0.25">
      <c r="A646" s="157" t="str">
        <f>IF(B646&gt;0,VLOOKUP(B646,КВСР!A246:B1411,2),IF(C646&gt;0,VLOOKUP(C646,КФСР!A246:B1758,2),IF(D646&gt;0,VLOOKUP(D646,Программа!A$1:B$5100,2),IF(F646&gt;0,VLOOKUP(F646,КВР!A$1:B$5001,2),IF(E646&gt;0,VLOOKUP(E646,Направление!A$1:B$4830,2))))))</f>
        <v xml:space="preserve">Закупка товаров, работ и услуг для обеспечения государственных (муниципальных) нужд
</v>
      </c>
      <c r="B646" s="158"/>
      <c r="C646" s="153"/>
      <c r="D646" s="155"/>
      <c r="E646" s="153"/>
      <c r="F646" s="155">
        <v>200</v>
      </c>
      <c r="G646" s="160"/>
      <c r="H646" s="160">
        <f>1885-171</f>
        <v>1714</v>
      </c>
      <c r="I646" s="161">
        <f>G646+H646</f>
        <v>1714</v>
      </c>
    </row>
    <row r="647" spans="1:9" s="182" customFormat="1" ht="31.5" x14ac:dyDescent="0.25">
      <c r="A647" s="157" t="str">
        <f>IF(B647&gt;0,VLOOKUP(B647,КВСР!A247:B1412,2),IF(C647&gt;0,VLOOKUP(C647,КФСР!A247:B1759,2),IF(D647&gt;0,VLOOKUP(D647,Программа!A$1:B$5100,2),IF(F647&gt;0,VLOOKUP(F647,КВР!A$1:B$5001,2),IF(E647&gt;0,VLOOKUP(E647,Направление!A$1:B$4830,2))))))</f>
        <v>Социальное обеспечение и иные выплаты населению</v>
      </c>
      <c r="B647" s="158"/>
      <c r="C647" s="153"/>
      <c r="D647" s="155"/>
      <c r="E647" s="153"/>
      <c r="F647" s="155">
        <v>300</v>
      </c>
      <c r="G647" s="160"/>
      <c r="H647" s="160">
        <f>125671-11385</f>
        <v>114286</v>
      </c>
      <c r="I647" s="161">
        <f>G647+H647</f>
        <v>114286</v>
      </c>
    </row>
    <row r="648" spans="1:9" s="182" customFormat="1" x14ac:dyDescent="0.25">
      <c r="A648" s="157" t="str">
        <f>IF(B648&gt;0,VLOOKUP(B648,КВСР!A245:B1410,2),IF(C648&gt;0,VLOOKUP(C648,КФСР!A245:B1757,2),IF(D648&gt;0,VLOOKUP(D648,Программа!A$1:B$5100,2),IF(F648&gt;0,VLOOKUP(F648,КВР!A$1:B$5001,2),IF(E648&gt;0,VLOOKUP(E648,Направление!A$1:B$4830,2))))))</f>
        <v>Социальное обслуживание населения</v>
      </c>
      <c r="B648" s="158"/>
      <c r="C648" s="153">
        <v>1002</v>
      </c>
      <c r="D648" s="154"/>
      <c r="E648" s="153"/>
      <c r="F648" s="155"/>
      <c r="G648" s="611">
        <v>79237503</v>
      </c>
      <c r="H648" s="161">
        <f>H649</f>
        <v>0</v>
      </c>
      <c r="I648" s="161">
        <f t="shared" si="11"/>
        <v>79237503</v>
      </c>
    </row>
    <row r="649" spans="1:9" s="182" customFormat="1" ht="47.25" x14ac:dyDescent="0.25">
      <c r="A649" s="157" t="str">
        <f>IF(B649&gt;0,VLOOKUP(B649,КВСР!A246:B1411,2),IF(C649&gt;0,VLOOKUP(C649,КФСР!A246:B1758,2),IF(D649&gt;0,VLOOKUP(D649,Программа!A$1:B$5100,2),IF(F649&gt;0,VLOOKUP(F649,КВР!A$1:B$5001,2),IF(E649&gt;0,VLOOKUP(E649,Направление!A$1:B$4830,2))))))</f>
        <v>Муниципальная программа "Социальная поддержка населения Тутаевского муниципального района"</v>
      </c>
      <c r="B649" s="158"/>
      <c r="C649" s="153"/>
      <c r="D649" s="154" t="s">
        <v>695</v>
      </c>
      <c r="E649" s="153"/>
      <c r="F649" s="155"/>
      <c r="G649" s="611">
        <v>79237503</v>
      </c>
      <c r="H649" s="161">
        <f>H651</f>
        <v>0</v>
      </c>
      <c r="I649" s="161">
        <f t="shared" si="11"/>
        <v>79237503</v>
      </c>
    </row>
    <row r="650" spans="1:9" s="182" customFormat="1" ht="47.25" x14ac:dyDescent="0.25">
      <c r="A650" s="157" t="str">
        <f>IF(B650&gt;0,VLOOKUP(B650,КВСР!A247:B1412,2),IF(C650&gt;0,VLOOKUP(C650,КФСР!A247:B1759,2),IF(D650&gt;0,VLOOKUP(D650,Программа!A$1:B$5100,2),IF(F650&gt;0,VLOOKUP(F650,КВР!A$1:B$5001,2),IF(E650&gt;0,VLOOKUP(E650,Направление!A$1:B$4830,2))))))</f>
        <v xml:space="preserve">Ведомственная целевая программа «Социальная поддержка населения Тутаевского муниципального района» </v>
      </c>
      <c r="B650" s="158"/>
      <c r="C650" s="153"/>
      <c r="D650" s="154" t="s">
        <v>768</v>
      </c>
      <c r="E650" s="153"/>
      <c r="F650" s="155"/>
      <c r="G650" s="611">
        <v>79237503</v>
      </c>
      <c r="H650" s="161">
        <f>H651</f>
        <v>0</v>
      </c>
      <c r="I650" s="161">
        <f t="shared" si="11"/>
        <v>79237503</v>
      </c>
    </row>
    <row r="651" spans="1:9" s="182" customFormat="1" ht="63" x14ac:dyDescent="0.25">
      <c r="A651" s="157" t="str">
        <f>IF(B651&gt;0,VLOOKUP(B651,КВСР!A248:B1413,2),IF(C651&gt;0,VLOOKUP(C651,КФСР!A248:B1760,2),IF(D651&gt;0,VLOOKUP(D651,Программа!A$1:B$5100,2),IF(F651&gt;0,VLOOKUP(F651,КВР!A$1:B$5001,2),IF(E651&gt;0,VLOOKUP(E651,Направление!A$1:B$4830,2))))))</f>
        <v>Предоставление социальных услуг населению Тутаевского муниципального района на основе соблюдения стандартов и нормативов</v>
      </c>
      <c r="B651" s="158"/>
      <c r="C651" s="153"/>
      <c r="D651" s="154" t="s">
        <v>773</v>
      </c>
      <c r="E651" s="153"/>
      <c r="F651" s="155"/>
      <c r="G651" s="611">
        <v>79237503</v>
      </c>
      <c r="H651" s="161">
        <f>H652</f>
        <v>0</v>
      </c>
      <c r="I651" s="161">
        <f t="shared" si="11"/>
        <v>79237503</v>
      </c>
    </row>
    <row r="652" spans="1:9" s="182" customFormat="1" ht="141.75" x14ac:dyDescent="0.25">
      <c r="A652" s="157" t="str">
        <f>IF(B652&gt;0,VLOOKUP(B652,КВСР!A248:B1413,2),IF(C652&gt;0,VLOOKUP(C652,КФСР!A248:B1760,2),IF(D652&gt;0,VLOOKUP(D652,Программа!A$1:B$5100,2),IF(F652&gt;0,VLOOKUP(F652,КВР!A$1:B$5001,2),IF(E652&gt;0,VLOOKUP(E652,Направление!A$1:B$4830,2))))))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652" s="158"/>
      <c r="C652" s="153"/>
      <c r="D652" s="154"/>
      <c r="E652" s="153">
        <v>70850</v>
      </c>
      <c r="F652" s="155"/>
      <c r="G652" s="504">
        <v>79237503</v>
      </c>
      <c r="H652" s="159">
        <f>H653</f>
        <v>0</v>
      </c>
      <c r="I652" s="161">
        <f t="shared" si="11"/>
        <v>79237503</v>
      </c>
    </row>
    <row r="653" spans="1:9" s="182" customFormat="1" ht="63" x14ac:dyDescent="0.25">
      <c r="A653" s="157" t="str">
        <f>IF(B653&gt;0,VLOOKUP(B653,КВСР!A249:B1414,2),IF(C653&gt;0,VLOOKUP(C653,КФСР!A249:B1761,2),IF(D653&gt;0,VLOOKUP(D653,Программа!A$1:B$5100,2),IF(F653&gt;0,VLOOKUP(F653,КВР!A$1:B$5001,2),IF(E653&gt;0,VLOOKUP(E653,Направление!A$1:B$4830,2))))))</f>
        <v>Предоставление субсидий бюджетным, автономным учреждениям и иным некоммерческим организациям</v>
      </c>
      <c r="B653" s="158"/>
      <c r="C653" s="153"/>
      <c r="D653" s="155"/>
      <c r="E653" s="153"/>
      <c r="F653" s="155">
        <v>600</v>
      </c>
      <c r="G653" s="502">
        <v>79237503</v>
      </c>
      <c r="H653" s="160"/>
      <c r="I653" s="161">
        <f t="shared" si="11"/>
        <v>79237503</v>
      </c>
    </row>
    <row r="654" spans="1:9" s="182" customFormat="1" x14ac:dyDescent="0.25">
      <c r="A654" s="157" t="str">
        <f>IF(B654&gt;0,VLOOKUP(B654,КВСР!A250:B1415,2),IF(C654&gt;0,VLOOKUP(C654,КФСР!A250:B1762,2),IF(D654&gt;0,VLOOKUP(D654,Программа!A$1:B$5100,2),IF(F654&gt;0,VLOOKUP(F654,КВР!A$1:B$5001,2),IF(E654&gt;0,VLOOKUP(E654,Направление!A$1:B$4830,2))))))</f>
        <v>Социальное обеспечение населения</v>
      </c>
      <c r="B654" s="158"/>
      <c r="C654" s="153">
        <v>1003</v>
      </c>
      <c r="D654" s="154"/>
      <c r="E654" s="153"/>
      <c r="F654" s="155"/>
      <c r="G654" s="161">
        <v>235610384</v>
      </c>
      <c r="H654" s="161">
        <f>H655+H721</f>
        <v>31328</v>
      </c>
      <c r="I654" s="161">
        <f>I655+I721</f>
        <v>235641712</v>
      </c>
    </row>
    <row r="655" spans="1:9" s="182" customFormat="1" ht="47.25" x14ac:dyDescent="0.25">
      <c r="A655" s="157" t="str">
        <f>IF(B655&gt;0,VLOOKUP(B655,КВСР!A251:B1416,2),IF(C655&gt;0,VLOOKUP(C655,КФСР!A251:B1763,2),IF(D655&gt;0,VLOOKUP(D655,Программа!A$1:B$5100,2),IF(F655&gt;0,VLOOKUP(F655,КВР!A$1:B$5001,2),IF(E655&gt;0,VLOOKUP(E655,Направление!A$1:B$4830,2))))))</f>
        <v>Муниципальная программа "Социальная поддержка населения Тутаевского муниципального района"</v>
      </c>
      <c r="B655" s="158"/>
      <c r="C655" s="153"/>
      <c r="D655" s="154" t="s">
        <v>695</v>
      </c>
      <c r="E655" s="153"/>
      <c r="F655" s="155"/>
      <c r="G655" s="611">
        <v>235535384</v>
      </c>
      <c r="H655" s="611">
        <f>H656</f>
        <v>21328</v>
      </c>
      <c r="I655" s="611">
        <f>I656</f>
        <v>235556712</v>
      </c>
    </row>
    <row r="656" spans="1:9" s="182" customFormat="1" ht="47.25" x14ac:dyDescent="0.25">
      <c r="A656" s="157" t="str">
        <f>IF(B656&gt;0,VLOOKUP(B656,КВСР!A251:B1416,2),IF(C656&gt;0,VLOOKUP(C656,КФСР!A251:B1763,2),IF(D656&gt;0,VLOOKUP(D656,Программа!A$1:B$5100,2),IF(F656&gt;0,VLOOKUP(F656,КВР!A$1:B$5001,2),IF(E656&gt;0,VLOOKUP(E656,Направление!A$1:B$4830,2))))))</f>
        <v xml:space="preserve">Ведомственная целевая программа «Социальная поддержка населения Тутаевского муниципального района» </v>
      </c>
      <c r="B656" s="158"/>
      <c r="C656" s="153"/>
      <c r="D656" s="154" t="s">
        <v>768</v>
      </c>
      <c r="E656" s="153"/>
      <c r="F656" s="155"/>
      <c r="G656" s="611">
        <v>235535384</v>
      </c>
      <c r="H656" s="611">
        <f>H657+H712</f>
        <v>21328</v>
      </c>
      <c r="I656" s="161">
        <f>SUM(G656:H656)</f>
        <v>235556712</v>
      </c>
    </row>
    <row r="657" spans="1:9" s="182" customFormat="1" ht="47.25" x14ac:dyDescent="0.25">
      <c r="A657" s="157" t="str">
        <f>IF(B657&gt;0,VLOOKUP(B657,КВСР!A252:B1417,2),IF(C657&gt;0,VLOOKUP(C657,КФСР!A252:B1764,2),IF(D657&gt;0,VLOOKUP(D657,Программа!A$1:B$5100,2),IF(F657&gt;0,VLOOKUP(F657,КВР!A$1:B$5001,2),IF(E657&gt;0,VLOOKUP(E657,Направление!A$1:B$4830,2))))))</f>
        <v>Исполнение публичных обязательств по предоставлению выплат, пособий и компенсаций</v>
      </c>
      <c r="B657" s="158"/>
      <c r="C657" s="153"/>
      <c r="D657" s="154" t="s">
        <v>770</v>
      </c>
      <c r="E657" s="153"/>
      <c r="F657" s="155"/>
      <c r="G657" s="611">
        <v>230626184</v>
      </c>
      <c r="H657" s="611">
        <f>H658+H661+H664+H666+H669+H671+H673+H679+H685+H691+H697+H700+H706+H708+H676+H682+H688+H694+H703+H710</f>
        <v>21328</v>
      </c>
      <c r="I657" s="161">
        <f t="shared" ref="I657:I717" si="14">SUM(G657:H657)</f>
        <v>230647512</v>
      </c>
    </row>
    <row r="658" spans="1:9" s="182" customFormat="1" ht="47.25" x14ac:dyDescent="0.25">
      <c r="A658" s="157" t="str">
        <f>IF(B658&gt;0,VLOOKUP(B658,КВСР!A254:B1419,2),IF(C658&gt;0,VLOOKUP(C658,КФСР!A254:B1766,2),IF(D658&gt;0,VLOOKUP(D658,Программа!A$1:B$5100,2),IF(F658&gt;0,VLOOKUP(F658,КВР!A$1:B$5001,2),IF(E658&gt;0,VLOOKUP(E658,Направление!A$1:B$4830,2))))))</f>
        <v>Субвенция на социальную поддержку граждан, подвергшихся воздействию радиации</v>
      </c>
      <c r="B658" s="158"/>
      <c r="C658" s="153"/>
      <c r="D658" s="154"/>
      <c r="E658" s="153">
        <v>51370</v>
      </c>
      <c r="F658" s="155"/>
      <c r="G658" s="611">
        <v>1514200</v>
      </c>
      <c r="H658" s="161">
        <f>H659+H660</f>
        <v>26800</v>
      </c>
      <c r="I658" s="161">
        <f t="shared" si="14"/>
        <v>1541000</v>
      </c>
    </row>
    <row r="659" spans="1:9" s="182" customFormat="1" ht="63" x14ac:dyDescent="0.25">
      <c r="A659" s="157" t="str">
        <f>IF(B659&gt;0,VLOOKUP(B659,КВСР!A255:B1420,2),IF(C659&gt;0,VLOOKUP(C659,КФСР!A255:B1767,2),IF(D659&gt;0,VLOOKUP(D659,Программа!A$1:B$5100,2),IF(F659&gt;0,VLOOKUP(F659,КВР!A$1:B$5001,2),IF(E659&gt;0,VLOOKUP(E659,Направление!A$1:B$4830,2))))))</f>
        <v xml:space="preserve">Закупка товаров, работ и услуг для обеспечения государственных (муниципальных) нужд
</v>
      </c>
      <c r="B659" s="158"/>
      <c r="C659" s="153"/>
      <c r="D659" s="155"/>
      <c r="E659" s="183"/>
      <c r="F659" s="155">
        <v>200</v>
      </c>
      <c r="G659" s="521">
        <v>22378</v>
      </c>
      <c r="H659" s="162">
        <v>-260</v>
      </c>
      <c r="I659" s="161">
        <f t="shared" si="14"/>
        <v>22118</v>
      </c>
    </row>
    <row r="660" spans="1:9" s="182" customFormat="1" ht="31.5" x14ac:dyDescent="0.25">
      <c r="A660" s="157" t="str">
        <f>IF(B660&gt;0,VLOOKUP(B660,КВСР!A256:B1421,2),IF(C660&gt;0,VLOOKUP(C660,КФСР!A256:B1768,2),IF(D660&gt;0,VLOOKUP(D660,Программа!A$1:B$5100,2),IF(F660&gt;0,VLOOKUP(F660,КВР!A$1:B$5001,2),IF(E660&gt;0,VLOOKUP(E660,Направление!A$1:B$4830,2))))))</f>
        <v>Социальное обеспечение и иные выплаты населению</v>
      </c>
      <c r="B660" s="158"/>
      <c r="C660" s="153"/>
      <c r="D660" s="155"/>
      <c r="E660" s="183"/>
      <c r="F660" s="155">
        <v>300</v>
      </c>
      <c r="G660" s="521">
        <v>1491822</v>
      </c>
      <c r="H660" s="162">
        <v>27060</v>
      </c>
      <c r="I660" s="161">
        <f t="shared" si="14"/>
        <v>1518882</v>
      </c>
    </row>
    <row r="661" spans="1:9" s="182" customFormat="1" ht="110.25" x14ac:dyDescent="0.25">
      <c r="A661" s="157" t="str">
        <f>IF(B661&gt;0,VLOOKUP(B661,КВСР!A252:B1417,2),IF(C661&gt;0,VLOOKUP(C661,КФСР!A252:B1764,2),IF(D661&gt;0,VLOOKUP(D661,Программа!A$1:B$5100,2),IF(F661&gt;0,VLOOKUP(F661,КВР!A$1:B$5001,2),IF(E661&gt;0,VLOOKUP(E661,Направление!A$1:B$4830,2))))))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661" s="158"/>
      <c r="C661" s="153"/>
      <c r="D661" s="154"/>
      <c r="E661" s="153">
        <v>52200</v>
      </c>
      <c r="F661" s="155"/>
      <c r="G661" s="611">
        <v>5423362</v>
      </c>
      <c r="H661" s="161">
        <f>H662+H663</f>
        <v>0</v>
      </c>
      <c r="I661" s="161">
        <f t="shared" si="14"/>
        <v>5423362</v>
      </c>
    </row>
    <row r="662" spans="1:9" s="182" customFormat="1" ht="63" x14ac:dyDescent="0.25">
      <c r="A662" s="157" t="str">
        <f>IF(B662&gt;0,VLOOKUP(B662,КВСР!A253:B1418,2),IF(C662&gt;0,VLOOKUP(C662,КФСР!A253:B1765,2),IF(D662&gt;0,VLOOKUP(D662,Программа!A$1:B$5100,2),IF(F662&gt;0,VLOOKUP(F662,КВР!A$1:B$5001,2),IF(E662&gt;0,VLOOKUP(E662,Направление!A$1:B$4830,2))))))</f>
        <v xml:space="preserve">Закупка товаров, работ и услуг для обеспечения государственных (муниципальных) нужд
</v>
      </c>
      <c r="B662" s="158"/>
      <c r="C662" s="153"/>
      <c r="D662" s="155"/>
      <c r="E662" s="183"/>
      <c r="F662" s="155">
        <v>200</v>
      </c>
      <c r="G662" s="521">
        <v>107274</v>
      </c>
      <c r="H662" s="162">
        <v>-27126</v>
      </c>
      <c r="I662" s="161">
        <f t="shared" si="14"/>
        <v>80148</v>
      </c>
    </row>
    <row r="663" spans="1:9" s="182" customFormat="1" ht="31.5" x14ac:dyDescent="0.25">
      <c r="A663" s="157" t="str">
        <f>IF(B663&gt;0,VLOOKUP(B663,КВСР!A254:B1419,2),IF(C663&gt;0,VLOOKUP(C663,КФСР!A254:B1766,2),IF(D663&gt;0,VLOOKUP(D663,Программа!A$1:B$5100,2),IF(F663&gt;0,VLOOKUP(F663,КВР!A$1:B$5001,2),IF(E663&gt;0,VLOOKUP(E663,Направление!A$1:B$4830,2))))))</f>
        <v>Социальное обеспечение и иные выплаты населению</v>
      </c>
      <c r="B663" s="158"/>
      <c r="C663" s="153"/>
      <c r="D663" s="155"/>
      <c r="E663" s="183"/>
      <c r="F663" s="155">
        <v>300</v>
      </c>
      <c r="G663" s="521">
        <v>5316088</v>
      </c>
      <c r="H663" s="162">
        <v>27126</v>
      </c>
      <c r="I663" s="161">
        <f t="shared" si="14"/>
        <v>5343214</v>
      </c>
    </row>
    <row r="664" spans="1:9" s="182" customFormat="1" ht="78.75" hidden="1" x14ac:dyDescent="0.25">
      <c r="A664" s="157" t="str">
        <f>IF(B664&gt;0,VLOOKUP(B664,КВСР!A255:B1420,2),IF(C664&gt;0,VLOOKUP(C664,КФСР!A255:B1767,2),IF(D664&gt;0,VLOOKUP(D664,Программа!A$1:B$5100,2),IF(F664&gt;0,VLOOKUP(F664,КВР!A$1:B$5001,2),IF(E664&gt;0,VLOOKUP(E664,Направление!A$1:B$4830,2))))))</f>
        <v>Выплата государственных единовременных пособий и ежемесячных денежных компенсаций гражданам при возникновении поствакцинальных осложнений</v>
      </c>
      <c r="B664" s="158"/>
      <c r="C664" s="153"/>
      <c r="D664" s="154"/>
      <c r="E664" s="153">
        <v>52400</v>
      </c>
      <c r="F664" s="155"/>
      <c r="G664" s="611">
        <v>0</v>
      </c>
      <c r="H664" s="161">
        <f>H665</f>
        <v>0</v>
      </c>
      <c r="I664" s="161">
        <f t="shared" si="14"/>
        <v>0</v>
      </c>
    </row>
    <row r="665" spans="1:9" s="182" customFormat="1" ht="31.5" hidden="1" x14ac:dyDescent="0.25">
      <c r="A665" s="157" t="str">
        <f>IF(B665&gt;0,VLOOKUP(B665,КВСР!A256:B1421,2),IF(C665&gt;0,VLOOKUP(C665,КФСР!A256:B1768,2),IF(D665&gt;0,VLOOKUP(D665,Программа!A$1:B$5100,2),IF(F665&gt;0,VLOOKUP(F665,КВР!A$1:B$5001,2),IF(E665&gt;0,VLOOKUP(E665,Направление!A$1:B$4830,2))))))</f>
        <v>Социальное обеспечение и иные выплаты населению</v>
      </c>
      <c r="B665" s="158"/>
      <c r="C665" s="153"/>
      <c r="D665" s="155"/>
      <c r="E665" s="183"/>
      <c r="F665" s="155">
        <v>300</v>
      </c>
      <c r="G665" s="521">
        <v>0</v>
      </c>
      <c r="H665" s="162"/>
      <c r="I665" s="161">
        <f t="shared" si="14"/>
        <v>0</v>
      </c>
    </row>
    <row r="666" spans="1:9" s="182" customFormat="1" ht="47.25" x14ac:dyDescent="0.25">
      <c r="A666" s="157" t="str">
        <f>IF(B666&gt;0,VLOOKUP(B666,КВСР!A252:B1417,2),IF(C666&gt;0,VLOOKUP(C666,КФСР!A252:B1764,2),IF(D666&gt;0,VLOOKUP(D666,Программа!A$1:B$5100,2),IF(F666&gt;0,VLOOKUP(F666,КВР!A$1:B$5001,2),IF(E666&gt;0,VLOOKUP(E666,Направление!A$1:B$4830,2))))))</f>
        <v>Оплата жилищно-коммунальных услуг отдельным категориям граждан за счет средств федерального бюджета</v>
      </c>
      <c r="B666" s="158"/>
      <c r="C666" s="153"/>
      <c r="D666" s="154"/>
      <c r="E666" s="153">
        <v>52500</v>
      </c>
      <c r="F666" s="155"/>
      <c r="G666" s="611">
        <v>34007000</v>
      </c>
      <c r="H666" s="161">
        <f>H668+H667</f>
        <v>0</v>
      </c>
      <c r="I666" s="161">
        <f t="shared" si="14"/>
        <v>34007000</v>
      </c>
    </row>
    <row r="667" spans="1:9" s="182" customFormat="1" ht="63" x14ac:dyDescent="0.25">
      <c r="A667" s="157" t="str">
        <f>IF(B667&gt;0,VLOOKUP(B667,КВСР!A252:B1417,2),IF(C667&gt;0,VLOOKUP(C667,КФСР!A252:B1764,2),IF(D667&gt;0,VLOOKUP(D667,Программа!A$1:B$5100,2),IF(F667&gt;0,VLOOKUP(F667,КВР!A$1:B$5001,2),IF(E667&gt;0,VLOOKUP(E667,Направление!A$1:B$4830,2))))))</f>
        <v xml:space="preserve">Закупка товаров, работ и услуг для обеспечения государственных (муниципальных) нужд
</v>
      </c>
      <c r="B667" s="158"/>
      <c r="C667" s="153"/>
      <c r="D667" s="155"/>
      <c r="E667" s="183"/>
      <c r="F667" s="155">
        <v>200</v>
      </c>
      <c r="G667" s="521">
        <v>499902</v>
      </c>
      <c r="H667" s="162"/>
      <c r="I667" s="161">
        <f t="shared" si="14"/>
        <v>499902</v>
      </c>
    </row>
    <row r="668" spans="1:9" s="182" customFormat="1" ht="31.5" x14ac:dyDescent="0.25">
      <c r="A668" s="157" t="str">
        <f>IF(B668&gt;0,VLOOKUP(B668,КВСР!A253:B1418,2),IF(C668&gt;0,VLOOKUP(C668,КФСР!A253:B1765,2),IF(D668&gt;0,VLOOKUP(D668,Программа!A$1:B$5100,2),IF(F668&gt;0,VLOOKUP(F668,КВР!A$1:B$5001,2),IF(E668&gt;0,VLOOKUP(E668,Направление!A$1:B$4830,2))))))</f>
        <v>Социальное обеспечение и иные выплаты населению</v>
      </c>
      <c r="B668" s="158"/>
      <c r="C668" s="153"/>
      <c r="D668" s="155"/>
      <c r="E668" s="183"/>
      <c r="F668" s="155">
        <v>300</v>
      </c>
      <c r="G668" s="502">
        <v>33507098</v>
      </c>
      <c r="H668" s="160"/>
      <c r="I668" s="161">
        <f t="shared" si="14"/>
        <v>33507098</v>
      </c>
    </row>
    <row r="669" spans="1:9" s="182" customFormat="1" ht="78.75" hidden="1" x14ac:dyDescent="0.25">
      <c r="A669" s="157" t="str">
        <f>IF(B669&gt;0,VLOOKUP(B669,КВСР!A254:B1419,2),IF(C669&gt;0,VLOOKUP(C669,КФСР!A254:B1766,2),IF(D669&gt;0,VLOOKUP(D669,Программа!A$1:B$5100,2),IF(F669&gt;0,VLOOKUP(F669,КВР!A$1:B$5001,2),IF(E669&gt;0,VLOOKUP(E669,Направление!A$1:B$4830,2))))))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669" s="158"/>
      <c r="C669" s="153"/>
      <c r="D669" s="154"/>
      <c r="E669" s="153">
        <v>54620</v>
      </c>
      <c r="F669" s="155"/>
      <c r="G669" s="504">
        <v>0</v>
      </c>
      <c r="H669" s="159">
        <f>H670</f>
        <v>0</v>
      </c>
      <c r="I669" s="161">
        <f t="shared" si="14"/>
        <v>0</v>
      </c>
    </row>
    <row r="670" spans="1:9" s="182" customFormat="1" ht="31.5" hidden="1" x14ac:dyDescent="0.25">
      <c r="A670" s="157" t="str">
        <f>IF(B670&gt;0,VLOOKUP(B670,КВСР!A255:B1420,2),IF(C670&gt;0,VLOOKUP(C670,КФСР!A255:B1767,2),IF(D670&gt;0,VLOOKUP(D670,Программа!A$1:B$5100,2),IF(F670&gt;0,VLOOKUP(F670,КВР!A$1:B$5001,2),IF(E670&gt;0,VLOOKUP(E670,Направление!A$1:B$4830,2))))))</f>
        <v>Социальное обеспечение и иные выплаты населению</v>
      </c>
      <c r="B670" s="158"/>
      <c r="C670" s="153"/>
      <c r="D670" s="155"/>
      <c r="E670" s="183"/>
      <c r="F670" s="155">
        <v>300</v>
      </c>
      <c r="G670" s="502">
        <v>0</v>
      </c>
      <c r="H670" s="160"/>
      <c r="I670" s="161">
        <f t="shared" si="14"/>
        <v>0</v>
      </c>
    </row>
    <row r="671" spans="1:9" s="182" customFormat="1" ht="94.5" hidden="1" x14ac:dyDescent="0.25">
      <c r="A671" s="157" t="str">
        <f>IF(B671&gt;0,VLOOKUP(B671,КВСР!A256:B1421,2),IF(C671&gt;0,VLOOKUP(C671,КФСР!A256:B1768,2),IF(D671&gt;0,VLOOKUP(D671,Программа!A$1:B$5100,2),IF(F671&gt;0,VLOOKUP(F671,КВР!A$1:B$5001,2),IF(E671&gt;0,VLOOKUP(E671,Направление!A$1:B$4830,2))))))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71" s="158"/>
      <c r="C671" s="153"/>
      <c r="D671" s="154"/>
      <c r="E671" s="153">
        <v>53850</v>
      </c>
      <c r="F671" s="155"/>
      <c r="G671" s="504">
        <v>0</v>
      </c>
      <c r="H671" s="159">
        <f>H672</f>
        <v>0</v>
      </c>
      <c r="I671" s="161">
        <f t="shared" si="14"/>
        <v>0</v>
      </c>
    </row>
    <row r="672" spans="1:9" s="182" customFormat="1" ht="31.5" hidden="1" x14ac:dyDescent="0.25">
      <c r="A672" s="157" t="str">
        <f>IF(B672&gt;0,VLOOKUP(B672,КВСР!A257:B1422,2),IF(C672&gt;0,VLOOKUP(C672,КФСР!A257:B1769,2),IF(D672&gt;0,VLOOKUP(D672,Программа!A$1:B$5100,2),IF(F672&gt;0,VLOOKUP(F672,КВР!A$1:B$5001,2),IF(E672&gt;0,VLOOKUP(E672,Направление!A$1:B$4830,2))))))</f>
        <v>Социальное обеспечение и иные выплаты населению</v>
      </c>
      <c r="B672" s="158"/>
      <c r="C672" s="153"/>
      <c r="D672" s="155"/>
      <c r="E672" s="183"/>
      <c r="F672" s="155">
        <v>300</v>
      </c>
      <c r="G672" s="502">
        <v>0</v>
      </c>
      <c r="H672" s="160"/>
      <c r="I672" s="161">
        <f t="shared" si="14"/>
        <v>0</v>
      </c>
    </row>
    <row r="673" spans="1:9" s="182" customFormat="1" ht="63" x14ac:dyDescent="0.25">
      <c r="A673" s="157" t="str">
        <f>IF(B673&gt;0,VLOOKUP(B673,КВСР!A258:B1423,2),IF(C673&gt;0,VLOOKUP(C673,КФСР!A258:B1770,2),IF(D673&gt;0,VLOOKUP(D673,Программа!A$1:B$5100,2),IF(F673&gt;0,VLOOKUP(F673,КВР!A$1:B$5001,2),IF(E673&gt;0,VLOOKUP(E673,Направление!A$1:B$4830,2))))))</f>
        <v>Предоставление гражданам субсидий на оплату жилого помещения и коммунальных услуг за счет средств областного бюджета</v>
      </c>
      <c r="B673" s="158"/>
      <c r="C673" s="153"/>
      <c r="D673" s="154"/>
      <c r="E673" s="153">
        <v>70740</v>
      </c>
      <c r="F673" s="155"/>
      <c r="G673" s="504">
        <v>25931000</v>
      </c>
      <c r="H673" s="159">
        <f>SUM(H674:H675)</f>
        <v>0</v>
      </c>
      <c r="I673" s="161">
        <f t="shared" si="14"/>
        <v>25931000</v>
      </c>
    </row>
    <row r="674" spans="1:9" s="182" customFormat="1" ht="63" x14ac:dyDescent="0.25">
      <c r="A674" s="157" t="str">
        <f>IF(B674&gt;0,VLOOKUP(B674,КВСР!A258:B1423,2),IF(C674&gt;0,VLOOKUP(C674,КФСР!A258:B1770,2),IF(D674&gt;0,VLOOKUP(D674,Программа!A$1:B$5100,2),IF(F674&gt;0,VLOOKUP(F674,КВР!A$1:B$5001,2),IF(E674&gt;0,VLOOKUP(E674,Направление!A$1:B$4830,2))))))</f>
        <v xml:space="preserve">Закупка товаров, работ и услуг для обеспечения государственных (муниципальных) нужд
</v>
      </c>
      <c r="B674" s="158"/>
      <c r="C674" s="153"/>
      <c r="D674" s="155"/>
      <c r="E674" s="183"/>
      <c r="F674" s="155">
        <v>200</v>
      </c>
      <c r="G674" s="502">
        <v>383778</v>
      </c>
      <c r="H674" s="160"/>
      <c r="I674" s="161">
        <f t="shared" si="14"/>
        <v>383778</v>
      </c>
    </row>
    <row r="675" spans="1:9" s="182" customFormat="1" ht="31.5" x14ac:dyDescent="0.25">
      <c r="A675" s="157" t="str">
        <f>IF(B675&gt;0,VLOOKUP(B675,КВСР!A259:B1424,2),IF(C675&gt;0,VLOOKUP(C675,КФСР!A259:B1771,2),IF(D675&gt;0,VLOOKUP(D675,Программа!A$1:B$5100,2),IF(F675&gt;0,VLOOKUP(F675,КВР!A$1:B$5001,2),IF(E675&gt;0,VLOOKUP(E675,Направление!A$1:B$4830,2))))))</f>
        <v>Социальное обеспечение и иные выплаты населению</v>
      </c>
      <c r="B675" s="158"/>
      <c r="C675" s="153"/>
      <c r="D675" s="155"/>
      <c r="E675" s="183"/>
      <c r="F675" s="155">
        <v>300</v>
      </c>
      <c r="G675" s="502">
        <v>25547222</v>
      </c>
      <c r="H675" s="160"/>
      <c r="I675" s="161">
        <f t="shared" si="14"/>
        <v>25547222</v>
      </c>
    </row>
    <row r="676" spans="1:9" s="182" customFormat="1" ht="63" hidden="1" x14ac:dyDescent="0.25">
      <c r="A676" s="157" t="str">
        <f>IF(B676&gt;0,VLOOKUP(B676,КВСР!A260:B1425,2),IF(C676&gt;0,VLOOKUP(C676,КФСР!A260:B1772,2),IF(D676&gt;0,VLOOKUP(D676,Программа!A$1:B$5100,2),IF(F676&gt;0,VLOOKUP(F676,КВР!A$1:B$5001,2),IF(E676&gt;0,VLOOKUP(E676,Направление!A$1:B$4830,2))))))</f>
        <v>Предоставление гражданам субсидий на оплату жилого помещения и коммунальных услуг за счет средств областного бюджета</v>
      </c>
      <c r="B676" s="158"/>
      <c r="C676" s="153"/>
      <c r="D676" s="155"/>
      <c r="E676" s="661" t="s">
        <v>3269</v>
      </c>
      <c r="F676" s="155"/>
      <c r="G676" s="502">
        <v>0</v>
      </c>
      <c r="H676" s="160">
        <f>H677+H678</f>
        <v>0</v>
      </c>
      <c r="I676" s="161">
        <f t="shared" si="14"/>
        <v>0</v>
      </c>
    </row>
    <row r="677" spans="1:9" s="182" customFormat="1" ht="63" hidden="1" x14ac:dyDescent="0.25">
      <c r="A677" s="157" t="str">
        <f>IF(B677&gt;0,VLOOKUP(B677,КВСР!A261:B1426,2),IF(C677&gt;0,VLOOKUP(C677,КФСР!A261:B1773,2),IF(D677&gt;0,VLOOKUP(D677,Программа!A$1:B$5100,2),IF(F677&gt;0,VLOOKUP(F677,КВР!A$1:B$5001,2),IF(E677&gt;0,VLOOKUP(E677,Направление!A$1:B$4830,2))))))</f>
        <v xml:space="preserve">Закупка товаров, работ и услуг для обеспечения государственных (муниципальных) нужд
</v>
      </c>
      <c r="B677" s="158"/>
      <c r="C677" s="153"/>
      <c r="D677" s="155"/>
      <c r="E677" s="183"/>
      <c r="F677" s="155">
        <v>200</v>
      </c>
      <c r="G677" s="502">
        <v>0</v>
      </c>
      <c r="H677" s="160"/>
      <c r="I677" s="161">
        <f t="shared" si="14"/>
        <v>0</v>
      </c>
    </row>
    <row r="678" spans="1:9" s="182" customFormat="1" ht="31.5" hidden="1" x14ac:dyDescent="0.25">
      <c r="A678" s="157" t="str">
        <f>IF(B678&gt;0,VLOOKUP(B678,КВСР!A262:B1427,2),IF(C678&gt;0,VLOOKUP(C678,КФСР!A262:B1774,2),IF(D678&gt;0,VLOOKUP(D678,Программа!A$1:B$5100,2),IF(F678&gt;0,VLOOKUP(F678,КВР!A$1:B$5001,2),IF(E678&gt;0,VLOOKUP(E678,Направление!A$1:B$4830,2))))))</f>
        <v>Социальное обеспечение и иные выплаты населению</v>
      </c>
      <c r="B678" s="158"/>
      <c r="C678" s="153"/>
      <c r="D678" s="155"/>
      <c r="E678" s="183"/>
      <c r="F678" s="155">
        <v>300</v>
      </c>
      <c r="G678" s="502">
        <v>0</v>
      </c>
      <c r="H678" s="160"/>
      <c r="I678" s="161">
        <f t="shared" si="14"/>
        <v>0</v>
      </c>
    </row>
    <row r="679" spans="1:9" s="182" customFormat="1" ht="78.75" x14ac:dyDescent="0.25">
      <c r="A679" s="157" t="str">
        <f>IF(B679&gt;0,VLOOKUP(B679,КВСР!A260:B1425,2),IF(C679&gt;0,VLOOKUP(C679,КФСР!A260:B1772,2),IF(D679&gt;0,VLOOKUP(D679,Программа!A$1:B$5100,2),IF(F679&gt;0,VLOOKUP(F679,КВР!A$1:B$5001,2),IF(E679&gt;0,VLOOKUP(E679,Направление!A$1:B$4830,2))))))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79" s="158"/>
      <c r="C679" s="153"/>
      <c r="D679" s="154"/>
      <c r="E679" s="153">
        <v>70750</v>
      </c>
      <c r="F679" s="155"/>
      <c r="G679" s="504">
        <v>38780000</v>
      </c>
      <c r="H679" s="159">
        <f>H680+H681</f>
        <v>0</v>
      </c>
      <c r="I679" s="161">
        <f t="shared" si="14"/>
        <v>38780000</v>
      </c>
    </row>
    <row r="680" spans="1:9" s="182" customFormat="1" ht="63" x14ac:dyDescent="0.25">
      <c r="A680" s="157" t="str">
        <f>IF(B680&gt;0,VLOOKUP(B680,КВСР!A261:B1426,2),IF(C680&gt;0,VLOOKUP(C680,КФСР!A261:B1773,2),IF(D680&gt;0,VLOOKUP(D680,Программа!A$1:B$5100,2),IF(F680&gt;0,VLOOKUP(F680,КВР!A$1:B$5001,2),IF(E680&gt;0,VLOOKUP(E680,Направление!A$1:B$4830,2))))))</f>
        <v xml:space="preserve">Закупка товаров, работ и услуг для обеспечения государственных (муниципальных) нужд
</v>
      </c>
      <c r="B680" s="158"/>
      <c r="C680" s="153"/>
      <c r="D680" s="155"/>
      <c r="E680" s="183"/>
      <c r="F680" s="155">
        <v>200</v>
      </c>
      <c r="G680" s="617">
        <v>627560</v>
      </c>
      <c r="H680" s="175">
        <v>10500</v>
      </c>
      <c r="I680" s="161">
        <f t="shared" si="14"/>
        <v>638060</v>
      </c>
    </row>
    <row r="681" spans="1:9" s="182" customFormat="1" ht="31.5" x14ac:dyDescent="0.25">
      <c r="A681" s="157" t="str">
        <f>IF(B681&gt;0,VLOOKUP(B681,КВСР!A261:B1426,2),IF(C681&gt;0,VLOOKUP(C681,КФСР!A261:B1773,2),IF(D681&gt;0,VLOOKUP(D681,Программа!A$1:B$5100,2),IF(F681&gt;0,VLOOKUP(F681,КВР!A$1:B$5001,2),IF(E681&gt;0,VLOOKUP(E681,Направление!A$1:B$4830,2))))))</f>
        <v>Социальное обеспечение и иные выплаты населению</v>
      </c>
      <c r="B681" s="158"/>
      <c r="C681" s="153"/>
      <c r="D681" s="155"/>
      <c r="E681" s="183"/>
      <c r="F681" s="155">
        <v>300</v>
      </c>
      <c r="G681" s="502">
        <v>38152440</v>
      </c>
      <c r="H681" s="160">
        <v>-10500</v>
      </c>
      <c r="I681" s="161">
        <f t="shared" si="14"/>
        <v>38141940</v>
      </c>
    </row>
    <row r="682" spans="1:9" s="182" customFormat="1" ht="78.75" hidden="1" x14ac:dyDescent="0.25">
      <c r="A682" s="157" t="str">
        <f>IF(B682&gt;0,VLOOKUP(B682,КВСР!A262:B1427,2),IF(C682&gt;0,VLOOKUP(C682,КФСР!A262:B1774,2),IF(D682&gt;0,VLOOKUP(D682,Программа!A$1:B$5100,2),IF(F682&gt;0,VLOOKUP(F682,КВР!A$1:B$5001,2),IF(E682&gt;0,VLOOKUP(E682,Направление!A$1:B$4830,2))))))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82" s="158"/>
      <c r="C682" s="153"/>
      <c r="D682" s="155"/>
      <c r="E682" s="153" t="s">
        <v>3270</v>
      </c>
      <c r="F682" s="155"/>
      <c r="G682" s="502">
        <v>0</v>
      </c>
      <c r="H682" s="160">
        <f>H683+H684</f>
        <v>0</v>
      </c>
      <c r="I682" s="161">
        <f t="shared" si="14"/>
        <v>0</v>
      </c>
    </row>
    <row r="683" spans="1:9" s="182" customFormat="1" ht="63" hidden="1" x14ac:dyDescent="0.25">
      <c r="A683" s="157" t="str">
        <f>IF(B683&gt;0,VLOOKUP(B683,КВСР!A263:B1428,2),IF(C683&gt;0,VLOOKUP(C683,КФСР!A263:B1775,2),IF(D683&gt;0,VLOOKUP(D683,Программа!A$1:B$5100,2),IF(F683&gt;0,VLOOKUP(F683,КВР!A$1:B$5001,2),IF(E683&gt;0,VLOOKUP(E683,Направление!A$1:B$4830,2))))))</f>
        <v xml:space="preserve">Закупка товаров, работ и услуг для обеспечения государственных (муниципальных) нужд
</v>
      </c>
      <c r="B683" s="158"/>
      <c r="C683" s="153"/>
      <c r="D683" s="155"/>
      <c r="E683" s="183"/>
      <c r="F683" s="155">
        <v>200</v>
      </c>
      <c r="G683" s="502">
        <v>0</v>
      </c>
      <c r="H683" s="160"/>
      <c r="I683" s="161">
        <f t="shared" si="14"/>
        <v>0</v>
      </c>
    </row>
    <row r="684" spans="1:9" s="182" customFormat="1" ht="31.5" hidden="1" x14ac:dyDescent="0.25">
      <c r="A684" s="157" t="str">
        <f>IF(B684&gt;0,VLOOKUP(B684,КВСР!A264:B1429,2),IF(C684&gt;0,VLOOKUP(C684,КФСР!A264:B1776,2),IF(D684&gt;0,VLOOKUP(D684,Программа!A$1:B$5100,2),IF(F684&gt;0,VLOOKUP(F684,КВР!A$1:B$5001,2),IF(E684&gt;0,VLOOKUP(E684,Направление!A$1:B$4830,2))))))</f>
        <v>Социальное обеспечение и иные выплаты населению</v>
      </c>
      <c r="B684" s="158"/>
      <c r="C684" s="153"/>
      <c r="D684" s="155"/>
      <c r="E684" s="183"/>
      <c r="F684" s="155">
        <v>300</v>
      </c>
      <c r="G684" s="502">
        <v>0</v>
      </c>
      <c r="H684" s="160"/>
      <c r="I684" s="161">
        <f t="shared" si="14"/>
        <v>0</v>
      </c>
    </row>
    <row r="685" spans="1:9" s="182" customFormat="1" ht="110.25" x14ac:dyDescent="0.25">
      <c r="A685" s="157" t="str">
        <f>IF(B685&gt;0,VLOOKUP(B685,КВСР!A254:B1419,2),IF(C685&gt;0,VLOOKUP(C685,КФСР!A254:B1766,2),IF(D685&gt;0,VLOOKUP(D685,Программа!A$1:B$5100,2),IF(F685&gt;0,VLOOKUP(F685,КВР!A$1:B$5001,2),IF(E685&gt;0,VLOOKUP(E685,Направление!A$1:B$4830,2))))))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5" s="158"/>
      <c r="C685" s="153"/>
      <c r="D685" s="154"/>
      <c r="E685" s="153">
        <v>70840</v>
      </c>
      <c r="F685" s="155"/>
      <c r="G685" s="611">
        <v>68652000</v>
      </c>
      <c r="H685" s="161">
        <f>H687+H686</f>
        <v>0</v>
      </c>
      <c r="I685" s="161">
        <f t="shared" si="14"/>
        <v>68652000</v>
      </c>
    </row>
    <row r="686" spans="1:9" s="182" customFormat="1" ht="63" x14ac:dyDescent="0.25">
      <c r="A686" s="157" t="str">
        <f>IF(B686&gt;0,VLOOKUP(B686,КВСР!A254:B1419,2),IF(C686&gt;0,VLOOKUP(C686,КФСР!A254:B1766,2),IF(D686&gt;0,VLOOKUP(D686,Программа!A$1:B$5100,2),IF(F686&gt;0,VLOOKUP(F686,КВР!A$1:B$5001,2),IF(E686&gt;0,VLOOKUP(E686,Направление!A$1:B$4830,2))))))</f>
        <v xml:space="preserve">Закупка товаров, работ и услуг для обеспечения государственных (муниципальных) нужд
</v>
      </c>
      <c r="B686" s="158"/>
      <c r="C686" s="153"/>
      <c r="D686" s="155"/>
      <c r="E686" s="183"/>
      <c r="F686" s="155">
        <v>200</v>
      </c>
      <c r="G686" s="521">
        <v>1102945</v>
      </c>
      <c r="H686" s="162"/>
      <c r="I686" s="161">
        <f t="shared" si="14"/>
        <v>1102945</v>
      </c>
    </row>
    <row r="687" spans="1:9" s="182" customFormat="1" ht="31.5" x14ac:dyDescent="0.25">
      <c r="A687" s="157" t="str">
        <f>IF(B687&gt;0,VLOOKUP(B687,КВСР!A255:B1420,2),IF(C687&gt;0,VLOOKUP(C687,КФСР!A255:B1767,2),IF(D687&gt;0,VLOOKUP(D687,Программа!A$1:B$5100,2),IF(F687&gt;0,VLOOKUP(F687,КВР!A$1:B$5001,2),IF(E687&gt;0,VLOOKUP(E687,Направление!A$1:B$4830,2))))))</f>
        <v>Социальное обеспечение и иные выплаты населению</v>
      </c>
      <c r="B687" s="158"/>
      <c r="C687" s="153"/>
      <c r="D687" s="155"/>
      <c r="E687" s="183"/>
      <c r="F687" s="155">
        <v>300</v>
      </c>
      <c r="G687" s="521">
        <v>67549055</v>
      </c>
      <c r="H687" s="162"/>
      <c r="I687" s="161">
        <f t="shared" si="14"/>
        <v>67549055</v>
      </c>
    </row>
    <row r="688" spans="1:9" s="182" customFormat="1" ht="110.25" hidden="1" x14ac:dyDescent="0.25">
      <c r="A688" s="157" t="str">
        <f>IF(B688&gt;0,VLOOKUP(B688,КВСР!A256:B1421,2),IF(C688&gt;0,VLOOKUP(C688,КФСР!A256:B1768,2),IF(D688&gt;0,VLOOKUP(D688,Программа!A$1:B$5100,2),IF(F688&gt;0,VLOOKUP(F688,КВР!A$1:B$5001,2),IF(E688&gt;0,VLOOKUP(E688,Направление!A$1:B$4830,2))))))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8" s="158"/>
      <c r="C688" s="153"/>
      <c r="D688" s="155"/>
      <c r="E688" s="153" t="s">
        <v>3271</v>
      </c>
      <c r="F688" s="155"/>
      <c r="G688" s="521">
        <v>0</v>
      </c>
      <c r="H688" s="162">
        <f>H689+H690</f>
        <v>0</v>
      </c>
      <c r="I688" s="161">
        <f t="shared" si="14"/>
        <v>0</v>
      </c>
    </row>
    <row r="689" spans="1:9" s="182" customFormat="1" ht="63" hidden="1" x14ac:dyDescent="0.25">
      <c r="A689" s="157" t="str">
        <f>IF(B689&gt;0,VLOOKUP(B689,КВСР!A257:B1422,2),IF(C689&gt;0,VLOOKUP(C689,КФСР!A257:B1769,2),IF(D689&gt;0,VLOOKUP(D689,Программа!A$1:B$5100,2),IF(F689&gt;0,VLOOKUP(F689,КВР!A$1:B$5001,2),IF(E689&gt;0,VLOOKUP(E689,Направление!A$1:B$4830,2))))))</f>
        <v xml:space="preserve">Закупка товаров, работ и услуг для обеспечения государственных (муниципальных) нужд
</v>
      </c>
      <c r="B689" s="158"/>
      <c r="C689" s="153"/>
      <c r="D689" s="155"/>
      <c r="E689" s="183"/>
      <c r="F689" s="155">
        <v>200</v>
      </c>
      <c r="G689" s="521">
        <v>0</v>
      </c>
      <c r="H689" s="162"/>
      <c r="I689" s="161">
        <f t="shared" si="14"/>
        <v>0</v>
      </c>
    </row>
    <row r="690" spans="1:9" s="182" customFormat="1" ht="31.5" hidden="1" x14ac:dyDescent="0.25">
      <c r="A690" s="157" t="str">
        <f>IF(B690&gt;0,VLOOKUP(B690,КВСР!A258:B1423,2),IF(C690&gt;0,VLOOKUP(C690,КФСР!A258:B1770,2),IF(D690&gt;0,VLOOKUP(D690,Программа!A$1:B$5100,2),IF(F690&gt;0,VLOOKUP(F690,КВР!A$1:B$5001,2),IF(E690&gt;0,VLOOKUP(E690,Направление!A$1:B$4830,2))))))</f>
        <v>Социальное обеспечение и иные выплаты населению</v>
      </c>
      <c r="B690" s="158"/>
      <c r="C690" s="153"/>
      <c r="D690" s="155"/>
      <c r="E690" s="183"/>
      <c r="F690" s="155">
        <v>300</v>
      </c>
      <c r="G690" s="521">
        <v>0</v>
      </c>
      <c r="H690" s="162"/>
      <c r="I690" s="161">
        <f t="shared" si="14"/>
        <v>0</v>
      </c>
    </row>
    <row r="691" spans="1:9" s="182" customFormat="1" ht="31.5" x14ac:dyDescent="0.25">
      <c r="A691" s="157" t="str">
        <f>IF(B691&gt;0,VLOOKUP(B691,КВСР!A256:B1421,2),IF(C691&gt;0,VLOOKUP(C691,КФСР!A256:B1768,2),IF(D691&gt;0,VLOOKUP(D691,Программа!A$1:B$5100,2),IF(F691&gt;0,VLOOKUP(F691,КВР!A$1:B$5001,2),IF(E691&gt;0,VLOOKUP(E691,Направление!A$1:B$4830,2))))))</f>
        <v>Денежные выплаты за счет средств областного бюджета</v>
      </c>
      <c r="B691" s="158"/>
      <c r="C691" s="153"/>
      <c r="D691" s="154"/>
      <c r="E691" s="153">
        <v>70860</v>
      </c>
      <c r="F691" s="155"/>
      <c r="G691" s="611">
        <v>20539000</v>
      </c>
      <c r="H691" s="161">
        <f>H692+H693</f>
        <v>0</v>
      </c>
      <c r="I691" s="161">
        <f t="shared" si="14"/>
        <v>20539000</v>
      </c>
    </row>
    <row r="692" spans="1:9" s="182" customFormat="1" ht="63" x14ac:dyDescent="0.25">
      <c r="A692" s="157" t="str">
        <f>IF(B692&gt;0,VLOOKUP(B692,КВСР!A257:B1422,2),IF(C692&gt;0,VLOOKUP(C692,КФСР!A257:B1769,2),IF(D692&gt;0,VLOOKUP(D692,Программа!A$1:B$5100,2),IF(F692&gt;0,VLOOKUP(F692,КВР!A$1:B$5001,2),IF(E692&gt;0,VLOOKUP(E692,Направление!A$1:B$4830,2))))))</f>
        <v xml:space="preserve">Закупка товаров, работ и услуг для обеспечения государственных (муниципальных) нужд
</v>
      </c>
      <c r="B692" s="158"/>
      <c r="C692" s="153"/>
      <c r="D692" s="155"/>
      <c r="E692" s="183"/>
      <c r="F692" s="155">
        <v>200</v>
      </c>
      <c r="G692" s="521">
        <v>309660</v>
      </c>
      <c r="H692" s="162"/>
      <c r="I692" s="161">
        <f t="shared" si="14"/>
        <v>309660</v>
      </c>
    </row>
    <row r="693" spans="1:9" s="182" customFormat="1" ht="31.5" x14ac:dyDescent="0.25">
      <c r="A693" s="157" t="str">
        <f>IF(B693&gt;0,VLOOKUP(B693,КВСР!A258:B1423,2),IF(C693&gt;0,VLOOKUP(C693,КФСР!A258:B1770,2),IF(D693&gt;0,VLOOKUP(D693,Программа!A$1:B$5100,2),IF(F693&gt;0,VLOOKUP(F693,КВР!A$1:B$5001,2),IF(E693&gt;0,VLOOKUP(E693,Направление!A$1:B$4830,2))))))</f>
        <v>Социальное обеспечение и иные выплаты населению</v>
      </c>
      <c r="B693" s="158"/>
      <c r="C693" s="153"/>
      <c r="D693" s="155"/>
      <c r="E693" s="183"/>
      <c r="F693" s="155">
        <v>300</v>
      </c>
      <c r="G693" s="521">
        <v>20229340</v>
      </c>
      <c r="H693" s="162"/>
      <c r="I693" s="161">
        <f t="shared" si="14"/>
        <v>20229340</v>
      </c>
    </row>
    <row r="694" spans="1:9" s="182" customFormat="1" ht="31.5" hidden="1" x14ac:dyDescent="0.25">
      <c r="A694" s="157" t="str">
        <f>IF(B694&gt;0,VLOOKUP(B694,КВСР!A259:B1424,2),IF(C694&gt;0,VLOOKUP(C694,КФСР!A259:B1771,2),IF(D694&gt;0,VLOOKUP(D694,Программа!A$1:B$5100,2),IF(F694&gt;0,VLOOKUP(F694,КВР!A$1:B$5001,2),IF(E694&gt;0,VLOOKUP(E694,Направление!A$1:B$4830,2))))))</f>
        <v>Денежные выплаты за счет средств областного бюджета</v>
      </c>
      <c r="B694" s="158"/>
      <c r="C694" s="153"/>
      <c r="D694" s="155"/>
      <c r="E694" s="153" t="s">
        <v>3272</v>
      </c>
      <c r="F694" s="155"/>
      <c r="G694" s="521">
        <v>0</v>
      </c>
      <c r="H694" s="162">
        <f>H695+H696</f>
        <v>0</v>
      </c>
      <c r="I694" s="161">
        <f t="shared" si="14"/>
        <v>0</v>
      </c>
    </row>
    <row r="695" spans="1:9" s="182" customFormat="1" ht="63" hidden="1" x14ac:dyDescent="0.25">
      <c r="A695" s="157" t="str">
        <f>IF(B695&gt;0,VLOOKUP(B695,КВСР!A260:B1425,2),IF(C695&gt;0,VLOOKUP(C695,КФСР!A260:B1772,2),IF(D695&gt;0,VLOOKUP(D695,Программа!A$1:B$5100,2),IF(F695&gt;0,VLOOKUP(F695,КВР!A$1:B$5001,2),IF(E695&gt;0,VLOOKUP(E695,Направление!A$1:B$4830,2))))))</f>
        <v xml:space="preserve">Закупка товаров, работ и услуг для обеспечения государственных (муниципальных) нужд
</v>
      </c>
      <c r="B695" s="158"/>
      <c r="C695" s="153"/>
      <c r="D695" s="155"/>
      <c r="E695" s="183"/>
      <c r="F695" s="155">
        <v>200</v>
      </c>
      <c r="G695" s="521">
        <v>0</v>
      </c>
      <c r="H695" s="162"/>
      <c r="I695" s="161">
        <f t="shared" si="14"/>
        <v>0</v>
      </c>
    </row>
    <row r="696" spans="1:9" s="182" customFormat="1" ht="31.5" hidden="1" x14ac:dyDescent="0.25">
      <c r="A696" s="157" t="str">
        <f>IF(B696&gt;0,VLOOKUP(B696,КВСР!A261:B1426,2),IF(C696&gt;0,VLOOKUP(C696,КФСР!A261:B1773,2),IF(D696&gt;0,VLOOKUP(D696,Программа!A$1:B$5100,2),IF(F696&gt;0,VLOOKUP(F696,КВР!A$1:B$5001,2),IF(E696&gt;0,VLOOKUP(E696,Направление!A$1:B$4830,2))))))</f>
        <v>Социальное обеспечение и иные выплаты населению</v>
      </c>
      <c r="B696" s="158"/>
      <c r="C696" s="153"/>
      <c r="D696" s="155"/>
      <c r="E696" s="183"/>
      <c r="F696" s="155">
        <v>300</v>
      </c>
      <c r="G696" s="521">
        <v>0</v>
      </c>
      <c r="H696" s="162"/>
      <c r="I696" s="161">
        <f t="shared" si="14"/>
        <v>0</v>
      </c>
    </row>
    <row r="697" spans="1:9" s="182" customFormat="1" ht="47.25" hidden="1" x14ac:dyDescent="0.25">
      <c r="A697" s="157" t="str">
        <f>IF(B697&gt;0,VLOOKUP(B697,КВСР!A259:B1424,2),IF(C697&gt;0,VLOOKUP(C697,КФСР!A259:B1771,2),IF(D697&gt;0,VLOOKUP(D697,Программа!A$1:B$5100,2),IF(F697&gt;0,VLOOKUP(F697,КВР!A$1:B$5001,2),IF(E697&gt;0,VLOOKUP(E697,Направление!A$1:B$4830,2))))))</f>
        <v>Оказание социальной помощи отдельным категориям граждан за счет средств областного бюджета</v>
      </c>
      <c r="B697" s="158"/>
      <c r="C697" s="153"/>
      <c r="D697" s="154"/>
      <c r="E697" s="153">
        <v>70890</v>
      </c>
      <c r="F697" s="155"/>
      <c r="G697" s="165">
        <v>0</v>
      </c>
      <c r="H697" s="165">
        <f>H698+H699</f>
        <v>0</v>
      </c>
      <c r="I697" s="161">
        <f t="shared" si="14"/>
        <v>0</v>
      </c>
    </row>
    <row r="698" spans="1:9" s="182" customFormat="1" ht="63" hidden="1" x14ac:dyDescent="0.25">
      <c r="A698" s="157" t="str">
        <f>IF(B698&gt;0,VLOOKUP(B698,КВСР!A260:B1425,2),IF(C698&gt;0,VLOOKUP(C698,КФСР!A260:B1772,2),IF(D698&gt;0,VLOOKUP(D698,Программа!A$1:B$5100,2),IF(F698&gt;0,VLOOKUP(F698,КВР!A$1:B$5001,2),IF(E698&gt;0,VLOOKUP(E698,Направление!A$1:B$4830,2))))))</f>
        <v xml:space="preserve">Закупка товаров, работ и услуг для обеспечения государственных (муниципальных) нужд
</v>
      </c>
      <c r="B698" s="158"/>
      <c r="C698" s="153"/>
      <c r="D698" s="154"/>
      <c r="E698" s="183"/>
      <c r="F698" s="155">
        <v>200</v>
      </c>
      <c r="G698" s="521">
        <v>0</v>
      </c>
      <c r="H698" s="162"/>
      <c r="I698" s="161">
        <f t="shared" si="14"/>
        <v>0</v>
      </c>
    </row>
    <row r="699" spans="1:9" s="182" customFormat="1" ht="31.5" hidden="1" x14ac:dyDescent="0.25">
      <c r="A699" s="157" t="str">
        <f>IF(B699&gt;0,VLOOKUP(B699,КВСР!A261:B1426,2),IF(C699&gt;0,VLOOKUP(C699,КФСР!A261:B1773,2),IF(D699&gt;0,VLOOKUP(D699,Программа!A$1:B$5100,2),IF(F699&gt;0,VLOOKUP(F699,КВР!A$1:B$5001,2),IF(E699&gt;0,VLOOKUP(E699,Направление!A$1:B$4830,2))))))</f>
        <v>Социальное обеспечение и иные выплаты населению</v>
      </c>
      <c r="B699" s="158"/>
      <c r="C699" s="153"/>
      <c r="D699" s="154"/>
      <c r="E699" s="183"/>
      <c r="F699" s="155">
        <v>300</v>
      </c>
      <c r="G699" s="521">
        <v>0</v>
      </c>
      <c r="H699" s="162"/>
      <c r="I699" s="161">
        <f t="shared" si="14"/>
        <v>0</v>
      </c>
    </row>
    <row r="700" spans="1:9" s="182" customFormat="1" ht="47.25" x14ac:dyDescent="0.25">
      <c r="A700" s="157" t="str">
        <f>IF(B700&gt;0,VLOOKUP(B700,КВСР!A256:B1421,2),IF(C700&gt;0,VLOOKUP(C700,КФСР!A256:B1768,2),IF(D700&gt;0,VLOOKUP(D700,Программа!A$1:B$5100,2),IF(F700&gt;0,VLOOKUP(F700,КВР!A$1:B$5001,2),IF(E700&gt;0,VLOOKUP(E700,Направление!A$1:B$4830,2))))))</f>
        <v>Расходы на социальную поддержку отдельных категорий граждан в части ежемесячного пособия на ребенка</v>
      </c>
      <c r="B700" s="158"/>
      <c r="C700" s="153"/>
      <c r="D700" s="154"/>
      <c r="E700" s="153">
        <v>73040</v>
      </c>
      <c r="F700" s="155"/>
      <c r="G700" s="504">
        <v>34700000</v>
      </c>
      <c r="H700" s="159">
        <f>H702+H701</f>
        <v>0</v>
      </c>
      <c r="I700" s="161">
        <f t="shared" si="14"/>
        <v>34700000</v>
      </c>
    </row>
    <row r="701" spans="1:9" s="182" customFormat="1" ht="63" x14ac:dyDescent="0.25">
      <c r="A701" s="157" t="str">
        <f>IF(B701&gt;0,VLOOKUP(B701,КВСР!A257:B1422,2),IF(C701&gt;0,VLOOKUP(C701,КФСР!A257:B1769,2),IF(D701&gt;0,VLOOKUP(D701,Программа!A$1:B$5100,2),IF(F701&gt;0,VLOOKUP(F701,КВР!A$1:B$5001,2),IF(E701&gt;0,VLOOKUP(E701,Направление!A$1:B$4830,2))))))</f>
        <v xml:space="preserve">Закупка товаров, работ и услуг для обеспечения государственных (муниципальных) нужд
</v>
      </c>
      <c r="B701" s="158"/>
      <c r="C701" s="153"/>
      <c r="D701" s="154"/>
      <c r="E701" s="153"/>
      <c r="F701" s="155">
        <v>200</v>
      </c>
      <c r="G701" s="617">
        <v>5950</v>
      </c>
      <c r="H701" s="175"/>
      <c r="I701" s="161">
        <f t="shared" si="14"/>
        <v>5950</v>
      </c>
    </row>
    <row r="702" spans="1:9" s="182" customFormat="1" ht="31.5" x14ac:dyDescent="0.25">
      <c r="A702" s="157" t="str">
        <f>IF(B702&gt;0,VLOOKUP(B702,КВСР!A264:B1429,2),IF(C702&gt;0,VLOOKUP(C702,КФСР!A264:B1776,2),IF(D702&gt;0,VLOOKUP(D702,Программа!A$1:B$5100,2),IF(F702&gt;0,VLOOKUP(F702,КВР!A$1:B$5001,2),IF(E702&gt;0,VLOOKUP(E702,Направление!A$1:B$4830,2))))))</f>
        <v>Социальное обеспечение и иные выплаты населению</v>
      </c>
      <c r="B702" s="158"/>
      <c r="C702" s="153"/>
      <c r="D702" s="154"/>
      <c r="E702" s="153"/>
      <c r="F702" s="155">
        <v>300</v>
      </c>
      <c r="G702" s="521">
        <v>34694050</v>
      </c>
      <c r="H702" s="162"/>
      <c r="I702" s="161">
        <f t="shared" si="14"/>
        <v>34694050</v>
      </c>
    </row>
    <row r="703" spans="1:9" s="182" customFormat="1" ht="47.25" hidden="1" x14ac:dyDescent="0.25">
      <c r="A703" s="157" t="str">
        <f>IF(B703&gt;0,VLOOKUP(B703,КВСР!A265:B1430,2),IF(C703&gt;0,VLOOKUP(C703,КФСР!A265:B1777,2),IF(D703&gt;0,VLOOKUP(D703,Программа!A$1:B$5100,2),IF(F703&gt;0,VLOOKUP(F703,КВР!A$1:B$5001,2),IF(E703&gt;0,VLOOKUP(E703,Направление!A$1:B$4830,2))))))</f>
        <v>Расходы на социальную поддержку отдельных категорий граждан в части ежемесячного пособия на ребенка</v>
      </c>
      <c r="B703" s="158"/>
      <c r="C703" s="153"/>
      <c r="D703" s="154"/>
      <c r="E703" s="153" t="s">
        <v>3273</v>
      </c>
      <c r="F703" s="155"/>
      <c r="G703" s="521">
        <v>0</v>
      </c>
      <c r="H703" s="162">
        <f>H704+H705</f>
        <v>0</v>
      </c>
      <c r="I703" s="161">
        <f t="shared" si="14"/>
        <v>0</v>
      </c>
    </row>
    <row r="704" spans="1:9" s="182" customFormat="1" ht="63" hidden="1" x14ac:dyDescent="0.25">
      <c r="A704" s="157" t="str">
        <f>IF(B704&gt;0,VLOOKUP(B704,КВСР!A266:B1431,2),IF(C704&gt;0,VLOOKUP(C704,КФСР!A266:B1778,2),IF(D704&gt;0,VLOOKUP(D704,Программа!A$1:B$5100,2),IF(F704&gt;0,VLOOKUP(F704,КВР!A$1:B$5001,2),IF(E704&gt;0,VLOOKUP(E704,Направление!A$1:B$4830,2))))))</f>
        <v xml:space="preserve">Закупка товаров, работ и услуг для обеспечения государственных (муниципальных) нужд
</v>
      </c>
      <c r="B704" s="158"/>
      <c r="C704" s="153"/>
      <c r="D704" s="154"/>
      <c r="E704" s="153"/>
      <c r="F704" s="155">
        <v>200</v>
      </c>
      <c r="G704" s="521">
        <v>0</v>
      </c>
      <c r="H704" s="162"/>
      <c r="I704" s="161">
        <f t="shared" si="14"/>
        <v>0</v>
      </c>
    </row>
    <row r="705" spans="1:9" s="182" customFormat="1" ht="31.5" hidden="1" x14ac:dyDescent="0.25">
      <c r="A705" s="157" t="str">
        <f>IF(B705&gt;0,VLOOKUP(B705,КВСР!A267:B1432,2),IF(C705&gt;0,VLOOKUP(C705,КФСР!A267:B1779,2),IF(D705&gt;0,VLOOKUP(D705,Программа!A$1:B$5100,2),IF(F705&gt;0,VLOOKUP(F705,КВР!A$1:B$5001,2),IF(E705&gt;0,VLOOKUP(E705,Направление!A$1:B$4830,2))))))</f>
        <v>Социальное обеспечение и иные выплаты населению</v>
      </c>
      <c r="B705" s="158"/>
      <c r="C705" s="153"/>
      <c r="D705" s="154"/>
      <c r="E705" s="153"/>
      <c r="F705" s="155">
        <v>300</v>
      </c>
      <c r="G705" s="521">
        <v>0</v>
      </c>
      <c r="H705" s="162"/>
      <c r="I705" s="161">
        <f t="shared" si="14"/>
        <v>0</v>
      </c>
    </row>
    <row r="706" spans="1:9" s="182" customFormat="1" ht="78.75" x14ac:dyDescent="0.25">
      <c r="A706" s="157" t="str">
        <f>IF(B706&gt;0,VLOOKUP(B706,КВСР!A265:B1430,2),IF(C706&gt;0,VLOOKUP(C706,КФСР!A265:B1777,2),IF(D706&gt;0,VLOOKUP(D706,Программа!A$1:B$5100,2),IF(F706&gt;0,VLOOKUP(F706,КВР!A$1:B$5001,2),IF(E706&gt;0,VLOOKUP(E706,Направление!A$1:B$4830,2))))))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706" s="158"/>
      <c r="C706" s="153"/>
      <c r="D706" s="154"/>
      <c r="E706" s="153" t="s">
        <v>3189</v>
      </c>
      <c r="F706" s="155"/>
      <c r="G706" s="521">
        <v>1060620</v>
      </c>
      <c r="H706" s="521">
        <f>H707</f>
        <v>-5003</v>
      </c>
      <c r="I706" s="161">
        <f t="shared" si="14"/>
        <v>1055617</v>
      </c>
    </row>
    <row r="707" spans="1:9" s="182" customFormat="1" ht="31.5" x14ac:dyDescent="0.25">
      <c r="A707" s="157" t="str">
        <f>IF(B707&gt;0,VLOOKUP(B707,КВСР!A266:B1431,2),IF(C707&gt;0,VLOOKUP(C707,КФСР!A266:B1778,2),IF(D707&gt;0,VLOOKUP(D707,Программа!A$1:B$5100,2),IF(F707&gt;0,VLOOKUP(F707,КВР!A$1:B$5001,2),IF(E707&gt;0,VLOOKUP(E707,Направление!A$1:B$4830,2))))))</f>
        <v>Социальное обеспечение и иные выплаты населению</v>
      </c>
      <c r="B707" s="158"/>
      <c r="C707" s="153"/>
      <c r="D707" s="154"/>
      <c r="E707" s="153"/>
      <c r="F707" s="155">
        <v>300</v>
      </c>
      <c r="G707" s="521">
        <v>1060620</v>
      </c>
      <c r="H707" s="162">
        <v>-5003</v>
      </c>
      <c r="I707" s="161">
        <f t="shared" si="14"/>
        <v>1055617</v>
      </c>
    </row>
    <row r="708" spans="1:9" s="182" customFormat="1" ht="94.5" x14ac:dyDescent="0.25">
      <c r="A708" s="157" t="str">
        <f>IF(B708&gt;0,VLOOKUP(B708,КВСР!A267:B1432,2),IF(C708&gt;0,VLOOKUP(C708,КФСР!A267:B1779,2),IF(D708&gt;0,VLOOKUP(D708,Программа!A$1:B$5100,2),IF(F708&gt;0,VLOOKUP(F708,КВР!A$1:B$5001,2),IF(E708&gt;0,VLOOKUP(E708,Направление!A$1:B$4830,2))))))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08" s="158"/>
      <c r="C708" s="153"/>
      <c r="D708" s="154"/>
      <c r="E708" s="153">
        <v>75490</v>
      </c>
      <c r="F708" s="155"/>
      <c r="G708" s="521">
        <v>19002</v>
      </c>
      <c r="H708" s="521">
        <f>H709</f>
        <v>-469</v>
      </c>
      <c r="I708" s="161">
        <f t="shared" si="14"/>
        <v>18533</v>
      </c>
    </row>
    <row r="709" spans="1:9" s="182" customFormat="1" ht="63" x14ac:dyDescent="0.25">
      <c r="A709" s="157" t="str">
        <f>IF(B709&gt;0,VLOOKUP(B709,КВСР!A268:B1433,2),IF(C709&gt;0,VLOOKUP(C709,КФСР!A268:B1780,2),IF(D709&gt;0,VLOOKUP(D709,Программа!A$1:B$5100,2),IF(F709&gt;0,VLOOKUP(F709,КВР!A$1:B$5001,2),IF(E709&gt;0,VLOOKUP(E709,Направление!A$1:B$4830,2))))))</f>
        <v xml:space="preserve">Закупка товаров, работ и услуг для обеспечения государственных (муниципальных) нужд
</v>
      </c>
      <c r="B709" s="158"/>
      <c r="C709" s="153"/>
      <c r="D709" s="154"/>
      <c r="E709" s="153"/>
      <c r="F709" s="155">
        <v>200</v>
      </c>
      <c r="G709" s="521">
        <v>19002</v>
      </c>
      <c r="H709" s="162">
        <v>-469</v>
      </c>
      <c r="I709" s="161">
        <f t="shared" si="14"/>
        <v>18533</v>
      </c>
    </row>
    <row r="710" spans="1:9" s="182" customFormat="1" ht="94.5" hidden="1" x14ac:dyDescent="0.25">
      <c r="A710" s="157" t="str">
        <f>IF(B710&gt;0,VLOOKUP(B710,КВСР!A269:B1434,2),IF(C710&gt;0,VLOOKUP(C710,КФСР!A269:B1781,2),IF(D710&gt;0,VLOOKUP(D710,Программа!A$1:B$5100,2),IF(F710&gt;0,VLOOKUP(F710,КВР!A$1:B$5001,2),IF(E710&gt;0,VLOOKUP(E710,Направление!A$1:B$4830,2))))))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10" s="158"/>
      <c r="C710" s="153"/>
      <c r="D710" s="154"/>
      <c r="E710" s="153" t="s">
        <v>3275</v>
      </c>
      <c r="F710" s="155"/>
      <c r="G710" s="521">
        <v>0</v>
      </c>
      <c r="H710" s="162">
        <f>H711</f>
        <v>0</v>
      </c>
      <c r="I710" s="161">
        <f t="shared" si="14"/>
        <v>0</v>
      </c>
    </row>
    <row r="711" spans="1:9" s="182" customFormat="1" ht="63" hidden="1" x14ac:dyDescent="0.25">
      <c r="A711" s="157" t="str">
        <f>IF(B711&gt;0,VLOOKUP(B711,КВСР!A270:B1435,2),IF(C711&gt;0,VLOOKUP(C711,КФСР!A270:B1782,2),IF(D711&gt;0,VLOOKUP(D711,Программа!A$1:B$5100,2),IF(F711&gt;0,VLOOKUP(F711,КВР!A$1:B$5001,2),IF(E711&gt;0,VLOOKUP(E711,Направление!A$1:B$4830,2))))))</f>
        <v xml:space="preserve">Закупка товаров, работ и услуг для обеспечения государственных (муниципальных) нужд
</v>
      </c>
      <c r="B711" s="158"/>
      <c r="C711" s="153"/>
      <c r="D711" s="154"/>
      <c r="E711" s="153"/>
      <c r="F711" s="155">
        <v>200</v>
      </c>
      <c r="G711" s="521">
        <v>0</v>
      </c>
      <c r="H711" s="162"/>
      <c r="I711" s="161">
        <f t="shared" si="14"/>
        <v>0</v>
      </c>
    </row>
    <row r="712" spans="1:9" s="182" customFormat="1" ht="63" x14ac:dyDescent="0.25">
      <c r="A712" s="157" t="str">
        <f>IF(B712&gt;0,VLOOKUP(B712,КВСР!A258:B1423,2),IF(C712&gt;0,VLOOKUP(C712,КФСР!A258:B1770,2),IF(D712&gt;0,VLOOKUP(D712,Программа!A$1:B$5100,2),IF(F712&gt;0,VLOOKUP(F712,КВР!A$1:B$5001,2),IF(E712&gt;0,VLOOKUP(E712,Направление!A$1:B$4830,2))))))</f>
        <v>Социальная защита семей с детьми, инвалидов, ветеранов, граждан и детей, оказавшихся в трудной жизненной ситуации</v>
      </c>
      <c r="B712" s="158"/>
      <c r="C712" s="153"/>
      <c r="D712" s="154" t="s">
        <v>788</v>
      </c>
      <c r="E712" s="153"/>
      <c r="F712" s="155"/>
      <c r="G712" s="611">
        <v>4909200</v>
      </c>
      <c r="H712" s="611">
        <f>H713+H715+H718</f>
        <v>0</v>
      </c>
      <c r="I712" s="161">
        <f t="shared" si="14"/>
        <v>4909200</v>
      </c>
    </row>
    <row r="713" spans="1:9" s="182" customFormat="1" ht="47.25" x14ac:dyDescent="0.25">
      <c r="A713" s="157" t="str">
        <f>IF(B713&gt;0,VLOOKUP(B713,КВСР!A261:B1426,2),IF(C713&gt;0,VLOOKUP(C713,КФСР!A261:B1773,2),IF(D713&gt;0,VLOOKUP(D713,Программа!A$1:B$5100,2),IF(F713&gt;0,VLOOKUP(F713,КВР!A$1:B$5001,2),IF(E713&gt;0,VLOOKUP(E713,Направление!A$1:B$4830,2))))))</f>
        <v>Организация перевозок больных, нуждающихся в амбулаторном гемодиализе</v>
      </c>
      <c r="B713" s="158"/>
      <c r="C713" s="153"/>
      <c r="D713" s="154"/>
      <c r="E713" s="153">
        <v>16210</v>
      </c>
      <c r="F713" s="155"/>
      <c r="G713" s="521">
        <v>148500</v>
      </c>
      <c r="H713" s="628">
        <f>H714</f>
        <v>0</v>
      </c>
      <c r="I713" s="161">
        <f t="shared" si="14"/>
        <v>148500</v>
      </c>
    </row>
    <row r="714" spans="1:9" s="182" customFormat="1" ht="31.5" x14ac:dyDescent="0.25">
      <c r="A714" s="157" t="str">
        <f>IF(B714&gt;0,VLOOKUP(B714,КВСР!A262:B1427,2),IF(C714&gt;0,VLOOKUP(C714,КФСР!A262:B1774,2),IF(D714&gt;0,VLOOKUP(D714,Программа!A$1:B$5100,2),IF(F714&gt;0,VLOOKUP(F714,КВР!A$1:B$5001,2),IF(E714&gt;0,VLOOKUP(E714,Направление!A$1:B$4830,2))))))</f>
        <v>Социальное обеспечение и иные выплаты населению</v>
      </c>
      <c r="B714" s="158"/>
      <c r="C714" s="153"/>
      <c r="D714" s="154"/>
      <c r="E714" s="183"/>
      <c r="F714" s="155">
        <v>300</v>
      </c>
      <c r="G714" s="521">
        <v>148500</v>
      </c>
      <c r="H714" s="162"/>
      <c r="I714" s="161">
        <f t="shared" si="14"/>
        <v>148500</v>
      </c>
    </row>
    <row r="715" spans="1:9" s="182" customFormat="1" ht="47.25" x14ac:dyDescent="0.25">
      <c r="A715" s="157" t="str">
        <f>IF(B715&gt;0,VLOOKUP(B715,КВСР!A264:B1429,2),IF(C715&gt;0,VLOOKUP(C715,КФСР!A264:B1776,2),IF(D715&gt;0,VLOOKUP(D715,Программа!A$1:B$5100,2),IF(F715&gt;0,VLOOKUP(F715,КВР!A$1:B$5001,2),IF(E715&gt;0,VLOOKUP(E715,Направление!A$1:B$4830,2))))))</f>
        <v>Оказание социальной помощи отдельным категориям граждан за счет средств областного бюджета</v>
      </c>
      <c r="B715" s="158"/>
      <c r="C715" s="153"/>
      <c r="D715" s="154"/>
      <c r="E715" s="153">
        <v>70890</v>
      </c>
      <c r="F715" s="155"/>
      <c r="G715" s="611">
        <v>4760700</v>
      </c>
      <c r="H715" s="491">
        <f>H716+H717</f>
        <v>0</v>
      </c>
      <c r="I715" s="161">
        <f t="shared" si="14"/>
        <v>4760700</v>
      </c>
    </row>
    <row r="716" spans="1:9" s="182" customFormat="1" ht="63" x14ac:dyDescent="0.25">
      <c r="A716" s="157" t="str">
        <f>IF(B716&gt;0,VLOOKUP(B716,КВСР!A265:B1430,2),IF(C716&gt;0,VLOOKUP(C716,КФСР!A265:B1777,2),IF(D716&gt;0,VLOOKUP(D716,Программа!A$1:B$5100,2),IF(F716&gt;0,VLOOKUP(F716,КВР!A$1:B$5001,2),IF(E716&gt;0,VLOOKUP(E716,Направление!A$1:B$4830,2))))))</f>
        <v xml:space="preserve">Закупка товаров, работ и услуг для обеспечения государственных (муниципальных) нужд
</v>
      </c>
      <c r="B716" s="158"/>
      <c r="C716" s="153"/>
      <c r="D716" s="154"/>
      <c r="E716" s="153"/>
      <c r="F716" s="155">
        <v>200</v>
      </c>
      <c r="G716" s="521">
        <v>197851</v>
      </c>
      <c r="H716" s="162"/>
      <c r="I716" s="161">
        <f t="shared" si="14"/>
        <v>197851</v>
      </c>
    </row>
    <row r="717" spans="1:9" s="182" customFormat="1" ht="31.5" x14ac:dyDescent="0.25">
      <c r="A717" s="157" t="str">
        <f>IF(B717&gt;0,VLOOKUP(B717,КВСР!A266:B1431,2),IF(C717&gt;0,VLOOKUP(C717,КФСР!A266:B1778,2),IF(D717&gt;0,VLOOKUP(D717,Программа!A$1:B$5100,2),IF(F717&gt;0,VLOOKUP(F717,КВР!A$1:B$5001,2),IF(E717&gt;0,VLOOKUP(E717,Направление!A$1:B$4830,2))))))</f>
        <v>Социальное обеспечение и иные выплаты населению</v>
      </c>
      <c r="B717" s="158"/>
      <c r="C717" s="153"/>
      <c r="D717" s="154"/>
      <c r="E717" s="153"/>
      <c r="F717" s="155">
        <v>300</v>
      </c>
      <c r="G717" s="521">
        <v>4562849</v>
      </c>
      <c r="H717" s="162"/>
      <c r="I717" s="161">
        <f t="shared" si="14"/>
        <v>4562849</v>
      </c>
    </row>
    <row r="718" spans="1:9" s="182" customFormat="1" ht="47.25" hidden="1" x14ac:dyDescent="0.25">
      <c r="A718" s="157" t="str">
        <f>IF(B718&gt;0,VLOOKUP(B718,КВСР!A267:B1432,2),IF(C718&gt;0,VLOOKUP(C718,КФСР!A267:B1779,2),IF(D718&gt;0,VLOOKUP(D718,Программа!A$1:B$5100,2),IF(F718&gt;0,VLOOKUP(F718,КВР!A$1:B$5001,2),IF(E718&gt;0,VLOOKUP(E718,Направление!A$1:B$4830,2))))))</f>
        <v>Оказание социальной помощи отдельным категориям граждан за счет средств областного бюджета</v>
      </c>
      <c r="B718" s="158"/>
      <c r="C718" s="153"/>
      <c r="D718" s="154"/>
      <c r="E718" s="153" t="s">
        <v>3274</v>
      </c>
      <c r="F718" s="155"/>
      <c r="G718" s="521">
        <v>0</v>
      </c>
      <c r="H718" s="162">
        <f>H719+H720</f>
        <v>0</v>
      </c>
      <c r="I718" s="161">
        <f t="shared" ref="I718:I788" si="15">SUM(G718:H718)</f>
        <v>0</v>
      </c>
    </row>
    <row r="719" spans="1:9" s="182" customFormat="1" ht="63" hidden="1" x14ac:dyDescent="0.25">
      <c r="A719" s="157" t="str">
        <f>IF(B719&gt;0,VLOOKUP(B719,КВСР!A268:B1433,2),IF(C719&gt;0,VLOOKUP(C719,КФСР!A268:B1780,2),IF(D719&gt;0,VLOOKUP(D719,Программа!A$1:B$5100,2),IF(F719&gt;0,VLOOKUP(F719,КВР!A$1:B$5001,2),IF(E719&gt;0,VLOOKUP(E719,Направление!A$1:B$4830,2))))))</f>
        <v xml:space="preserve">Закупка товаров, работ и услуг для обеспечения государственных (муниципальных) нужд
</v>
      </c>
      <c r="B719" s="158"/>
      <c r="C719" s="153"/>
      <c r="D719" s="154"/>
      <c r="E719" s="153"/>
      <c r="F719" s="155">
        <v>200</v>
      </c>
      <c r="G719" s="521">
        <v>0</v>
      </c>
      <c r="H719" s="162"/>
      <c r="I719" s="161">
        <f t="shared" si="15"/>
        <v>0</v>
      </c>
    </row>
    <row r="720" spans="1:9" s="182" customFormat="1" ht="31.5" hidden="1" x14ac:dyDescent="0.25">
      <c r="A720" s="157" t="str">
        <f>IF(B720&gt;0,VLOOKUP(B720,КВСР!A269:B1434,2),IF(C720&gt;0,VLOOKUP(C720,КФСР!A269:B1781,2),IF(D720&gt;0,VLOOKUP(D720,Программа!A$1:B$5100,2),IF(F720&gt;0,VLOOKUP(F720,КВР!A$1:B$5001,2),IF(E720&gt;0,VLOOKUP(E720,Направление!A$1:B$4830,2))))))</f>
        <v>Социальное обеспечение и иные выплаты населению</v>
      </c>
      <c r="B720" s="158"/>
      <c r="C720" s="153"/>
      <c r="D720" s="154"/>
      <c r="E720" s="153"/>
      <c r="F720" s="155">
        <v>300</v>
      </c>
      <c r="G720" s="521">
        <v>0</v>
      </c>
      <c r="H720" s="162"/>
      <c r="I720" s="161">
        <f t="shared" si="15"/>
        <v>0</v>
      </c>
    </row>
    <row r="721" spans="1:9" s="182" customFormat="1" x14ac:dyDescent="0.25">
      <c r="A721" s="157" t="str">
        <f>IF(B721&gt;0,VLOOKUP(B721,КВСР!A270:B1435,2),IF(C721&gt;0,VLOOKUP(C721,КФСР!A270:B1782,2),IF(D721&gt;0,VLOOKUP(D721,Программа!A$1:B$5100,2),IF(F721&gt;0,VLOOKUP(F721,КВР!A$1:B$5001,2),IF(E721&gt;0,VLOOKUP(E721,Направление!A$1:B$4830,2))))))</f>
        <v>Непрограммные расходы бюджета</v>
      </c>
      <c r="B721" s="158"/>
      <c r="C721" s="153"/>
      <c r="D721" s="154" t="s">
        <v>626</v>
      </c>
      <c r="E721" s="153"/>
      <c r="F721" s="155"/>
      <c r="G721" s="521">
        <v>75000</v>
      </c>
      <c r="H721" s="521">
        <f>H722</f>
        <v>10000</v>
      </c>
      <c r="I721" s="521">
        <f>I722</f>
        <v>85000</v>
      </c>
    </row>
    <row r="722" spans="1:9" s="182" customFormat="1" ht="31.5" x14ac:dyDescent="0.25">
      <c r="A722" s="157" t="str">
        <f>IF(B722&gt;0,VLOOKUP(B722,КВСР!A271:B1436,2),IF(C722&gt;0,VLOOKUP(C722,КФСР!A271:B1783,2),IF(D722&gt;0,VLOOKUP(D722,Программа!A$1:B$5100,2),IF(F722&gt;0,VLOOKUP(F722,КВР!A$1:B$5001,2),IF(E722&gt;0,VLOOKUP(E722,Направление!A$1:B$4830,2))))))</f>
        <v>Резервные фонды местных администраций</v>
      </c>
      <c r="B722" s="158"/>
      <c r="C722" s="153"/>
      <c r="D722" s="154"/>
      <c r="E722" s="153">
        <v>12900</v>
      </c>
      <c r="F722" s="155"/>
      <c r="G722" s="521">
        <v>75000</v>
      </c>
      <c r="H722" s="521">
        <f>H723</f>
        <v>10000</v>
      </c>
      <c r="I722" s="521">
        <f>I723</f>
        <v>85000</v>
      </c>
    </row>
    <row r="723" spans="1:9" s="182" customFormat="1" ht="31.5" x14ac:dyDescent="0.25">
      <c r="A723" s="157" t="str">
        <f>IF(B723&gt;0,VLOOKUP(B723,КВСР!A272:B1437,2),IF(C723&gt;0,VLOOKUP(C723,КФСР!A272:B1784,2),IF(D723&gt;0,VLOOKUP(D723,Программа!A$1:B$5100,2),IF(F723&gt;0,VLOOKUP(F723,КВР!A$1:B$5001,2),IF(E723&gt;0,VLOOKUP(E723,Направление!A$1:B$4830,2))))))</f>
        <v>Социальное обеспечение и иные выплаты населению</v>
      </c>
      <c r="B723" s="158"/>
      <c r="C723" s="153"/>
      <c r="D723" s="154"/>
      <c r="E723" s="153"/>
      <c r="F723" s="155">
        <v>300</v>
      </c>
      <c r="G723" s="521">
        <v>75000</v>
      </c>
      <c r="H723" s="162">
        <v>10000</v>
      </c>
      <c r="I723" s="161">
        <f t="shared" si="15"/>
        <v>85000</v>
      </c>
    </row>
    <row r="724" spans="1:9" s="170" customFormat="1" x14ac:dyDescent="0.25">
      <c r="A724" s="157" t="str">
        <f>IF(B724&gt;0,VLOOKUP(B724,КВСР!A303:B1468,2),IF(C724&gt;0,VLOOKUP(C724,КФСР!A303:B1815,2),IF(D724&gt;0,VLOOKUP(D724,Программа!A$1:B$5100,2),IF(F724&gt;0,VLOOKUP(F724,КВР!A$1:B$5001,2),IF(E724&gt;0,VLOOKUP(E724,Направление!A$1:B$4830,2))))))</f>
        <v>Охрана семьи и детства</v>
      </c>
      <c r="B724" s="158"/>
      <c r="C724" s="153">
        <v>1004</v>
      </c>
      <c r="D724" s="154"/>
      <c r="E724" s="153"/>
      <c r="F724" s="155"/>
      <c r="G724" s="611">
        <v>73171700</v>
      </c>
      <c r="H724" s="161">
        <f>H725</f>
        <v>386087</v>
      </c>
      <c r="I724" s="161">
        <f t="shared" si="15"/>
        <v>73557787</v>
      </c>
    </row>
    <row r="725" spans="1:9" s="170" customFormat="1" ht="47.25" x14ac:dyDescent="0.25">
      <c r="A725" s="157" t="str">
        <f>IF(B725&gt;0,VLOOKUP(B725,КВСР!A304:B1469,2),IF(C725&gt;0,VLOOKUP(C725,КФСР!A304:B1816,2),IF(D725&gt;0,VLOOKUP(D725,Программа!A$1:B$5100,2),IF(F725&gt;0,VLOOKUP(F725,КВР!A$1:B$5001,2),IF(E725&gt;0,VLOOKUP(E725,Направление!A$1:B$4830,2))))))</f>
        <v>Муниципальная программа "Социальная поддержка населения Тутаевского муниципального района"</v>
      </c>
      <c r="B725" s="158"/>
      <c r="C725" s="153"/>
      <c r="D725" s="154" t="s">
        <v>695</v>
      </c>
      <c r="E725" s="153"/>
      <c r="F725" s="155"/>
      <c r="G725" s="611">
        <v>73171700</v>
      </c>
      <c r="H725" s="161">
        <f>H726</f>
        <v>386087</v>
      </c>
      <c r="I725" s="161">
        <f t="shared" si="15"/>
        <v>73557787</v>
      </c>
    </row>
    <row r="726" spans="1:9" s="170" customFormat="1" ht="47.25" x14ac:dyDescent="0.25">
      <c r="A726" s="157" t="str">
        <f>IF(B726&gt;0,VLOOKUP(B726,КВСР!A305:B1470,2),IF(C726&gt;0,VLOOKUP(C726,КФСР!A305:B1817,2),IF(D726&gt;0,VLOOKUP(D726,Программа!A$1:B$5100,2),IF(F726&gt;0,VLOOKUP(F726,КВР!A$1:B$5001,2),IF(E726&gt;0,VLOOKUP(E726,Направление!A$1:B$4830,2))))))</f>
        <v xml:space="preserve">Ведомственная целевая программа «Социальная поддержка населения Тутаевского муниципального района» </v>
      </c>
      <c r="B726" s="158"/>
      <c r="C726" s="153"/>
      <c r="D726" s="154" t="s">
        <v>768</v>
      </c>
      <c r="E726" s="153"/>
      <c r="F726" s="155"/>
      <c r="G726" s="611">
        <v>73171700</v>
      </c>
      <c r="H726" s="161">
        <f>H727+H746</f>
        <v>386087</v>
      </c>
      <c r="I726" s="161">
        <f t="shared" si="15"/>
        <v>73557787</v>
      </c>
    </row>
    <row r="727" spans="1:9" s="170" customFormat="1" ht="47.25" x14ac:dyDescent="0.25">
      <c r="A727" s="157" t="str">
        <f>IF(B727&gt;0,VLOOKUP(B727,КВСР!A306:B1471,2),IF(C727&gt;0,VLOOKUP(C727,КФСР!A306:B1818,2),IF(D727&gt;0,VLOOKUP(D727,Программа!A$1:B$5100,2),IF(F727&gt;0,VLOOKUP(F727,КВР!A$1:B$5001,2),IF(E727&gt;0,VLOOKUP(E727,Направление!A$1:B$4830,2))))))</f>
        <v>Исполнение публичных обязательств по предоставлению выплат, пособий и компенсаций</v>
      </c>
      <c r="B727" s="158"/>
      <c r="C727" s="153"/>
      <c r="D727" s="178" t="s">
        <v>770</v>
      </c>
      <c r="E727" s="179"/>
      <c r="F727" s="155"/>
      <c r="G727" s="611">
        <v>73071700</v>
      </c>
      <c r="H727" s="611">
        <f>H732+H730+H738+H734+H743+H736+H741+H728</f>
        <v>335790</v>
      </c>
      <c r="I727" s="161">
        <f t="shared" si="15"/>
        <v>73407490</v>
      </c>
    </row>
    <row r="728" spans="1:9" s="170" customFormat="1" ht="31.5" hidden="1" x14ac:dyDescent="0.25">
      <c r="A728" s="157" t="str">
        <f>IF(B728&gt;0,VLOOKUP(B728,КВСР!A307:B1472,2),IF(C728&gt;0,VLOOKUP(C728,КФСР!A307:B1819,2),IF(D728&gt;0,VLOOKUP(D728,Программа!A$1:B$5100,2),IF(F728&gt;0,VLOOKUP(F728,КВР!A$1:B$5001,2),IF(E728&gt;0,VLOOKUP(E728,Направление!A$1:B$4830,2))))))</f>
        <v>Оказание адресной материальной помощи</v>
      </c>
      <c r="B728" s="158"/>
      <c r="C728" s="153"/>
      <c r="D728" s="178"/>
      <c r="E728" s="179">
        <v>16220</v>
      </c>
      <c r="F728" s="155"/>
      <c r="G728" s="611">
        <v>0</v>
      </c>
      <c r="H728" s="611">
        <f>H729</f>
        <v>0</v>
      </c>
      <c r="I728" s="161">
        <f t="shared" si="15"/>
        <v>0</v>
      </c>
    </row>
    <row r="729" spans="1:9" s="170" customFormat="1" ht="31.5" hidden="1" x14ac:dyDescent="0.25">
      <c r="A729" s="157" t="str">
        <f>IF(B729&gt;0,VLOOKUP(B729,КВСР!A308:B1473,2),IF(C729&gt;0,VLOOKUP(C729,КФСР!A308:B1820,2),IF(D729&gt;0,VLOOKUP(D729,Программа!A$1:B$5100,2),IF(F729&gt;0,VLOOKUP(F729,КВР!A$1:B$5001,2),IF(E729&gt;0,VLOOKUP(E729,Направление!A$1:B$4830,2))))))</f>
        <v>Социальное обеспечение и иные выплаты населению</v>
      </c>
      <c r="B729" s="158"/>
      <c r="C729" s="153"/>
      <c r="D729" s="178"/>
      <c r="E729" s="179"/>
      <c r="F729" s="155">
        <v>300</v>
      </c>
      <c r="G729" s="611">
        <v>0</v>
      </c>
      <c r="H729" s="611"/>
      <c r="I729" s="161">
        <f t="shared" si="15"/>
        <v>0</v>
      </c>
    </row>
    <row r="730" spans="1:9" s="170" customFormat="1" ht="78.75" hidden="1" x14ac:dyDescent="0.25">
      <c r="A730" s="157" t="str">
        <f>IF(B730&gt;0,VLOOKUP(B730,КВСР!A308:B1473,2),IF(C730&gt;0,VLOOKUP(C730,КФСР!A308:B1820,2),IF(D730&gt;0,VLOOKUP(D730,Программа!A$1:B$5100,2),IF(F730&gt;0,VLOOKUP(F730,КВР!A$1:B$5001,2),IF(E730&gt;0,VLOOKUP(E730,Направление!A$1:B$4830,2))))))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v>
      </c>
      <c r="B730" s="158"/>
      <c r="C730" s="153"/>
      <c r="D730" s="178"/>
      <c r="E730" s="179">
        <v>50840</v>
      </c>
      <c r="F730" s="155"/>
      <c r="G730" s="611">
        <v>0</v>
      </c>
      <c r="H730" s="161">
        <f>H731</f>
        <v>0</v>
      </c>
      <c r="I730" s="161">
        <f t="shared" si="15"/>
        <v>0</v>
      </c>
    </row>
    <row r="731" spans="1:9" s="170" customFormat="1" ht="31.5" hidden="1" x14ac:dyDescent="0.25">
      <c r="A731" s="157" t="str">
        <f>IF(B731&gt;0,VLOOKUP(B731,КВСР!A309:B1474,2),IF(C731&gt;0,VLOOKUP(C731,КФСР!A309:B1821,2),IF(D731&gt;0,VLOOKUP(D731,Программа!A$1:B$5100,2),IF(F731&gt;0,VLOOKUP(F731,КВР!A$1:B$5001,2),IF(E731&gt;0,VLOOKUP(E731,Направление!A$1:B$4830,2))))))</f>
        <v>Социальное обеспечение и иные выплаты населению</v>
      </c>
      <c r="B731" s="158"/>
      <c r="C731" s="153"/>
      <c r="D731" s="181"/>
      <c r="E731" s="179"/>
      <c r="F731" s="155">
        <v>300</v>
      </c>
      <c r="G731" s="521">
        <v>0</v>
      </c>
      <c r="H731" s="162"/>
      <c r="I731" s="161">
        <f t="shared" si="15"/>
        <v>0</v>
      </c>
    </row>
    <row r="732" spans="1:9" s="170" customFormat="1" ht="126" x14ac:dyDescent="0.25">
      <c r="A732" s="157" t="str">
        <f>IF(B732&gt;0,VLOOKUP(B732,КВСР!A308:B1473,2),IF(C732&gt;0,VLOOKUP(C732,КФСР!A308:B1820,2),IF(D732&gt;0,VLOOKUP(D732,Программа!A$1:B$5100,2),IF(F732&gt;0,VLOOKUP(F732,КВР!A$1:B$5001,2),IF(E732&gt;0,VLOOKUP(E732,Направление!A$1:B$4830,2))))))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732" s="158"/>
      <c r="C732" s="153"/>
      <c r="D732" s="178"/>
      <c r="E732" s="179">
        <v>52700</v>
      </c>
      <c r="F732" s="155"/>
      <c r="G732" s="611">
        <v>397700</v>
      </c>
      <c r="H732" s="161">
        <f>H733</f>
        <v>0</v>
      </c>
      <c r="I732" s="161">
        <f t="shared" si="15"/>
        <v>397700</v>
      </c>
    </row>
    <row r="733" spans="1:9" s="170" customFormat="1" ht="31.5" x14ac:dyDescent="0.25">
      <c r="A733" s="157" t="str">
        <f>IF(B733&gt;0,VLOOKUP(B733,КВСР!A309:B1474,2),IF(C733&gt;0,VLOOKUP(C733,КФСР!A309:B1821,2),IF(D733&gt;0,VLOOKUP(D733,Программа!A$1:B$5100,2),IF(F733&gt;0,VLOOKUP(F733,КВР!A$1:B$5001,2),IF(E733&gt;0,VLOOKUP(E733,Направление!A$1:B$4830,2))))))</f>
        <v>Социальное обеспечение и иные выплаты населению</v>
      </c>
      <c r="B733" s="158"/>
      <c r="C733" s="153"/>
      <c r="D733" s="181"/>
      <c r="E733" s="179"/>
      <c r="F733" s="155">
        <v>300</v>
      </c>
      <c r="G733" s="521">
        <v>397700</v>
      </c>
      <c r="H733" s="162"/>
      <c r="I733" s="161">
        <f t="shared" si="15"/>
        <v>397700</v>
      </c>
    </row>
    <row r="734" spans="1:9" s="170" customFormat="1" ht="110.25" x14ac:dyDescent="0.25">
      <c r="A734" s="157" t="str">
        <f>IF(B734&gt;0,VLOOKUP(B734,КВСР!A310:B1475,2),IF(C734&gt;0,VLOOKUP(C734,КФСР!A310:B1822,2),IF(D734&gt;0,VLOOKUP(D734,Программа!A$1:B$5100,2),IF(F734&gt;0,VLOOKUP(F734,КВР!A$1:B$5001,2),IF(E734&gt;0,VLOOKUP(E734,Направление!A$1:B$4830,2))))))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734" s="158"/>
      <c r="C734" s="153"/>
      <c r="D734" s="181"/>
      <c r="E734" s="179">
        <v>53810</v>
      </c>
      <c r="F734" s="155"/>
      <c r="G734" s="611">
        <v>19290000</v>
      </c>
      <c r="H734" s="491">
        <f>H735</f>
        <v>0</v>
      </c>
      <c r="I734" s="161">
        <f t="shared" si="15"/>
        <v>19290000</v>
      </c>
    </row>
    <row r="735" spans="1:9" s="170" customFormat="1" ht="31.5" x14ac:dyDescent="0.25">
      <c r="A735" s="157" t="str">
        <f>IF(B735&gt;0,VLOOKUP(B735,КВСР!A311:B1476,2),IF(C735&gt;0,VLOOKUP(C735,КФСР!A311:B1823,2),IF(D735&gt;0,VLOOKUP(D735,Программа!A$1:B$5100,2),IF(F735&gt;0,VLOOKUP(F735,КВР!A$1:B$5001,2),IF(E735&gt;0,VLOOKUP(E735,Направление!A$1:B$4830,2))))))</f>
        <v>Социальное обеспечение и иные выплаты населению</v>
      </c>
      <c r="B735" s="158"/>
      <c r="C735" s="153"/>
      <c r="D735" s="181"/>
      <c r="E735" s="179"/>
      <c r="F735" s="155">
        <v>300</v>
      </c>
      <c r="G735" s="521">
        <v>19290000</v>
      </c>
      <c r="H735" s="162"/>
      <c r="I735" s="161">
        <f t="shared" si="15"/>
        <v>19290000</v>
      </c>
    </row>
    <row r="736" spans="1:9" s="170" customFormat="1" ht="94.5" x14ac:dyDescent="0.25">
      <c r="A736" s="157" t="str">
        <f>IF(B736&gt;0,VLOOKUP(B736,КВСР!A312:B1477,2),IF(C736&gt;0,VLOOKUP(C736,КФСР!A312:B1824,2),IF(D736&gt;0,VLOOKUP(D736,Программа!A$1:B$5100,2),IF(F736&gt;0,VLOOKUP(F736,КВР!A$1:B$5001,2),IF(E736&gt;0,VLOOKUP(E736,Направление!A$1:B$4830,2))))))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736" s="158"/>
      <c r="C736" s="153"/>
      <c r="D736" s="181"/>
      <c r="E736" s="179">
        <v>53850</v>
      </c>
      <c r="F736" s="155"/>
      <c r="G736" s="611">
        <v>2052000</v>
      </c>
      <c r="H736" s="491">
        <f>H737</f>
        <v>0</v>
      </c>
      <c r="I736" s="161">
        <f t="shared" si="15"/>
        <v>2052000</v>
      </c>
    </row>
    <row r="737" spans="1:9" s="170" customFormat="1" ht="31.5" x14ac:dyDescent="0.25">
      <c r="A737" s="157" t="str">
        <f>IF(B737&gt;0,VLOOKUP(B737,КВСР!A313:B1478,2),IF(C737&gt;0,VLOOKUP(C737,КФСР!A313:B1825,2),IF(D737&gt;0,VLOOKUP(D737,Программа!A$1:B$5100,2),IF(F737&gt;0,VLOOKUP(F737,КВР!A$1:B$5001,2),IF(E737&gt;0,VLOOKUP(E737,Направление!A$1:B$4830,2))))))</f>
        <v>Социальное обеспечение и иные выплаты населению</v>
      </c>
      <c r="B737" s="158"/>
      <c r="C737" s="153"/>
      <c r="D737" s="181"/>
      <c r="E737" s="179"/>
      <c r="F737" s="155">
        <v>300</v>
      </c>
      <c r="G737" s="521">
        <v>2052000</v>
      </c>
      <c r="H737" s="162"/>
      <c r="I737" s="161">
        <f t="shared" si="15"/>
        <v>2052000</v>
      </c>
    </row>
    <row r="738" spans="1:9" s="170" customFormat="1" ht="94.5" x14ac:dyDescent="0.25">
      <c r="A738" s="157" t="str">
        <f>IF(B738&gt;0,VLOOKUP(B738,КВСР!A310:B1475,2),IF(C738&gt;0,VLOOKUP(C738,КФСР!A310:B1822,2),IF(D738&gt;0,VLOOKUP(D738,Программа!A$1:B$5100,2),IF(F738&gt;0,VLOOKUP(F738,КВР!A$1:B$5001,2),IF(E738&gt;0,VLOOKUP(E738,Направление!A$1:B$4830,2))))))</f>
        <v>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v>
      </c>
      <c r="B738" s="158"/>
      <c r="C738" s="153"/>
      <c r="D738" s="178"/>
      <c r="E738" s="179">
        <v>55730</v>
      </c>
      <c r="F738" s="155"/>
      <c r="G738" s="611">
        <v>7400000</v>
      </c>
      <c r="H738" s="161">
        <f>H739+H740</f>
        <v>0</v>
      </c>
      <c r="I738" s="161">
        <f t="shared" si="15"/>
        <v>7400000</v>
      </c>
    </row>
    <row r="739" spans="1:9" s="170" customFormat="1" ht="63" hidden="1" x14ac:dyDescent="0.25">
      <c r="A739" s="157" t="str">
        <f>IF(B739&gt;0,VLOOKUP(B739,КВСР!A311:B1476,2),IF(C739&gt;0,VLOOKUP(C739,КФСР!A311:B1823,2),IF(D739&gt;0,VLOOKUP(D739,Программа!A$1:B$5100,2),IF(F739&gt;0,VLOOKUP(F739,КВР!A$1:B$5001,2),IF(E739&gt;0,VLOOKUP(E739,Направление!A$1:B$4830,2))))))</f>
        <v xml:space="preserve">Закупка товаров, работ и услуг для обеспечения государственных (муниципальных) нужд
</v>
      </c>
      <c r="B739" s="158"/>
      <c r="C739" s="153"/>
      <c r="D739" s="181"/>
      <c r="E739" s="179"/>
      <c r="F739" s="155">
        <v>200</v>
      </c>
      <c r="G739" s="521">
        <v>0</v>
      </c>
      <c r="H739" s="162"/>
      <c r="I739" s="161">
        <f t="shared" si="15"/>
        <v>0</v>
      </c>
    </row>
    <row r="740" spans="1:9" s="170" customFormat="1" ht="31.5" x14ac:dyDescent="0.25">
      <c r="A740" s="157" t="str">
        <f>IF(B740&gt;0,VLOOKUP(B740,КВСР!A312:B1477,2),IF(C740&gt;0,VLOOKUP(C740,КФСР!A312:B1824,2),IF(D740&gt;0,VLOOKUP(D740,Программа!A$1:B$5100,2),IF(F740&gt;0,VLOOKUP(F740,КВР!A$1:B$5001,2),IF(E740&gt;0,VLOOKUP(E740,Направление!A$1:B$4830,2))))))</f>
        <v>Социальное обеспечение и иные выплаты населению</v>
      </c>
      <c r="B740" s="158"/>
      <c r="C740" s="153"/>
      <c r="D740" s="181"/>
      <c r="E740" s="179"/>
      <c r="F740" s="155">
        <v>300</v>
      </c>
      <c r="G740" s="521">
        <v>7400000</v>
      </c>
      <c r="H740" s="162"/>
      <c r="I740" s="161">
        <f t="shared" si="15"/>
        <v>7400000</v>
      </c>
    </row>
    <row r="741" spans="1:9" s="170" customFormat="1" ht="94.5" x14ac:dyDescent="0.25">
      <c r="A741" s="157" t="str">
        <f>IF(B741&gt;0,VLOOKUP(B741,КВСР!A313:B1478,2),IF(C741&gt;0,VLOOKUP(C741,КФСР!A313:B1825,2),IF(D741&gt;0,VLOOKUP(D741,Программа!A$1:B$5100,2),IF(F741&gt;0,VLOOKUP(F741,КВР!A$1:B$5001,2),IF(E741&gt;0,VLOOKUP(E741,Направление!A$1:B$4830,2))))))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741" s="158"/>
      <c r="C741" s="153"/>
      <c r="D741" s="181"/>
      <c r="E741" s="153">
        <v>75480</v>
      </c>
      <c r="F741" s="155"/>
      <c r="G741" s="521">
        <v>714000</v>
      </c>
      <c r="H741" s="521">
        <f>H742</f>
        <v>0</v>
      </c>
      <c r="I741" s="161">
        <f t="shared" si="15"/>
        <v>714000</v>
      </c>
    </row>
    <row r="742" spans="1:9" s="170" customFormat="1" ht="63" x14ac:dyDescent="0.25">
      <c r="A742" s="157" t="str">
        <f>IF(B742&gt;0,VLOOKUP(B742,КВСР!A314:B1479,2),IF(C742&gt;0,VLOOKUP(C742,КФСР!A314:B1826,2),IF(D742&gt;0,VLOOKUP(D742,Программа!A$1:B$5100,2),IF(F742&gt;0,VLOOKUP(F742,КВР!A$1:B$5001,2),IF(E742&gt;0,VLOOKUP(E742,Направление!A$1:B$4830,2))))))</f>
        <v xml:space="preserve">Закупка товаров, работ и услуг для обеспечения государственных (муниципальных) нужд
</v>
      </c>
      <c r="B742" s="158"/>
      <c r="C742" s="153"/>
      <c r="D742" s="181"/>
      <c r="E742" s="179"/>
      <c r="F742" s="155">
        <v>200</v>
      </c>
      <c r="G742" s="521">
        <v>714000</v>
      </c>
      <c r="H742" s="162"/>
      <c r="I742" s="161">
        <f t="shared" si="15"/>
        <v>714000</v>
      </c>
    </row>
    <row r="743" spans="1:9" s="170" customFormat="1" ht="94.5" x14ac:dyDescent="0.25">
      <c r="A743" s="157" t="str">
        <f>IF(B743&gt;0,VLOOKUP(B743,КВСР!A313:B1478,2),IF(C743&gt;0,VLOOKUP(C743,КФСР!A313:B1825,2),IF(D743&gt;0,VLOOKUP(D743,Программа!A$1:B$5100,2),IF(F743&gt;0,VLOOKUP(F743,КВР!A$1:B$5001,2),IF(E743&gt;0,VLOOKUP(E743,Направление!A$1:B$4830,2))))))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743" s="158"/>
      <c r="C743" s="153"/>
      <c r="D743" s="155"/>
      <c r="E743" s="153" t="s">
        <v>2913</v>
      </c>
      <c r="F743" s="155"/>
      <c r="G743" s="611">
        <v>43218000</v>
      </c>
      <c r="H743" s="491">
        <f>H744+H745</f>
        <v>335790</v>
      </c>
      <c r="I743" s="161">
        <f t="shared" si="15"/>
        <v>43553790</v>
      </c>
    </row>
    <row r="744" spans="1:9" s="170" customFormat="1" ht="63" hidden="1" x14ac:dyDescent="0.25">
      <c r="A744" s="157" t="str">
        <f>IF(B744&gt;0,VLOOKUP(B744,КВСР!A314:B1479,2),IF(C744&gt;0,VLOOKUP(C744,КФСР!A314:B1826,2),IF(D744&gt;0,VLOOKUP(D744,Программа!A$1:B$5100,2),IF(F744&gt;0,VLOOKUP(F744,КВР!A$1:B$5001,2),IF(E744&gt;0,VLOOKUP(E744,Направление!A$1:B$4830,2))))))</f>
        <v xml:space="preserve">Закупка товаров, работ и услуг для обеспечения государственных (муниципальных) нужд
</v>
      </c>
      <c r="B744" s="158"/>
      <c r="C744" s="153"/>
      <c r="D744" s="181"/>
      <c r="E744" s="179"/>
      <c r="F744" s="155">
        <v>200</v>
      </c>
      <c r="G744" s="521">
        <v>0</v>
      </c>
      <c r="H744" s="162"/>
      <c r="I744" s="161">
        <f t="shared" si="15"/>
        <v>0</v>
      </c>
    </row>
    <row r="745" spans="1:9" s="170" customFormat="1" ht="31.5" x14ac:dyDescent="0.25">
      <c r="A745" s="157" t="str">
        <f>IF(B745&gt;0,VLOOKUP(B745,КВСР!A315:B1480,2),IF(C745&gt;0,VLOOKUP(C745,КФСР!A315:B1827,2),IF(D745&gt;0,VLOOKUP(D745,Программа!A$1:B$5100,2),IF(F745&gt;0,VLOOKUP(F745,КВР!A$1:B$5001,2),IF(E745&gt;0,VLOOKUP(E745,Направление!A$1:B$4830,2))))))</f>
        <v>Социальное обеспечение и иные выплаты населению</v>
      </c>
      <c r="B745" s="158"/>
      <c r="C745" s="153"/>
      <c r="D745" s="181"/>
      <c r="E745" s="179"/>
      <c r="F745" s="155">
        <v>300</v>
      </c>
      <c r="G745" s="521">
        <v>43218000</v>
      </c>
      <c r="H745" s="162">
        <v>335790</v>
      </c>
      <c r="I745" s="161">
        <f t="shared" si="15"/>
        <v>43553790</v>
      </c>
    </row>
    <row r="746" spans="1:9" s="170" customFormat="1" ht="63" x14ac:dyDescent="0.25">
      <c r="A746" s="157" t="str">
        <f>IF(B746&gt;0,VLOOKUP(B746,КВСР!A308:B1473,2),IF(C746&gt;0,VLOOKUP(C746,КФСР!A308:B1820,2),IF(D746&gt;0,VLOOKUP(D746,Программа!A$1:B$5100,2),IF(F746&gt;0,VLOOKUP(F746,КВР!A$1:B$5001,2),IF(E746&gt;0,VLOOKUP(E746,Направление!A$1:B$4830,2))))))</f>
        <v>Социальная защита семей с детьми, инвалидов, ветеранов, граждан и детей, оказавшихся в трудной жизненной ситуации</v>
      </c>
      <c r="B746" s="158"/>
      <c r="C746" s="153"/>
      <c r="D746" s="178" t="s">
        <v>788</v>
      </c>
      <c r="E746" s="179"/>
      <c r="F746" s="155"/>
      <c r="G746" s="504">
        <v>100000</v>
      </c>
      <c r="H746" s="159">
        <f>H747+H749</f>
        <v>50297</v>
      </c>
      <c r="I746" s="161">
        <f t="shared" si="15"/>
        <v>150297</v>
      </c>
    </row>
    <row r="747" spans="1:9" s="170" customFormat="1" ht="31.5" x14ac:dyDescent="0.25">
      <c r="A747" s="157" t="str">
        <f>IF(B747&gt;0,VLOOKUP(B747,КВСР!A309:B1474,2),IF(C747&gt;0,VLOOKUP(C747,КФСР!A309:B1821,2),IF(D747&gt;0,VLOOKUP(D747,Программа!A$1:B$5100,2),IF(F747&gt;0,VLOOKUP(F747,КВР!A$1:B$5001,2),IF(E747&gt;0,VLOOKUP(E747,Направление!A$1:B$4830,2))))))</f>
        <v>Оказание адресной материальной помощи</v>
      </c>
      <c r="B747" s="158"/>
      <c r="C747" s="153"/>
      <c r="D747" s="178"/>
      <c r="E747" s="179">
        <v>16220</v>
      </c>
      <c r="F747" s="155"/>
      <c r="G747" s="504">
        <v>100000</v>
      </c>
      <c r="H747" s="159">
        <f>H748</f>
        <v>50297</v>
      </c>
      <c r="I747" s="161">
        <f t="shared" si="15"/>
        <v>150297</v>
      </c>
    </row>
    <row r="748" spans="1:9" s="170" customFormat="1" ht="31.5" x14ac:dyDescent="0.25">
      <c r="A748" s="157" t="str">
        <f>IF(B748&gt;0,VLOOKUP(B748,КВСР!A310:B1475,2),IF(C748&gt;0,VLOOKUP(C748,КФСР!A310:B1822,2),IF(D748&gt;0,VLOOKUP(D748,Программа!A$1:B$5100,2),IF(F748&gt;0,VLOOKUP(F748,КВР!A$1:B$5001,2),IF(E748&gt;0,VLOOKUP(E748,Направление!A$1:B$4830,2))))))</f>
        <v>Социальное обеспечение и иные выплаты населению</v>
      </c>
      <c r="B748" s="158"/>
      <c r="C748" s="153"/>
      <c r="D748" s="181"/>
      <c r="E748" s="179"/>
      <c r="F748" s="155">
        <v>300</v>
      </c>
      <c r="G748" s="502">
        <v>100000</v>
      </c>
      <c r="H748" s="160">
        <v>50297</v>
      </c>
      <c r="I748" s="161">
        <f t="shared" si="15"/>
        <v>150297</v>
      </c>
    </row>
    <row r="749" spans="1:9" s="170" customFormat="1" ht="63" hidden="1" x14ac:dyDescent="0.25">
      <c r="A749" s="157" t="str">
        <f>IF(B749&gt;0,VLOOKUP(B749,КВСР!A311:B1476,2),IF(C749&gt;0,VLOOKUP(C749,КФСР!A311:B1823,2),IF(D749&gt;0,VLOOKUP(D749,Программа!A$1:B$5100,2),IF(F749&gt;0,VLOOKUP(F749,КВР!A$1:B$5001,2),IF(E749&gt;0,VLOOKUP(E749,Направление!A$1:B$4830,2))))))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749" s="158"/>
      <c r="C749" s="153"/>
      <c r="D749" s="155"/>
      <c r="E749" s="153">
        <v>70970</v>
      </c>
      <c r="F749" s="155"/>
      <c r="G749" s="504">
        <v>0</v>
      </c>
      <c r="H749" s="159">
        <f>H750</f>
        <v>0</v>
      </c>
      <c r="I749" s="161">
        <f t="shared" si="15"/>
        <v>0</v>
      </c>
    </row>
    <row r="750" spans="1:9" s="170" customFormat="1" ht="63" hidden="1" x14ac:dyDescent="0.25">
      <c r="A750" s="157" t="str">
        <f>IF(B750&gt;0,VLOOKUP(B750,КВСР!A312:B1477,2),IF(C750&gt;0,VLOOKUP(C750,КФСР!A312:B1824,2),IF(D750&gt;0,VLOOKUP(D750,Программа!A$1:B$5100,2),IF(F750&gt;0,VLOOKUP(F750,КВР!A$1:B$5001,2),IF(E750&gt;0,VLOOKUP(E750,Направление!A$1:B$4830,2))))))</f>
        <v xml:space="preserve">Закупка товаров, работ и услуг для обеспечения государственных (муниципальных) нужд
</v>
      </c>
      <c r="B750" s="158"/>
      <c r="C750" s="153"/>
      <c r="D750" s="155"/>
      <c r="E750" s="153"/>
      <c r="F750" s="155">
        <v>200</v>
      </c>
      <c r="G750" s="502">
        <v>0</v>
      </c>
      <c r="H750" s="160"/>
      <c r="I750" s="161">
        <f t="shared" si="15"/>
        <v>0</v>
      </c>
    </row>
    <row r="751" spans="1:9" s="170" customFormat="1" ht="31.5" x14ac:dyDescent="0.25">
      <c r="A751" s="157" t="str">
        <f>IF(B751&gt;0,VLOOKUP(B751,КВСР!A308:B1473,2),IF(C751&gt;0,VLOOKUP(C751,КФСР!A308:B1820,2),IF(D751&gt;0,VLOOKUP(D751,Программа!A$1:B$5100,2),IF(F751&gt;0,VLOOKUP(F751,КВР!A$1:B$5001,2),IF(E751&gt;0,VLOOKUP(E751,Направление!A$1:B$4830,2))))))</f>
        <v>Другие вопросы в области социальной политики</v>
      </c>
      <c r="B751" s="158"/>
      <c r="C751" s="153">
        <v>1006</v>
      </c>
      <c r="D751" s="154"/>
      <c r="E751" s="153"/>
      <c r="F751" s="155"/>
      <c r="G751" s="611">
        <v>15510542</v>
      </c>
      <c r="H751" s="611">
        <f>H757+H752+H773+H777</f>
        <v>20723</v>
      </c>
      <c r="I751" s="161">
        <f t="shared" si="15"/>
        <v>15531265</v>
      </c>
    </row>
    <row r="752" spans="1:9" s="170" customFormat="1" ht="63" hidden="1" x14ac:dyDescent="0.25">
      <c r="A752" s="157" t="str">
        <f>IF(B752&gt;0,VLOOKUP(B752,КВСР!A309:B1474,2),IF(C752&gt;0,VLOOKUP(C752,КФСР!A309:B1821,2),IF(D752&gt;0,VLOOKUP(D752,Программа!A$1:B$5100,2),IF(F752&gt;0,VLOOKUP(F752,КВР!A$1:B$5001,2),IF(E752&gt;0,VLOOKUP(E752,Направление!A$1:B$4830,2))))))</f>
        <v>Муниципальная программа "Развитие образования, физической культуры и спорта в Тутаевском муниципальном районе"</v>
      </c>
      <c r="B752" s="158"/>
      <c r="C752" s="153"/>
      <c r="D752" s="154" t="s">
        <v>686</v>
      </c>
      <c r="E752" s="153"/>
      <c r="F752" s="155"/>
      <c r="G752" s="611">
        <v>0</v>
      </c>
      <c r="H752" s="161">
        <f>H753</f>
        <v>0</v>
      </c>
      <c r="I752" s="161">
        <f t="shared" si="15"/>
        <v>0</v>
      </c>
    </row>
    <row r="753" spans="1:9" s="170" customFormat="1" ht="63" hidden="1" x14ac:dyDescent="0.25">
      <c r="A753" s="157" t="str">
        <f>IF(B753&gt;0,VLOOKUP(B753,КВСР!A310:B1475,2),IF(C753&gt;0,VLOOKUP(C753,КФСР!A310:B1822,2),IF(D753&gt;0,VLOOKUP(D753,Программа!A$1:B$5100,2),IF(F753&gt;0,VLOOKUP(F753,КВР!A$1:B$5001,2),IF(E753&gt;0,VLOOKUP(E753,Направление!A$1:B$4830,2))))))</f>
        <v>Муниципальная целевая программа "Духовно-нравственное воспитание и просвещение населения Тутаевского муниципального района"</v>
      </c>
      <c r="B753" s="158"/>
      <c r="C753" s="153"/>
      <c r="D753" s="154" t="s">
        <v>740</v>
      </c>
      <c r="E753" s="153"/>
      <c r="F753" s="155"/>
      <c r="G753" s="611">
        <v>0</v>
      </c>
      <c r="H753" s="161">
        <f>H754</f>
        <v>0</v>
      </c>
      <c r="I753" s="161">
        <f t="shared" si="15"/>
        <v>0</v>
      </c>
    </row>
    <row r="754" spans="1:9" s="170" customFormat="1" ht="63" hidden="1" x14ac:dyDescent="0.25">
      <c r="A754" s="157" t="str">
        <f>IF(B754&gt;0,VLOOKUP(B754,КВСР!A311:B1476,2),IF(C754&gt;0,VLOOKUP(C754,КФСР!A311:B1823,2),IF(D754&gt;0,VLOOKUP(D754,Программа!A$1:B$5100,2),IF(F754&gt;0,VLOOKUP(F754,КВР!A$1:B$5001,2),IF(E754&gt;0,VLOOKUP(E754,Направление!A$1:B$4830,2))))))</f>
        <v>Реализация мер по созданию целостной системы духовно-нравственного воспитания и просвещения населения</v>
      </c>
      <c r="B754" s="158"/>
      <c r="C754" s="153"/>
      <c r="D754" s="154" t="s">
        <v>742</v>
      </c>
      <c r="E754" s="153"/>
      <c r="F754" s="155"/>
      <c r="G754" s="611">
        <v>0</v>
      </c>
      <c r="H754" s="161">
        <f>H755</f>
        <v>0</v>
      </c>
      <c r="I754" s="161">
        <f t="shared" si="15"/>
        <v>0</v>
      </c>
    </row>
    <row r="755" spans="1:9" s="170" customFormat="1" ht="47.25" hidden="1" x14ac:dyDescent="0.25">
      <c r="A755" s="157" t="str">
        <f>IF(B755&gt;0,VLOOKUP(B755,КВСР!A312:B1477,2),IF(C755&gt;0,VLOOKUP(C755,КФСР!A312:B1824,2),IF(D755&gt;0,VLOOKUP(D755,Программа!A$1:B$5100,2),IF(F755&gt;0,VLOOKUP(F755,КВР!A$1:B$5001,2),IF(E755&gt;0,VLOOKUP(E755,Направление!A$1:B$4830,2))))))</f>
        <v>Расходы на реализацию МЦП "Духовно - нравственное воспитание и просвещение населения ТМР"</v>
      </c>
      <c r="B755" s="158"/>
      <c r="C755" s="153"/>
      <c r="D755" s="154"/>
      <c r="E755" s="153">
        <v>13810</v>
      </c>
      <c r="F755" s="155"/>
      <c r="G755" s="611">
        <v>0</v>
      </c>
      <c r="H755" s="161">
        <f>H756</f>
        <v>0</v>
      </c>
      <c r="I755" s="161">
        <f t="shared" si="15"/>
        <v>0</v>
      </c>
    </row>
    <row r="756" spans="1:9" s="170" customFormat="1" ht="63" hidden="1" x14ac:dyDescent="0.25">
      <c r="A756" s="157" t="str">
        <f>IF(B756&gt;0,VLOOKUP(B756,КВСР!A313:B1478,2),IF(C756&gt;0,VLOOKUP(C756,КФСР!A313:B1825,2),IF(D756&gt;0,VLOOKUP(D756,Программа!A$1:B$5100,2),IF(F756&gt;0,VLOOKUP(F756,КВР!A$1:B$5001,2),IF(E756&gt;0,VLOOKUP(E756,Направление!A$1:B$4830,2))))))</f>
        <v xml:space="preserve">Закупка товаров, работ и услуг для обеспечения государственных (муниципальных) нужд
</v>
      </c>
      <c r="B756" s="158"/>
      <c r="C756" s="153"/>
      <c r="D756" s="154"/>
      <c r="E756" s="153"/>
      <c r="F756" s="155">
        <v>200</v>
      </c>
      <c r="G756" s="612">
        <v>0</v>
      </c>
      <c r="H756" s="163"/>
      <c r="I756" s="161">
        <f t="shared" si="15"/>
        <v>0</v>
      </c>
    </row>
    <row r="757" spans="1:9" s="170" customFormat="1" ht="47.25" x14ac:dyDescent="0.25">
      <c r="A757" s="157" t="str">
        <f>IF(B757&gt;0,VLOOKUP(B757,КВСР!A309:B1474,2),IF(C757&gt;0,VLOOKUP(C757,КФСР!A309:B1821,2),IF(D757&gt;0,VLOOKUP(D757,Программа!A$1:B$5100,2),IF(F757&gt;0,VLOOKUP(F757,КВР!A$1:B$5001,2),IF(E757&gt;0,VLOOKUP(E757,Направление!A$1:B$4830,2))))))</f>
        <v>Муниципальная программа "Социальная поддержка населения Тутаевского муниципального района"</v>
      </c>
      <c r="B757" s="158"/>
      <c r="C757" s="153"/>
      <c r="D757" s="154" t="s">
        <v>695</v>
      </c>
      <c r="E757" s="153"/>
      <c r="F757" s="155"/>
      <c r="G757" s="611">
        <v>15446911</v>
      </c>
      <c r="H757" s="161">
        <f>H758</f>
        <v>26723</v>
      </c>
      <c r="I757" s="161">
        <f t="shared" si="15"/>
        <v>15473634</v>
      </c>
    </row>
    <row r="758" spans="1:9" s="170" customFormat="1" ht="47.25" x14ac:dyDescent="0.25">
      <c r="A758" s="157" t="str">
        <f>IF(B758&gt;0,VLOOKUP(B758,КВСР!A310:B1475,2),IF(C758&gt;0,VLOOKUP(C758,КФСР!A310:B1822,2),IF(D758&gt;0,VLOOKUP(D758,Программа!A$1:B$5100,2),IF(F758&gt;0,VLOOKUP(F758,КВР!A$1:B$5001,2),IF(E758&gt;0,VLOOKUP(E758,Направление!A$1:B$4830,2))))))</f>
        <v xml:space="preserve">Ведомственная целевая программа «Социальная поддержка населения Тутаевского муниципального района» </v>
      </c>
      <c r="B758" s="158"/>
      <c r="C758" s="153"/>
      <c r="D758" s="154" t="s">
        <v>768</v>
      </c>
      <c r="E758" s="153"/>
      <c r="F758" s="155"/>
      <c r="G758" s="611">
        <v>15446911</v>
      </c>
      <c r="H758" s="161">
        <f>H759+H770</f>
        <v>26723</v>
      </c>
      <c r="I758" s="161">
        <f t="shared" si="15"/>
        <v>15473634</v>
      </c>
    </row>
    <row r="759" spans="1:9" s="170" customFormat="1" ht="47.25" x14ac:dyDescent="0.25">
      <c r="A759" s="157" t="str">
        <f>IF(B759&gt;0,VLOOKUP(B759,КВСР!A311:B1476,2),IF(C759&gt;0,VLOOKUP(C759,КФСР!A311:B1823,2),IF(D759&gt;0,VLOOKUP(D759,Программа!A$1:B$5100,2),IF(F759&gt;0,VLOOKUP(F759,КВР!A$1:B$5001,2),IF(E759&gt;0,VLOOKUP(E759,Направление!A$1:B$4830,2))))))</f>
        <v>Исполнение публичных обязательств по предоставлению выплат, пособий и компенсаций</v>
      </c>
      <c r="B759" s="158"/>
      <c r="C759" s="153"/>
      <c r="D759" s="154" t="s">
        <v>770</v>
      </c>
      <c r="E759" s="153"/>
      <c r="F759" s="155"/>
      <c r="G759" s="611">
        <v>15132041</v>
      </c>
      <c r="H759" s="161">
        <f>H760+H766+H764</f>
        <v>26723</v>
      </c>
      <c r="I759" s="161">
        <f t="shared" si="15"/>
        <v>15158764</v>
      </c>
    </row>
    <row r="760" spans="1:9" s="170" customFormat="1" x14ac:dyDescent="0.25">
      <c r="A760" s="157" t="str">
        <f>IF(B760&gt;0,VLOOKUP(B760,КВСР!A312:B1477,2),IF(C760&gt;0,VLOOKUP(C760,КФСР!A312:B1824,2),IF(D760&gt;0,VLOOKUP(D760,Программа!A$1:B$5100,2),IF(F760&gt;0,VLOOKUP(F760,КВР!A$1:B$5001,2),IF(E760&gt;0,VLOOKUP(E760,Направление!A$1:B$4830,2))))))</f>
        <v>Содержание центрального аппарата</v>
      </c>
      <c r="B760" s="158"/>
      <c r="C760" s="153"/>
      <c r="D760" s="154"/>
      <c r="E760" s="153">
        <v>12010</v>
      </c>
      <c r="F760" s="155"/>
      <c r="G760" s="611">
        <v>357731</v>
      </c>
      <c r="H760" s="161">
        <f>H761+H763+H762</f>
        <v>26723</v>
      </c>
      <c r="I760" s="161">
        <f t="shared" si="15"/>
        <v>384454</v>
      </c>
    </row>
    <row r="761" spans="1:9" s="170" customFormat="1" ht="126" x14ac:dyDescent="0.25">
      <c r="A761" s="157" t="str">
        <f>IF(B761&gt;0,VLOOKUP(B761,КВСР!A312:B1477,2),IF(C761&gt;0,VLOOKUP(C761,КФСР!A312:B1824,2),IF(D761&gt;0,VLOOKUP(D761,Программа!A$1:B$5100,2),IF(F761&gt;0,VLOOKUP(F761,КВР!A$1:B$5001,2),IF(E761&gt;0,VLOOKUP(E761,Направление!A$1:B$4830,2))))))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1" s="158"/>
      <c r="C761" s="153"/>
      <c r="D761" s="155"/>
      <c r="E761" s="153"/>
      <c r="F761" s="155">
        <v>100</v>
      </c>
      <c r="G761" s="521">
        <v>347700</v>
      </c>
      <c r="H761" s="162"/>
      <c r="I761" s="161">
        <f t="shared" si="15"/>
        <v>347700</v>
      </c>
    </row>
    <row r="762" spans="1:9" s="170" customFormat="1" ht="63" x14ac:dyDescent="0.25">
      <c r="A762" s="157" t="str">
        <f>IF(B762&gt;0,VLOOKUP(B762,КВСР!A313:B1478,2),IF(C762&gt;0,VLOOKUP(C762,КФСР!A313:B1825,2),IF(D762&gt;0,VLOOKUP(D762,Программа!A$1:B$5100,2),IF(F762&gt;0,VLOOKUP(F762,КВР!A$1:B$5001,2),IF(E762&gt;0,VLOOKUP(E762,Направление!A$1:B$4830,2))))))</f>
        <v xml:space="preserve">Закупка товаров, работ и услуг для обеспечения государственных (муниципальных) нужд
</v>
      </c>
      <c r="B762" s="158"/>
      <c r="C762" s="153"/>
      <c r="D762" s="155"/>
      <c r="E762" s="153"/>
      <c r="F762" s="155">
        <v>200</v>
      </c>
      <c r="G762" s="521">
        <v>7851</v>
      </c>
      <c r="H762" s="162">
        <v>26760</v>
      </c>
      <c r="I762" s="161">
        <f t="shared" si="15"/>
        <v>34611</v>
      </c>
    </row>
    <row r="763" spans="1:9" s="170" customFormat="1" x14ac:dyDescent="0.25">
      <c r="A763" s="157" t="str">
        <f>IF(B763&gt;0,VLOOKUP(B763,КВСР!A313:B1478,2),IF(C763&gt;0,VLOOKUP(C763,КФСР!A313:B1825,2),IF(D763&gt;0,VLOOKUP(D763,Программа!A$1:B$5100,2),IF(F763&gt;0,VLOOKUP(F763,КВР!A$1:B$5001,2),IF(E763&gt;0,VLOOKUP(E763,Направление!A$1:B$4830,2))))))</f>
        <v>Иные бюджетные ассигнования</v>
      </c>
      <c r="B763" s="158"/>
      <c r="C763" s="153"/>
      <c r="D763" s="155"/>
      <c r="E763" s="153"/>
      <c r="F763" s="155">
        <v>800</v>
      </c>
      <c r="G763" s="521">
        <v>2180</v>
      </c>
      <c r="H763" s="162">
        <v>-37</v>
      </c>
      <c r="I763" s="161">
        <f t="shared" si="15"/>
        <v>2143</v>
      </c>
    </row>
    <row r="764" spans="1:9" s="170" customFormat="1" ht="31.5" x14ac:dyDescent="0.25">
      <c r="A764" s="157" t="str">
        <f>IF(B764&gt;0,VLOOKUP(B764,КВСР!A314:B1479,2),IF(C764&gt;0,VLOOKUP(C764,КФСР!A314:B1826,2),IF(D764&gt;0,VLOOKUP(D764,Программа!A$1:B$5100,2),IF(F764&gt;0,VLOOKUP(F764,КВР!A$1:B$5001,2),IF(E764&gt;0,VLOOKUP(E764,Направление!A$1:B$4830,2))))))</f>
        <v>Выполнение других обязательств органов местного самоуправления</v>
      </c>
      <c r="B764" s="158"/>
      <c r="C764" s="153"/>
      <c r="D764" s="155"/>
      <c r="E764" s="153">
        <v>12080</v>
      </c>
      <c r="F764" s="155"/>
      <c r="G764" s="611">
        <v>93180</v>
      </c>
      <c r="H764" s="491">
        <f>H765</f>
        <v>0</v>
      </c>
      <c r="I764" s="161">
        <f t="shared" si="15"/>
        <v>93180</v>
      </c>
    </row>
    <row r="765" spans="1:9" s="170" customFormat="1" ht="63" x14ac:dyDescent="0.25">
      <c r="A765" s="157" t="str">
        <f>IF(B765&gt;0,VLOOKUP(B765,КВСР!A315:B1480,2),IF(C765&gt;0,VLOOKUP(C765,КФСР!A315:B1827,2),IF(D765&gt;0,VLOOKUP(D765,Программа!A$1:B$5100,2),IF(F765&gt;0,VLOOKUP(F765,КВР!A$1:B$5001,2),IF(E765&gt;0,VLOOKUP(E765,Направление!A$1:B$4830,2))))))</f>
        <v xml:space="preserve">Закупка товаров, работ и услуг для обеспечения государственных (муниципальных) нужд
</v>
      </c>
      <c r="B765" s="158"/>
      <c r="C765" s="153"/>
      <c r="D765" s="155"/>
      <c r="E765" s="153"/>
      <c r="F765" s="155">
        <v>200</v>
      </c>
      <c r="G765" s="521">
        <v>93180</v>
      </c>
      <c r="H765" s="162"/>
      <c r="I765" s="161">
        <f t="shared" si="15"/>
        <v>93180</v>
      </c>
    </row>
    <row r="766" spans="1:9" s="170" customFormat="1" ht="63" x14ac:dyDescent="0.25">
      <c r="A766" s="157" t="str">
        <f>IF(B766&gt;0,VLOOKUP(B766,КВСР!A314:B1479,2),IF(C766&gt;0,VLOOKUP(C766,КФСР!A314:B1826,2),IF(D766&gt;0,VLOOKUP(D766,Программа!A$1:B$5100,2),IF(F766&gt;0,VLOOKUP(F766,КВР!A$1:B$5001,2),IF(E766&gt;0,VLOOKUP(E766,Направление!A$1:B$4830,2))))))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66" s="158"/>
      <c r="C766" s="153"/>
      <c r="D766" s="154"/>
      <c r="E766" s="153">
        <v>70870</v>
      </c>
      <c r="F766" s="155"/>
      <c r="G766" s="611">
        <v>14681130</v>
      </c>
      <c r="H766" s="161">
        <f>H767+H768+H769</f>
        <v>0</v>
      </c>
      <c r="I766" s="161">
        <f t="shared" si="15"/>
        <v>14681130</v>
      </c>
    </row>
    <row r="767" spans="1:9" s="170" customFormat="1" ht="126" x14ac:dyDescent="0.25">
      <c r="A767" s="157" t="str">
        <f>IF(B767&gt;0,VLOOKUP(B767,КВСР!A315:B1480,2),IF(C767&gt;0,VLOOKUP(C767,КФСР!A315:B1827,2),IF(D767&gt;0,VLOOKUP(D767,Программа!A$1:B$5100,2),IF(F767&gt;0,VLOOKUP(F767,КВР!A$1:B$5001,2),IF(E767&gt;0,VLOOKUP(E767,Направление!A$1:B$4830,2))))))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7" s="158"/>
      <c r="C767" s="153"/>
      <c r="D767" s="155"/>
      <c r="E767" s="153"/>
      <c r="F767" s="155">
        <v>100</v>
      </c>
      <c r="G767" s="521">
        <v>12448200</v>
      </c>
      <c r="H767" s="162">
        <v>0</v>
      </c>
      <c r="I767" s="161">
        <f t="shared" si="15"/>
        <v>12448200</v>
      </c>
    </row>
    <row r="768" spans="1:9" s="170" customFormat="1" ht="63" x14ac:dyDescent="0.25">
      <c r="A768" s="157" t="str">
        <f>IF(B768&gt;0,VLOOKUP(B768,КВСР!A316:B1481,2),IF(C768&gt;0,VLOOKUP(C768,КФСР!A316:B1828,2),IF(D768&gt;0,VLOOKUP(D768,Программа!A$1:B$5100,2),IF(F768&gt;0,VLOOKUP(F768,КВР!A$1:B$5001,2),IF(E768&gt;0,VLOOKUP(E768,Направление!A$1:B$4830,2))))))</f>
        <v xml:space="preserve">Закупка товаров, работ и услуг для обеспечения государственных (муниципальных) нужд
</v>
      </c>
      <c r="B768" s="158"/>
      <c r="C768" s="153"/>
      <c r="D768" s="155"/>
      <c r="E768" s="153"/>
      <c r="F768" s="155">
        <v>200</v>
      </c>
      <c r="G768" s="521">
        <v>2209691</v>
      </c>
      <c r="H768" s="162"/>
      <c r="I768" s="161">
        <f t="shared" si="15"/>
        <v>2209691</v>
      </c>
    </row>
    <row r="769" spans="1:9" s="170" customFormat="1" x14ac:dyDescent="0.25">
      <c r="A769" s="157" t="str">
        <f>IF(B769&gt;0,VLOOKUP(B769,КВСР!A317:B1482,2),IF(C769&gt;0,VLOOKUP(C769,КФСР!A317:B1829,2),IF(D769&gt;0,VLOOKUP(D769,Программа!A$1:B$5100,2),IF(F769&gt;0,VLOOKUP(F769,КВР!A$1:B$5001,2),IF(E769&gt;0,VLOOKUP(E769,Направление!A$1:B$4830,2))))))</f>
        <v>Иные бюджетные ассигнования</v>
      </c>
      <c r="B769" s="158"/>
      <c r="C769" s="153"/>
      <c r="D769" s="155"/>
      <c r="E769" s="153"/>
      <c r="F769" s="155">
        <v>800</v>
      </c>
      <c r="G769" s="521">
        <v>23239</v>
      </c>
      <c r="H769" s="162"/>
      <c r="I769" s="161">
        <f t="shared" si="15"/>
        <v>23239</v>
      </c>
    </row>
    <row r="770" spans="1:9" s="170" customFormat="1" ht="31.5" x14ac:dyDescent="0.25">
      <c r="A770" s="157" t="str">
        <f>IF(B770&gt;0,VLOOKUP(B770,КВСР!A318:B1483,2),IF(C770&gt;0,VLOOKUP(C770,КФСР!A318:B1830,2),IF(D770&gt;0,VLOOKUP(D770,Программа!A$1:B$5100,2),IF(F770&gt;0,VLOOKUP(F770,КВР!A$1:B$5001,2),IF(E770&gt;0,VLOOKUP(E770,Направление!A$1:B$4830,2))))))</f>
        <v>Информационное обеспечение реализации мероприятий программы</v>
      </c>
      <c r="B770" s="158"/>
      <c r="C770" s="153"/>
      <c r="D770" s="154" t="s">
        <v>3213</v>
      </c>
      <c r="E770" s="153"/>
      <c r="F770" s="155"/>
      <c r="G770" s="611">
        <v>314870</v>
      </c>
      <c r="H770" s="491">
        <f>H771</f>
        <v>0</v>
      </c>
      <c r="I770" s="161">
        <f t="shared" si="15"/>
        <v>314870</v>
      </c>
    </row>
    <row r="771" spans="1:9" s="170" customFormat="1" ht="63" x14ac:dyDescent="0.25">
      <c r="A771" s="157" t="str">
        <f>IF(B771&gt;0,VLOOKUP(B771,КВСР!A319:B1484,2),IF(C771&gt;0,VLOOKUP(C771,КФСР!A319:B1831,2),IF(D771&gt;0,VLOOKUP(D771,Программа!A$1:B$5100,2),IF(F771&gt;0,VLOOKUP(F771,КВР!A$1:B$5001,2),IF(E771&gt;0,VLOOKUP(E771,Направление!A$1:B$4830,2))))))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71" s="158"/>
      <c r="C771" s="153"/>
      <c r="D771" s="154"/>
      <c r="E771" s="153">
        <v>70870</v>
      </c>
      <c r="F771" s="155"/>
      <c r="G771" s="611">
        <v>314870</v>
      </c>
      <c r="H771" s="491">
        <f>H772</f>
        <v>0</v>
      </c>
      <c r="I771" s="161">
        <f t="shared" si="15"/>
        <v>314870</v>
      </c>
    </row>
    <row r="772" spans="1:9" s="170" customFormat="1" ht="63" x14ac:dyDescent="0.25">
      <c r="A772" s="157" t="str">
        <f>IF(B772&gt;0,VLOOKUP(B772,КВСР!A320:B1485,2),IF(C772&gt;0,VLOOKUP(C772,КФСР!A320:B1832,2),IF(D772&gt;0,VLOOKUP(D772,Программа!A$1:B$5100,2),IF(F772&gt;0,VLOOKUP(F772,КВР!A$1:B$5001,2),IF(E772&gt;0,VLOOKUP(E772,Направление!A$1:B$4830,2))))))</f>
        <v xml:space="preserve">Закупка товаров, работ и услуг для обеспечения государственных (муниципальных) нужд
</v>
      </c>
      <c r="B772" s="158"/>
      <c r="C772" s="153"/>
      <c r="D772" s="155"/>
      <c r="E772" s="153"/>
      <c r="F772" s="155">
        <v>200</v>
      </c>
      <c r="G772" s="521">
        <v>314870</v>
      </c>
      <c r="H772" s="162"/>
      <c r="I772" s="161">
        <f t="shared" si="15"/>
        <v>314870</v>
      </c>
    </row>
    <row r="773" spans="1:9" s="170" customFormat="1" ht="31.5" x14ac:dyDescent="0.25">
      <c r="A773" s="157" t="str">
        <f>IF(B773&gt;0,VLOOKUP(B773,КВСР!A321:B1486,2),IF(C773&gt;0,VLOOKUP(C773,КФСР!A321:B1833,2),IF(D773&gt;0,VLOOKUP(D773,Программа!A$1:B$5100,2),IF(F773&gt;0,VLOOKUP(F773,КВР!A$1:B$5001,2),IF(E773&gt;0,VLOOKUP(E773,Направление!A$1:B$4830,2))))))</f>
        <v>Муниципальная программа "Доступная среда "</v>
      </c>
      <c r="B773" s="158"/>
      <c r="C773" s="153"/>
      <c r="D773" s="155" t="s">
        <v>833</v>
      </c>
      <c r="E773" s="153"/>
      <c r="F773" s="155"/>
      <c r="G773" s="521">
        <v>57631</v>
      </c>
      <c r="H773" s="521">
        <f>H774</f>
        <v>0</v>
      </c>
      <c r="I773" s="161">
        <f t="shared" si="15"/>
        <v>57631</v>
      </c>
    </row>
    <row r="774" spans="1:9" s="170" customFormat="1" ht="78.75" x14ac:dyDescent="0.25">
      <c r="A774" s="157" t="str">
        <f>IF(B774&gt;0,VLOOKUP(B774,КВСР!A322:B1487,2),IF(C774&gt;0,VLOOKUP(C774,КФСР!A322:B1834,2),IF(D774&gt;0,VLOOKUP(D774,Программа!A$1:B$5100,2),IF(F774&gt;0,VLOOKUP(F774,КВР!A$1:B$5001,2),IF(E774&gt;0,VLOOKUP(E774,Направление!A$1:B$4830,2))))))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74" s="158"/>
      <c r="C774" s="153"/>
      <c r="D774" s="155" t="s">
        <v>835</v>
      </c>
      <c r="E774" s="153"/>
      <c r="F774" s="155"/>
      <c r="G774" s="521">
        <v>57631</v>
      </c>
      <c r="H774" s="521">
        <f>H775</f>
        <v>0</v>
      </c>
      <c r="I774" s="161">
        <f t="shared" si="15"/>
        <v>57631</v>
      </c>
    </row>
    <row r="775" spans="1:9" s="170" customFormat="1" ht="63" x14ac:dyDescent="0.25">
      <c r="A775" s="157" t="str">
        <f>IF(B775&gt;0,VLOOKUP(B775,КВСР!A323:B1488,2),IF(C775&gt;0,VLOOKUP(C775,КФСР!A323:B1835,2),IF(D775&gt;0,VLOOKUP(D775,Программа!A$1:B$5100,2),IF(F775&gt;0,VLOOKUP(F775,КВР!A$1:B$5001,2),IF(E775&gt;0,VLOOKUP(E775,Направление!A$1:B$4830,2))))))</f>
        <v>Расходы на оборудование социально значимых объектов с целью обеспечения доступности для инвалидов</v>
      </c>
      <c r="B775" s="158"/>
      <c r="C775" s="153"/>
      <c r="D775" s="155"/>
      <c r="E775" s="153">
        <v>16250</v>
      </c>
      <c r="F775" s="155"/>
      <c r="G775" s="521">
        <v>57631</v>
      </c>
      <c r="H775" s="521">
        <f>H776</f>
        <v>0</v>
      </c>
      <c r="I775" s="161">
        <f t="shared" si="15"/>
        <v>57631</v>
      </c>
    </row>
    <row r="776" spans="1:9" s="170" customFormat="1" ht="63" x14ac:dyDescent="0.25">
      <c r="A776" s="157" t="str">
        <f>IF(B776&gt;0,VLOOKUP(B776,КВСР!A324:B1489,2),IF(C776&gt;0,VLOOKUP(C776,КФСР!A324:B1836,2),IF(D776&gt;0,VLOOKUP(D776,Программа!A$1:B$5100,2),IF(F776&gt;0,VLOOKUP(F776,КВР!A$1:B$5001,2),IF(E776&gt;0,VLOOKUP(E776,Направление!A$1:B$4830,2))))))</f>
        <v xml:space="preserve">Закупка товаров, работ и услуг для обеспечения государственных (муниципальных) нужд
</v>
      </c>
      <c r="B776" s="158"/>
      <c r="C776" s="153"/>
      <c r="D776" s="155"/>
      <c r="E776" s="153"/>
      <c r="F776" s="155">
        <v>200</v>
      </c>
      <c r="G776" s="521">
        <v>57631</v>
      </c>
      <c r="H776" s="162"/>
      <c r="I776" s="161">
        <f t="shared" si="15"/>
        <v>57631</v>
      </c>
    </row>
    <row r="777" spans="1:9" s="170" customFormat="1" ht="63" hidden="1" x14ac:dyDescent="0.25">
      <c r="A777" s="157" t="str">
        <f>IF(B777&gt;0,VLOOKUP(B777,КВСР!A321:B1486,2),IF(C777&gt;0,VLOOKUP(C777,КФСР!A321:B1833,2),IF(D777&gt;0,VLOOKUP(D777,Программа!A$1:B$5100,2),IF(F777&gt;0,VLOOKUP(F777,КВР!A$1:B$5001,2),IF(E777&gt;0,VLOOKUP(E777,Направление!A$1:B$4830,2))))))</f>
        <v>Муниципальная программа "Профилактика правонарушений и усиление борьбы с преступностью в Тутаевском муниципальном районе"</v>
      </c>
      <c r="B777" s="158"/>
      <c r="C777" s="153"/>
      <c r="D777" s="155" t="s">
        <v>748</v>
      </c>
      <c r="E777" s="153"/>
      <c r="F777" s="155"/>
      <c r="G777" s="521">
        <v>6000</v>
      </c>
      <c r="H777" s="521">
        <f>H778</f>
        <v>-6000</v>
      </c>
      <c r="I777" s="161">
        <f t="shared" si="15"/>
        <v>0</v>
      </c>
    </row>
    <row r="778" spans="1:9" s="170" customFormat="1" ht="31.5" hidden="1" x14ac:dyDescent="0.25">
      <c r="A778" s="157" t="str">
        <f>IF(B778&gt;0,VLOOKUP(B778,КВСР!A322:B1487,2),IF(C778&gt;0,VLOOKUP(C778,КФСР!A322:B1834,2),IF(D778&gt;0,VLOOKUP(D778,Программа!A$1:B$5100,2),IF(F778&gt;0,VLOOKUP(F778,КВР!A$1:B$5001,2),IF(E778&gt;0,VLOOKUP(E778,Направление!A$1:B$4830,2))))))</f>
        <v>Реализация мероприятий по профилактике правонарушений</v>
      </c>
      <c r="B778" s="158"/>
      <c r="C778" s="153"/>
      <c r="D778" s="155" t="s">
        <v>750</v>
      </c>
      <c r="E778" s="153"/>
      <c r="F778" s="155"/>
      <c r="G778" s="521">
        <v>6000</v>
      </c>
      <c r="H778" s="521">
        <f>H779</f>
        <v>-6000</v>
      </c>
      <c r="I778" s="161">
        <f t="shared" si="15"/>
        <v>0</v>
      </c>
    </row>
    <row r="779" spans="1:9" s="170" customFormat="1" ht="47.25" hidden="1" x14ac:dyDescent="0.25">
      <c r="A779" s="157" t="str">
        <f>IF(B779&gt;0,VLOOKUP(B779,КВСР!A323:B1488,2),IF(C779&gt;0,VLOOKUP(C779,КФСР!A323:B1835,2),IF(D779&gt;0,VLOOKUP(D779,Программа!A$1:B$5100,2),IF(F779&gt;0,VLOOKUP(F779,КВР!A$1:B$5001,2),IF(E779&gt;0,VLOOKUP(E779,Направление!A$1:B$4830,2))))))</f>
        <v>Расходы на профилактику правонарушений и усиления борьбы с преступностью</v>
      </c>
      <c r="B779" s="158"/>
      <c r="C779" s="153"/>
      <c r="D779" s="155"/>
      <c r="E779" s="153">
        <v>12250</v>
      </c>
      <c r="F779" s="155"/>
      <c r="G779" s="521">
        <v>6000</v>
      </c>
      <c r="H779" s="521">
        <f>H780</f>
        <v>-6000</v>
      </c>
      <c r="I779" s="161">
        <f t="shared" si="15"/>
        <v>0</v>
      </c>
    </row>
    <row r="780" spans="1:9" s="170" customFormat="1" ht="63" hidden="1" x14ac:dyDescent="0.25">
      <c r="A780" s="157" t="str">
        <f>IF(B780&gt;0,VLOOKUP(B780,КВСР!A324:B1489,2),IF(C780&gt;0,VLOOKUP(C780,КФСР!A324:B1836,2),IF(D780&gt;0,VLOOKUP(D780,Программа!A$1:B$5100,2),IF(F780&gt;0,VLOOKUP(F780,КВР!A$1:B$5001,2),IF(E780&gt;0,VLOOKUP(E780,Направление!A$1:B$4830,2))))))</f>
        <v>Предоставление субсидий бюджетным, автономным учреждениям и иным некоммерческим организациям</v>
      </c>
      <c r="B780" s="158"/>
      <c r="C780" s="153"/>
      <c r="D780" s="155"/>
      <c r="E780" s="153"/>
      <c r="F780" s="155">
        <v>600</v>
      </c>
      <c r="G780" s="521">
        <v>6000</v>
      </c>
      <c r="H780" s="162">
        <v>-6000</v>
      </c>
      <c r="I780" s="161">
        <f t="shared" si="15"/>
        <v>0</v>
      </c>
    </row>
    <row r="781" spans="1:9" s="170" customFormat="1" ht="31.5" x14ac:dyDescent="0.25">
      <c r="A781" s="151" t="str">
        <f>IF(B781&gt;0,VLOOKUP(B781,КВСР!A318:B1483,2),IF(C781&gt;0,VLOOKUP(C781,КФСР!A318:B1830,2),IF(D781&gt;0,VLOOKUP(D781,Программа!A$1:B$5100,2),IF(F781&gt;0,VLOOKUP(F781,КВР!A$1:B$5001,2),IF(E781&gt;0,VLOOKUP(E781,Направление!A$1:B$4830,2))))))</f>
        <v>Департамент финансов администрации ТМР</v>
      </c>
      <c r="B781" s="152">
        <v>955</v>
      </c>
      <c r="C781" s="153"/>
      <c r="D781" s="154"/>
      <c r="E781" s="153"/>
      <c r="F781" s="155"/>
      <c r="G781" s="610">
        <v>70552760</v>
      </c>
      <c r="H781" s="156">
        <f>H782+H792+H815+H819+H823+H829</f>
        <v>-609744</v>
      </c>
      <c r="I781" s="625">
        <f t="shared" si="15"/>
        <v>69943016</v>
      </c>
    </row>
    <row r="782" spans="1:9" s="170" customFormat="1" ht="63" x14ac:dyDescent="0.25">
      <c r="A782" s="157" t="str">
        <f>IF(B782&gt;0,VLOOKUP(B782,КВСР!A319:B1484,2),IF(C782&gt;0,VLOOKUP(C782,КФСР!A319:B1831,2),IF(D782&gt;0,VLOOKUP(D782,Программа!A$1:B$5100,2),IF(F782&gt;0,VLOOKUP(F782,КВР!A$1:B$5001,2),IF(E782&gt;0,VLOOKUP(E782,Направление!A$1:B$4830,2))))))</f>
        <v>Обеспечение деятельности финансовых, налоговых и таможенных органов и органов финансового (финансово-бюджетного) надзора</v>
      </c>
      <c r="B782" s="158"/>
      <c r="C782" s="153">
        <v>106</v>
      </c>
      <c r="D782" s="154"/>
      <c r="E782" s="153"/>
      <c r="F782" s="155"/>
      <c r="G782" s="611">
        <v>15173467</v>
      </c>
      <c r="H782" s="161">
        <f>H783</f>
        <v>-205014</v>
      </c>
      <c r="I782" s="161">
        <f t="shared" si="15"/>
        <v>14968453</v>
      </c>
    </row>
    <row r="783" spans="1:9" s="170" customFormat="1" x14ac:dyDescent="0.25">
      <c r="A783" s="157" t="str">
        <f>IF(B783&gt;0,VLOOKUP(B783,КВСР!A320:B1485,2),IF(C783&gt;0,VLOOKUP(C783,КФСР!A320:B1832,2),IF(D783&gt;0,VLOOKUP(D783,Программа!A$1:B$5100,2),IF(F783&gt;0,VLOOKUP(F783,КВР!A$1:B$5001,2),IF(E783&gt;0,VLOOKUP(E783,Направление!A$1:B$4830,2))))))</f>
        <v>Непрограммные расходы бюджета</v>
      </c>
      <c r="B783" s="158"/>
      <c r="C783" s="153"/>
      <c r="D783" s="154" t="s">
        <v>626</v>
      </c>
      <c r="E783" s="153"/>
      <c r="F783" s="155"/>
      <c r="G783" s="611">
        <v>15173467</v>
      </c>
      <c r="H783" s="161">
        <f>H784+H789</f>
        <v>-205014</v>
      </c>
      <c r="I783" s="161">
        <f t="shared" si="15"/>
        <v>14968453</v>
      </c>
    </row>
    <row r="784" spans="1:9" s="170" customFormat="1" x14ac:dyDescent="0.25">
      <c r="A784" s="157" t="str">
        <f>IF(B784&gt;0,VLOOKUP(B784,КВСР!A323:B1488,2),IF(C784&gt;0,VLOOKUP(C784,КФСР!A323:B1835,2),IF(D784&gt;0,VLOOKUP(D784,Программа!A$1:B$5100,2),IF(F784&gt;0,VLOOKUP(F784,КВР!A$1:B$5001,2),IF(E784&gt;0,VLOOKUP(E784,Направление!A$1:B$4830,2))))))</f>
        <v>Содержание центрального аппарата</v>
      </c>
      <c r="B784" s="158"/>
      <c r="C784" s="153"/>
      <c r="D784" s="154"/>
      <c r="E784" s="153">
        <v>12010</v>
      </c>
      <c r="F784" s="155"/>
      <c r="G784" s="611">
        <v>12757511</v>
      </c>
      <c r="H784" s="161">
        <f>H785+H786+H788+H787</f>
        <v>-205014</v>
      </c>
      <c r="I784" s="161">
        <f t="shared" si="15"/>
        <v>12552497</v>
      </c>
    </row>
    <row r="785" spans="1:9" ht="126" x14ac:dyDescent="0.25">
      <c r="A785" s="157" t="str">
        <f>IF(B785&gt;0,VLOOKUP(B785,КВСР!A322:B1487,2),IF(C785&gt;0,VLOOKUP(C785,КФСР!A322:B1834,2),IF(D785&gt;0,VLOOKUP(D785,Программа!A$1:B$5100,2),IF(F785&gt;0,VLOOKUP(F785,КВР!A$1:B$5001,2),IF(E785&gt;0,VLOOKUP(E785,Направление!A$1:B$4830,2))))))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85" s="158"/>
      <c r="C785" s="153"/>
      <c r="D785" s="155"/>
      <c r="E785" s="153"/>
      <c r="F785" s="155">
        <v>100</v>
      </c>
      <c r="G785" s="502">
        <v>11371062</v>
      </c>
      <c r="H785" s="160">
        <f>56232-6000</f>
        <v>50232</v>
      </c>
      <c r="I785" s="161">
        <f t="shared" si="15"/>
        <v>11421294</v>
      </c>
    </row>
    <row r="786" spans="1:9" ht="63" x14ac:dyDescent="0.25">
      <c r="A786" s="157" t="str">
        <f>IF(B786&gt;0,VLOOKUP(B786,КВСР!A323:B1488,2),IF(C786&gt;0,VLOOKUP(C786,КФСР!A323:B1835,2),IF(D786&gt;0,VLOOKUP(D786,Программа!A$1:B$5100,2),IF(F786&gt;0,VLOOKUP(F786,КВР!A$1:B$5001,2),IF(E786&gt;0,VLOOKUP(E786,Направление!A$1:B$4830,2))))))</f>
        <v xml:space="preserve">Закупка товаров, работ и услуг для обеспечения государственных (муниципальных) нужд
</v>
      </c>
      <c r="B786" s="158"/>
      <c r="C786" s="153"/>
      <c r="D786" s="155"/>
      <c r="E786" s="153"/>
      <c r="F786" s="155">
        <v>200</v>
      </c>
      <c r="G786" s="502">
        <v>1223649</v>
      </c>
      <c r="H786" s="160">
        <v>-256385</v>
      </c>
      <c r="I786" s="161">
        <f t="shared" si="15"/>
        <v>967264</v>
      </c>
    </row>
    <row r="787" spans="1:9" ht="31.5" x14ac:dyDescent="0.25">
      <c r="A787" s="157" t="str">
        <f>IF(B787&gt;0,VLOOKUP(B787,КВСР!A324:B1489,2),IF(C787&gt;0,VLOOKUP(C787,КФСР!A324:B1836,2),IF(D787&gt;0,VLOOKUP(D787,Программа!A$1:B$5100,2),IF(F787&gt;0,VLOOKUP(F787,КВР!A$1:B$5001,2),IF(E787&gt;0,VLOOKUP(E787,Направление!A$1:B$4830,2))))))</f>
        <v>Социальное обеспечение и иные выплаты населению</v>
      </c>
      <c r="B787" s="158"/>
      <c r="C787" s="153"/>
      <c r="D787" s="155"/>
      <c r="E787" s="153"/>
      <c r="F787" s="155">
        <v>300</v>
      </c>
      <c r="G787" s="502">
        <v>125300</v>
      </c>
      <c r="H787" s="160">
        <v>9139</v>
      </c>
      <c r="I787" s="161">
        <f t="shared" si="15"/>
        <v>134439</v>
      </c>
    </row>
    <row r="788" spans="1:9" x14ac:dyDescent="0.25">
      <c r="A788" s="157" t="str">
        <f>IF(B788&gt;0,VLOOKUP(B788,КВСР!A324:B1489,2),IF(C788&gt;0,VLOOKUP(C788,КФСР!A324:B1836,2),IF(D788&gt;0,VLOOKUP(D788,Программа!A$1:B$5100,2),IF(F788&gt;0,VLOOKUP(F788,КВР!A$1:B$5001,2),IF(E788&gt;0,VLOOKUP(E788,Направление!A$1:B$4830,2))))))</f>
        <v>Иные бюджетные ассигнования</v>
      </c>
      <c r="B788" s="158"/>
      <c r="C788" s="153"/>
      <c r="D788" s="155"/>
      <c r="E788" s="153"/>
      <c r="F788" s="155">
        <v>800</v>
      </c>
      <c r="G788" s="502">
        <v>37500</v>
      </c>
      <c r="H788" s="160">
        <v>-8000</v>
      </c>
      <c r="I788" s="161">
        <f t="shared" si="15"/>
        <v>29500</v>
      </c>
    </row>
    <row r="789" spans="1:9" ht="47.25" x14ac:dyDescent="0.25">
      <c r="A789" s="157" t="str">
        <f>IF(B789&gt;0,VLOOKUP(B789,КВСР!A325:B1490,2),IF(C789&gt;0,VLOOKUP(C789,КФСР!A325:B1837,2),IF(D789&gt;0,VLOOKUP(D789,Программа!A$1:B$5100,2),IF(F789&gt;0,VLOOKUP(F789,КВР!A$1:B$5001,2),IF(E789&gt;0,VLOOKUP(E789,Направление!A$1:B$4830,2))))))</f>
        <v>Содержание органов местного самоуправления за счет средств поселений</v>
      </c>
      <c r="B789" s="158"/>
      <c r="C789" s="153"/>
      <c r="D789" s="154"/>
      <c r="E789" s="153">
        <v>29016</v>
      </c>
      <c r="F789" s="155"/>
      <c r="G789" s="504">
        <v>2415956</v>
      </c>
      <c r="H789" s="159">
        <f>H791+H790</f>
        <v>0</v>
      </c>
      <c r="I789" s="161">
        <f t="shared" ref="I789:I871" si="16">SUM(G789:H789)</f>
        <v>2415956</v>
      </c>
    </row>
    <row r="790" spans="1:9" ht="126" x14ac:dyDescent="0.25">
      <c r="A790" s="157" t="str">
        <f>IF(B790&gt;0,VLOOKUP(B790,КВСР!A326:B1491,2),IF(C790&gt;0,VLOOKUP(C790,КФСР!A326:B1838,2),IF(D790&gt;0,VLOOKUP(D790,Программа!A$1:B$5100,2),IF(F790&gt;0,VLOOKUP(F790,КВР!A$1:B$5001,2),IF(E790&gt;0,VLOOKUP(E790,Направление!A$1:B$4830,2))))))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90" s="158"/>
      <c r="C790" s="153"/>
      <c r="D790" s="154"/>
      <c r="E790" s="153"/>
      <c r="F790" s="155">
        <v>100</v>
      </c>
      <c r="G790" s="617">
        <v>2196324</v>
      </c>
      <c r="H790" s="175"/>
      <c r="I790" s="161">
        <f t="shared" si="16"/>
        <v>2196324</v>
      </c>
    </row>
    <row r="791" spans="1:9" ht="63" x14ac:dyDescent="0.25">
      <c r="A791" s="157" t="str">
        <f>IF(B791&gt;0,VLOOKUP(B791,КВСР!A327:B1492,2),IF(C791&gt;0,VLOOKUP(C791,КФСР!A327:B1839,2),IF(D791&gt;0,VLOOKUP(D791,Программа!A$1:B$5100,2),IF(F791&gt;0,VLOOKUP(F791,КВР!A$1:B$5001,2),IF(E791&gt;0,VLOOKUP(E791,Направление!A$1:B$4830,2))))))</f>
        <v xml:space="preserve">Закупка товаров, работ и услуг для обеспечения государственных (муниципальных) нужд
</v>
      </c>
      <c r="B791" s="158"/>
      <c r="C791" s="153"/>
      <c r="D791" s="155"/>
      <c r="E791" s="153"/>
      <c r="F791" s="155">
        <v>200</v>
      </c>
      <c r="G791" s="502">
        <v>219632</v>
      </c>
      <c r="H791" s="160"/>
      <c r="I791" s="161">
        <f t="shared" si="16"/>
        <v>219632</v>
      </c>
    </row>
    <row r="792" spans="1:9" x14ac:dyDescent="0.25">
      <c r="A792" s="157" t="str">
        <f>IF(B792&gt;0,VLOOKUP(B792,КВСР!A328:B1493,2),IF(C792&gt;0,VLOOKUP(C792,КФСР!A328:B1840,2),IF(D792&gt;0,VLOOKUP(D792,Программа!A$1:B$5100,2),IF(F792&gt;0,VLOOKUP(F792,КВР!A$1:B$5001,2),IF(E792&gt;0,VLOOKUP(E792,Направление!A$1:B$4830,2))))))</f>
        <v>Другие общегосударственные вопросы</v>
      </c>
      <c r="B792" s="158"/>
      <c r="C792" s="153">
        <v>113</v>
      </c>
      <c r="D792" s="155"/>
      <c r="E792" s="153"/>
      <c r="F792" s="155"/>
      <c r="G792" s="504">
        <v>6848708</v>
      </c>
      <c r="H792" s="159">
        <f>H802+H793+H798+H809</f>
        <v>231014</v>
      </c>
      <c r="I792" s="161">
        <f t="shared" si="16"/>
        <v>7079722</v>
      </c>
    </row>
    <row r="793" spans="1:9" ht="63" hidden="1" x14ac:dyDescent="0.25">
      <c r="A793" s="157" t="str">
        <f>IF(B793&gt;0,VLOOKUP(B793,КВСР!A329:B1494,2),IF(C793&gt;0,VLOOKUP(C793,КФСР!A329:B1841,2),IF(D793&gt;0,VLOOKUP(D793,Программа!A$1:B$5100,2),IF(F793&gt;0,VLOOKUP(F793,КВР!A$1:B$5001,2),IF(E793&gt;0,VLOOKUP(E793,Направление!A$1:B$4830,2))))))</f>
        <v>Муниципальная программа "Повышение эффективности управления муниципальными финансами"</v>
      </c>
      <c r="B793" s="158"/>
      <c r="C793" s="153"/>
      <c r="D793" s="155" t="s">
        <v>634</v>
      </c>
      <c r="E793" s="153"/>
      <c r="F793" s="155"/>
      <c r="G793" s="504">
        <v>0</v>
      </c>
      <c r="H793" s="159">
        <f>H794</f>
        <v>0</v>
      </c>
      <c r="I793" s="161">
        <f t="shared" si="16"/>
        <v>0</v>
      </c>
    </row>
    <row r="794" spans="1:9" ht="63" hidden="1" x14ac:dyDescent="0.25">
      <c r="A794" s="157" t="str">
        <f>IF(B794&gt;0,VLOOKUP(B794,КВСР!A330:B1495,2),IF(C794&gt;0,VLOOKUP(C794,КФСР!A330:B1842,2),IF(D794&gt;0,VLOOKUP(D794,Программа!A$1:B$5100,2),IF(F794&gt;0,VLOOKUP(F794,КВР!A$1:B$5001,2),IF(E794&gt;0,VLOOKUP(E794,Направление!A$1:B$4830,2))))))</f>
        <v>Ведомственная целевая программа департамента финансов администрации Тутаевского муниципального района</v>
      </c>
      <c r="B794" s="158"/>
      <c r="C794" s="153"/>
      <c r="D794" s="154" t="s">
        <v>797</v>
      </c>
      <c r="E794" s="153"/>
      <c r="F794" s="155"/>
      <c r="G794" s="504">
        <v>0</v>
      </c>
      <c r="H794" s="159">
        <f>H795</f>
        <v>0</v>
      </c>
      <c r="I794" s="161">
        <f t="shared" si="16"/>
        <v>0</v>
      </c>
    </row>
    <row r="795" spans="1:9" ht="31.5" hidden="1" x14ac:dyDescent="0.25">
      <c r="A795" s="157" t="str">
        <f>IF(B795&gt;0,VLOOKUP(B795,КВСР!A331:B1496,2),IF(C795&gt;0,VLOOKUP(C795,КФСР!A331:B1843,2),IF(D795&gt;0,VLOOKUP(D795,Программа!A$1:B$5100,2),IF(F795&gt;0,VLOOKUP(F795,КВР!A$1:B$5001,2),IF(E795&gt;0,VLOOKUP(E795,Направление!A$1:B$4830,2))))))</f>
        <v>Обеспечение деятельности финансового органа</v>
      </c>
      <c r="B795" s="158"/>
      <c r="C795" s="153"/>
      <c r="D795" s="154" t="s">
        <v>799</v>
      </c>
      <c r="E795" s="153"/>
      <c r="F795" s="155"/>
      <c r="G795" s="504">
        <v>0</v>
      </c>
      <c r="H795" s="159">
        <f>H796</f>
        <v>0</v>
      </c>
      <c r="I795" s="161">
        <f t="shared" si="16"/>
        <v>0</v>
      </c>
    </row>
    <row r="796" spans="1:9" ht="31.5" hidden="1" x14ac:dyDescent="0.25">
      <c r="A796" s="157" t="str">
        <f>IF(B796&gt;0,VLOOKUP(B796,КВСР!A332:B1497,2),IF(C796&gt;0,VLOOKUP(C796,КФСР!A332:B1844,2),IF(D796&gt;0,VLOOKUP(D796,Программа!A$1:B$5100,2),IF(F796&gt;0,VLOOKUP(F796,КВР!A$1:B$5001,2),IF(E796&gt;0,VLOOKUP(E796,Направление!A$1:B$4830,2))))))</f>
        <v>Выполнение других обязательств органов местного самоуправления</v>
      </c>
      <c r="B796" s="158"/>
      <c r="C796" s="153"/>
      <c r="D796" s="155"/>
      <c r="E796" s="153">
        <v>12080</v>
      </c>
      <c r="F796" s="155"/>
      <c r="G796" s="504">
        <v>0</v>
      </c>
      <c r="H796" s="159">
        <f>H797</f>
        <v>0</v>
      </c>
      <c r="I796" s="161">
        <f t="shared" si="16"/>
        <v>0</v>
      </c>
    </row>
    <row r="797" spans="1:9" ht="63" hidden="1" x14ac:dyDescent="0.25">
      <c r="A797" s="157" t="str">
        <f>IF(B797&gt;0,VLOOKUP(B797,КВСР!A333:B1498,2),IF(C797&gt;0,VLOOKUP(C797,КФСР!A333:B1845,2),IF(D797&gt;0,VLOOKUP(D797,Программа!A$1:B$5100,2),IF(F797&gt;0,VLOOKUP(F797,КВР!A$1:B$5001,2),IF(E797&gt;0,VLOOKUP(E797,Направление!A$1:B$4830,2))))))</f>
        <v xml:space="preserve">Закупка товаров, работ и услуг для обеспечения государственных (муниципальных) нужд
</v>
      </c>
      <c r="B797" s="158"/>
      <c r="C797" s="153"/>
      <c r="D797" s="155"/>
      <c r="E797" s="153"/>
      <c r="F797" s="155">
        <v>200</v>
      </c>
      <c r="G797" s="504">
        <v>0</v>
      </c>
      <c r="H797" s="159"/>
      <c r="I797" s="161">
        <f t="shared" si="16"/>
        <v>0</v>
      </c>
    </row>
    <row r="798" spans="1:9" ht="78.75" x14ac:dyDescent="0.25">
      <c r="A798" s="157" t="str">
        <f>IF(B798&gt;0,VLOOKUP(B798,КВСР!A334:B1499,2),IF(C798&gt;0,VLOOKUP(C798,КФСР!A334:B1846,2),IF(D798&gt;0,VLOOKUP(D798,Программа!A$1:B$5100,2),IF(F798&gt;0,VLOOKUP(F798,КВР!A$1:B$5001,2),IF(E798&gt;0,VLOOKUP(E798,Направление!A$1:B$4830,2))))))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798" s="158"/>
      <c r="C798" s="153"/>
      <c r="D798" s="155" t="s">
        <v>638</v>
      </c>
      <c r="E798" s="153"/>
      <c r="F798" s="155"/>
      <c r="G798" s="504">
        <v>114800</v>
      </c>
      <c r="H798" s="159">
        <f>H799</f>
        <v>-61000</v>
      </c>
      <c r="I798" s="161">
        <f t="shared" si="16"/>
        <v>53800</v>
      </c>
    </row>
    <row r="799" spans="1:9" ht="78.75" x14ac:dyDescent="0.25">
      <c r="A799" s="157" t="str">
        <f>IF(B799&gt;0,VLOOKUP(B799,КВСР!A335:B1500,2),IF(C799&gt;0,VLOOKUP(C799,КФСР!A335:B1847,2),IF(D799&gt;0,VLOOKUP(D799,Программа!A$1:B$5100,2),IF(F799&gt;0,VLOOKUP(F799,КВР!A$1:B$5001,2),IF(E799&gt;0,VLOOKUP(E799,Направление!A$1:B$4830,2))))))</f>
        <v xml:space="preserve">Профессиональное развитие  муниципальных служащих и повышение квалификации руководителей муниципальных учреждений </v>
      </c>
      <c r="B799" s="158"/>
      <c r="C799" s="153"/>
      <c r="D799" s="155" t="s">
        <v>639</v>
      </c>
      <c r="E799" s="153"/>
      <c r="F799" s="155"/>
      <c r="G799" s="504">
        <v>114800</v>
      </c>
      <c r="H799" s="159">
        <f>H800</f>
        <v>-61000</v>
      </c>
      <c r="I799" s="161">
        <f t="shared" si="16"/>
        <v>53800</v>
      </c>
    </row>
    <row r="800" spans="1:9" ht="31.5" x14ac:dyDescent="0.25">
      <c r="A800" s="157" t="str">
        <f>IF(B800&gt;0,VLOOKUP(B800,КВСР!A336:B1501,2),IF(C800&gt;0,VLOOKUP(C800,КФСР!A336:B1848,2),IF(D800&gt;0,VLOOKUP(D800,Программа!A$1:B$5100,2),IF(F800&gt;0,VLOOKUP(F800,КВР!A$1:B$5001,2),IF(E800&gt;0,VLOOKUP(E800,Направление!A$1:B$4830,2))))))</f>
        <v>Расходы на развитие муниципальной службы</v>
      </c>
      <c r="B800" s="158"/>
      <c r="C800" s="153"/>
      <c r="D800" s="155"/>
      <c r="E800" s="153">
        <v>12200</v>
      </c>
      <c r="F800" s="155"/>
      <c r="G800" s="504">
        <v>114800</v>
      </c>
      <c r="H800" s="159">
        <f>H801</f>
        <v>-61000</v>
      </c>
      <c r="I800" s="161">
        <f t="shared" si="16"/>
        <v>53800</v>
      </c>
    </row>
    <row r="801" spans="1:9" ht="63" x14ac:dyDescent="0.25">
      <c r="A801" s="157" t="str">
        <f>IF(B801&gt;0,VLOOKUP(B801,КВСР!A337:B1502,2),IF(C801&gt;0,VLOOKUP(C801,КФСР!A337:B1849,2),IF(D801&gt;0,VLOOKUP(D801,Программа!A$1:B$5100,2),IF(F801&gt;0,VLOOKUP(F801,КВР!A$1:B$5001,2),IF(E801&gt;0,VLOOKUP(E801,Направление!A$1:B$4830,2))))))</f>
        <v xml:space="preserve">Закупка товаров, работ и услуг для обеспечения государственных (муниципальных) нужд
</v>
      </c>
      <c r="B801" s="158"/>
      <c r="C801" s="153"/>
      <c r="D801" s="155"/>
      <c r="E801" s="153"/>
      <c r="F801" s="155">
        <v>200</v>
      </c>
      <c r="G801" s="504">
        <v>114800</v>
      </c>
      <c r="H801" s="159">
        <v>-61000</v>
      </c>
      <c r="I801" s="161">
        <f t="shared" si="16"/>
        <v>53800</v>
      </c>
    </row>
    <row r="802" spans="1:9" ht="63" x14ac:dyDescent="0.25">
      <c r="A802" s="157" t="str">
        <f>IF(B802&gt;0,VLOOKUP(B802,КВСР!A329:B1494,2),IF(C802&gt;0,VLOOKUP(C802,КФСР!A329:B1841,2),IF(D802&gt;0,VLOOKUP(D802,Программа!A$1:B$5100,2),IF(F802&gt;0,VLOOKUP(F802,КВР!A$1:B$5001,2),IF(E802&gt;0,VLOOKUP(E802,Направление!A$1:B$4830,2))))))</f>
        <v>Муниципальная программа "Информатизация управленческой деятельности Администрации Тутаевского муниципального района"</v>
      </c>
      <c r="B802" s="158"/>
      <c r="C802" s="153"/>
      <c r="D802" s="155" t="s">
        <v>642</v>
      </c>
      <c r="E802" s="153"/>
      <c r="F802" s="155"/>
      <c r="G802" s="504">
        <v>1394570</v>
      </c>
      <c r="H802" s="159">
        <f>H803+H806</f>
        <v>122795</v>
      </c>
      <c r="I802" s="161">
        <f t="shared" si="16"/>
        <v>1517365</v>
      </c>
    </row>
    <row r="803" spans="1:9" ht="31.5" x14ac:dyDescent="0.25">
      <c r="A803" s="157" t="str">
        <f>IF(B803&gt;0,VLOOKUP(B803,КВСР!A330:B1495,2),IF(C803&gt;0,VLOOKUP(C803,КФСР!A330:B1842,2),IF(D803&gt;0,VLOOKUP(D803,Программа!A$1:B$5100,2),IF(F803&gt;0,VLOOKUP(F803,КВР!A$1:B$5001,2),IF(E803&gt;0,VLOOKUP(E803,Направление!A$1:B$4830,2))))))</f>
        <v>Бесперебойное функционирование информационных систем</v>
      </c>
      <c r="B803" s="158"/>
      <c r="C803" s="153"/>
      <c r="D803" s="155" t="s">
        <v>679</v>
      </c>
      <c r="E803" s="153"/>
      <c r="F803" s="155"/>
      <c r="G803" s="504">
        <v>1276570</v>
      </c>
      <c r="H803" s="159">
        <f>H804</f>
        <v>176850</v>
      </c>
      <c r="I803" s="161">
        <f t="shared" si="16"/>
        <v>1453420</v>
      </c>
    </row>
    <row r="804" spans="1:9" ht="31.5" x14ac:dyDescent="0.25">
      <c r="A804" s="157" t="str">
        <f>IF(B804&gt;0,VLOOKUP(B804,КВСР!A331:B1496,2),IF(C804&gt;0,VLOOKUP(C804,КФСР!A331:B1843,2),IF(D804&gt;0,VLOOKUP(D804,Программа!A$1:B$5100,2),IF(F804&gt;0,VLOOKUP(F804,КВР!A$1:B$5001,2),IF(E804&gt;0,VLOOKUP(E804,Направление!A$1:B$4830,2))))))</f>
        <v>Расходы на проведение мероприятий по информатизации</v>
      </c>
      <c r="B804" s="158"/>
      <c r="C804" s="153"/>
      <c r="D804" s="155"/>
      <c r="E804" s="153">
        <v>12210</v>
      </c>
      <c r="F804" s="155"/>
      <c r="G804" s="504">
        <v>1276570</v>
      </c>
      <c r="H804" s="159">
        <f>H805</f>
        <v>176850</v>
      </c>
      <c r="I804" s="161">
        <f t="shared" si="16"/>
        <v>1453420</v>
      </c>
    </row>
    <row r="805" spans="1:9" ht="63" x14ac:dyDescent="0.25">
      <c r="A805" s="157" t="str">
        <f>IF(B805&gt;0,VLOOKUP(B805,КВСР!A332:B1497,2),IF(C805&gt;0,VLOOKUP(C805,КФСР!A332:B1844,2),IF(D805&gt;0,VLOOKUP(D805,Программа!A$1:B$5100,2),IF(F805&gt;0,VLOOKUP(F805,КВР!A$1:B$5001,2),IF(E805&gt;0,VLOOKUP(E805,Направление!A$1:B$4830,2))))))</f>
        <v xml:space="preserve">Закупка товаров, работ и услуг для обеспечения государственных (муниципальных) нужд
</v>
      </c>
      <c r="B805" s="158"/>
      <c r="C805" s="153"/>
      <c r="D805" s="155"/>
      <c r="E805" s="153"/>
      <c r="F805" s="155">
        <v>200</v>
      </c>
      <c r="G805" s="502">
        <v>1276570</v>
      </c>
      <c r="H805" s="160">
        <v>176850</v>
      </c>
      <c r="I805" s="161">
        <f t="shared" si="16"/>
        <v>1453420</v>
      </c>
    </row>
    <row r="806" spans="1:9" ht="63" x14ac:dyDescent="0.25">
      <c r="A806" s="157" t="str">
        <f>IF(B806&gt;0,VLOOKUP(B806,КВСР!A333:B1498,2),IF(C806&gt;0,VLOOKUP(C806,КФСР!A333:B1845,2),IF(D806&gt;0,VLOOKUP(D806,Программа!A$1:B$5100,2),IF(F806&gt;0,VLOOKUP(F806,КВР!A$1:B$5001,2),IF(E806&gt;0,VLOOKUP(E806,Направление!A$1:B$4830,2))))))</f>
        <v>Закупка компьютерного оборудования  и оргтехники для бесперебойного обеспечения деятельности органов местного самоуправления</v>
      </c>
      <c r="B806" s="158"/>
      <c r="C806" s="153"/>
      <c r="D806" s="155" t="s">
        <v>644</v>
      </c>
      <c r="E806" s="153"/>
      <c r="F806" s="155"/>
      <c r="G806" s="504">
        <v>118000</v>
      </c>
      <c r="H806" s="159">
        <f>H807</f>
        <v>-54055</v>
      </c>
      <c r="I806" s="161">
        <f t="shared" si="16"/>
        <v>63945</v>
      </c>
    </row>
    <row r="807" spans="1:9" ht="31.5" x14ac:dyDescent="0.25">
      <c r="A807" s="157" t="str">
        <f>IF(B807&gt;0,VLOOKUP(B807,КВСР!A334:B1499,2),IF(C807&gt;0,VLOOKUP(C807,КФСР!A334:B1846,2),IF(D807&gt;0,VLOOKUP(D807,Программа!A$1:B$5100,2),IF(F807&gt;0,VLOOKUP(F807,КВР!A$1:B$5001,2),IF(E807&gt;0,VLOOKUP(E807,Направление!A$1:B$4830,2))))))</f>
        <v>Расходы на проведение мероприятий по информатизации</v>
      </c>
      <c r="B807" s="158"/>
      <c r="C807" s="153"/>
      <c r="D807" s="155"/>
      <c r="E807" s="153">
        <v>12210</v>
      </c>
      <c r="F807" s="155"/>
      <c r="G807" s="504">
        <v>118000</v>
      </c>
      <c r="H807" s="159">
        <f>H808</f>
        <v>-54055</v>
      </c>
      <c r="I807" s="161">
        <f t="shared" si="16"/>
        <v>63945</v>
      </c>
    </row>
    <row r="808" spans="1:9" ht="63" x14ac:dyDescent="0.25">
      <c r="A808" s="157" t="str">
        <f>IF(B808&gt;0,VLOOKUP(B808,КВСР!A335:B1500,2),IF(C808&gt;0,VLOOKUP(C808,КФСР!A335:B1847,2),IF(D808&gt;0,VLOOKUP(D808,Программа!A$1:B$5100,2),IF(F808&gt;0,VLOOKUP(F808,КВР!A$1:B$5001,2),IF(E808&gt;0,VLOOKUP(E808,Направление!A$1:B$4830,2))))))</f>
        <v xml:space="preserve">Закупка товаров, работ и услуг для обеспечения государственных (муниципальных) нужд
</v>
      </c>
      <c r="B808" s="158"/>
      <c r="C808" s="153"/>
      <c r="D808" s="155"/>
      <c r="E808" s="153"/>
      <c r="F808" s="155">
        <v>200</v>
      </c>
      <c r="G808" s="502">
        <v>118000</v>
      </c>
      <c r="H808" s="160">
        <v>-54055</v>
      </c>
      <c r="I808" s="161">
        <f t="shared" si="16"/>
        <v>63945</v>
      </c>
    </row>
    <row r="809" spans="1:9" x14ac:dyDescent="0.25">
      <c r="A809" s="157" t="str">
        <f>IF(B809&gt;0,VLOOKUP(B809,КВСР!A336:B1501,2),IF(C809&gt;0,VLOOKUP(C809,КФСР!A336:B1848,2),IF(D809&gt;0,VLOOKUP(D809,Программа!A$1:B$5100,2),IF(F809&gt;0,VLOOKUP(F809,КВР!A$1:B$5001,2),IF(E809&gt;0,VLOOKUP(E809,Направление!A$1:B$4830,2))))))</f>
        <v>Непрограммные расходы бюджета</v>
      </c>
      <c r="B809" s="158"/>
      <c r="C809" s="153"/>
      <c r="D809" s="155" t="s">
        <v>626</v>
      </c>
      <c r="E809" s="153"/>
      <c r="F809" s="155"/>
      <c r="G809" s="502">
        <v>5339338</v>
      </c>
      <c r="H809" s="160">
        <f>H810+H812</f>
        <v>169219</v>
      </c>
      <c r="I809" s="538">
        <f>I810+I812</f>
        <v>5508557</v>
      </c>
    </row>
    <row r="810" spans="1:9" ht="31.5" x14ac:dyDescent="0.25">
      <c r="A810" s="157" t="str">
        <f>IF(B810&gt;0,VLOOKUP(B810,КВСР!A337:B1502,2),IF(C810&gt;0,VLOOKUP(C810,КФСР!A337:B1849,2),IF(D810&gt;0,VLOOKUP(D810,Программа!A$1:B$5100,2),IF(F810&gt;0,VLOOKUP(F810,КВР!A$1:B$5001,2),IF(E810&gt;0,VLOOKUP(E810,Направление!A$1:B$4830,2))))))</f>
        <v>Выполнение других обязательств органов местного самоуправления</v>
      </c>
      <c r="B810" s="158"/>
      <c r="C810" s="153"/>
      <c r="D810" s="155"/>
      <c r="E810" s="153">
        <v>12080</v>
      </c>
      <c r="F810" s="155"/>
      <c r="G810" s="502">
        <v>116000</v>
      </c>
      <c r="H810" s="502">
        <f>H811</f>
        <v>109219</v>
      </c>
      <c r="I810" s="161">
        <f t="shared" si="16"/>
        <v>225219</v>
      </c>
    </row>
    <row r="811" spans="1:9" ht="63" x14ac:dyDescent="0.25">
      <c r="A811" s="157" t="str">
        <f>IF(B811&gt;0,VLOOKUP(B811,КВСР!A338:B1503,2),IF(C811&gt;0,VLOOKUP(C811,КФСР!A338:B1850,2),IF(D811&gt;0,VLOOKUP(D811,Программа!A$1:B$5100,2),IF(F811&gt;0,VLOOKUP(F811,КВР!A$1:B$5001,2),IF(E811&gt;0,VLOOKUP(E811,Направление!A$1:B$4830,2))))))</f>
        <v xml:space="preserve">Закупка товаров, работ и услуг для обеспечения государственных (муниципальных) нужд
</v>
      </c>
      <c r="B811" s="158"/>
      <c r="C811" s="153"/>
      <c r="D811" s="155"/>
      <c r="E811" s="153"/>
      <c r="F811" s="155">
        <v>200</v>
      </c>
      <c r="G811" s="502">
        <v>116000</v>
      </c>
      <c r="H811" s="160">
        <v>109219</v>
      </c>
      <c r="I811" s="161">
        <f t="shared" si="16"/>
        <v>225219</v>
      </c>
    </row>
    <row r="812" spans="1:9" ht="47.25" x14ac:dyDescent="0.25">
      <c r="A812" s="157" t="str">
        <f>IF(B812&gt;0,VLOOKUP(B812,КВСР!A339:B1504,2),IF(C812&gt;0,VLOOKUP(C812,КФСР!A339:B1851,2),IF(D812&gt;0,VLOOKUP(D812,Программа!A$1:B$5100,2),IF(F812&gt;0,VLOOKUP(F812,КВР!A$1:B$5001,2),IF(E812&gt;0,VLOOKUP(E812,Направление!A$1:B$4830,2))))))</f>
        <v>Обеспечение деятельности подведомственных учреждений органов местного самоуправления</v>
      </c>
      <c r="B812" s="158"/>
      <c r="C812" s="153"/>
      <c r="D812" s="155"/>
      <c r="E812" s="153">
        <v>12100</v>
      </c>
      <c r="F812" s="155"/>
      <c r="G812" s="502">
        <v>5223338</v>
      </c>
      <c r="H812" s="502">
        <f>H813+H814</f>
        <v>60000</v>
      </c>
      <c r="I812" s="161">
        <f t="shared" si="16"/>
        <v>5283338</v>
      </c>
    </row>
    <row r="813" spans="1:9" ht="126" x14ac:dyDescent="0.25">
      <c r="A813" s="157" t="str">
        <f>IF(B813&gt;0,VLOOKUP(B813,КВСР!A340:B1505,2),IF(C813&gt;0,VLOOKUP(C813,КФСР!A340:B1852,2),IF(D813&gt;0,VLOOKUP(D813,Программа!A$1:B$5100,2),IF(F813&gt;0,VLOOKUP(F813,КВР!A$1:B$5001,2),IF(E813&gt;0,VLOOKUP(E813,Направление!A$1:B$4830,2))))))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13" s="158"/>
      <c r="C813" s="153"/>
      <c r="D813" s="155"/>
      <c r="E813" s="153"/>
      <c r="F813" s="155">
        <v>100</v>
      </c>
      <c r="G813" s="502">
        <v>3799168</v>
      </c>
      <c r="H813" s="160">
        <f>169000-59000</f>
        <v>110000</v>
      </c>
      <c r="I813" s="161">
        <f t="shared" si="16"/>
        <v>3909168</v>
      </c>
    </row>
    <row r="814" spans="1:9" ht="63" x14ac:dyDescent="0.25">
      <c r="A814" s="157" t="str">
        <f>IF(B814&gt;0,VLOOKUP(B814,КВСР!A341:B1506,2),IF(C814&gt;0,VLOOKUP(C814,КФСР!A341:B1853,2),IF(D814&gt;0,VLOOKUP(D814,Программа!A$1:B$5100,2),IF(F814&gt;0,VLOOKUP(F814,КВР!A$1:B$5001,2),IF(E814&gt;0,VLOOKUP(E814,Направление!A$1:B$4830,2))))))</f>
        <v xml:space="preserve">Закупка товаров, работ и услуг для обеспечения государственных (муниципальных) нужд
</v>
      </c>
      <c r="B814" s="158"/>
      <c r="C814" s="153"/>
      <c r="D814" s="155"/>
      <c r="E814" s="153"/>
      <c r="F814" s="155">
        <v>200</v>
      </c>
      <c r="G814" s="502">
        <v>1424170</v>
      </c>
      <c r="H814" s="160">
        <v>-50000</v>
      </c>
      <c r="I814" s="161">
        <f t="shared" si="16"/>
        <v>1374170</v>
      </c>
    </row>
    <row r="815" spans="1:9" ht="31.5" x14ac:dyDescent="0.25">
      <c r="A815" s="157" t="str">
        <f>IF(B815&gt;0,VLOOKUP(B815,КВСР!A334:B1499,2),IF(C815&gt;0,VLOOKUP(C815,КФСР!A334:B1846,2),IF(D815&gt;0,VLOOKUP(D815,Программа!A$1:B$5100,2),IF(F815&gt;0,VLOOKUP(F815,КВР!A$1:B$5001,2),IF(E815&gt;0,VLOOKUP(E815,Направление!A$1:B$4830,2))))))</f>
        <v>Мобилизационная и вневойсковая подготовка</v>
      </c>
      <c r="B815" s="158"/>
      <c r="C815" s="153">
        <v>203</v>
      </c>
      <c r="D815" s="154"/>
      <c r="E815" s="153"/>
      <c r="F815" s="155"/>
      <c r="G815" s="504">
        <v>739697</v>
      </c>
      <c r="H815" s="159">
        <f>H816</f>
        <v>0</v>
      </c>
      <c r="I815" s="161">
        <f t="shared" si="16"/>
        <v>739697</v>
      </c>
    </row>
    <row r="816" spans="1:9" ht="31.5" x14ac:dyDescent="0.25">
      <c r="A816" s="157" t="str">
        <f>IF(B816&gt;0,VLOOKUP(B816,КВСР!A335:B1500,2),IF(C816&gt;0,VLOOKUP(C816,КФСР!A335:B1847,2),IF(D816&gt;0,VLOOKUP(D816,Программа!A$1:B$5100,2),IF(F816&gt;0,VLOOKUP(F816,КВР!A$1:B$5001,2),IF(E816&gt;0,VLOOKUP(E816,Направление!A$1:B$4830,2))))))</f>
        <v>Межбюджетные трансферты  поселениям района</v>
      </c>
      <c r="B816" s="158"/>
      <c r="C816" s="153"/>
      <c r="D816" s="154" t="s">
        <v>801</v>
      </c>
      <c r="E816" s="153"/>
      <c r="F816" s="155"/>
      <c r="G816" s="504">
        <v>739697</v>
      </c>
      <c r="H816" s="159">
        <f>H817</f>
        <v>0</v>
      </c>
      <c r="I816" s="161">
        <f t="shared" si="16"/>
        <v>739697</v>
      </c>
    </row>
    <row r="817" spans="1:9" ht="63" x14ac:dyDescent="0.25">
      <c r="A817" s="157" t="str">
        <f>IF(B817&gt;0,VLOOKUP(B817,КВСР!A336:B1501,2),IF(C817&gt;0,VLOOKUP(C817,КФСР!A336:B1848,2),IF(D817&gt;0,VLOOKUP(D817,Программа!A$1:B$5100,2),IF(F817&gt;0,VLOOKUP(F817,КВР!A$1:B$5001,2),IF(E817&gt;0,VLOOKUP(E817,Направление!A$1:B$4830,2))))))</f>
        <v>Субвенция  на осуществление первичного воинского учета на территориях, где отсутствуют военные комиссариаты</v>
      </c>
      <c r="B817" s="158"/>
      <c r="C817" s="153"/>
      <c r="D817" s="154"/>
      <c r="E817" s="153">
        <v>51180</v>
      </c>
      <c r="F817" s="155"/>
      <c r="G817" s="504">
        <v>739697</v>
      </c>
      <c r="H817" s="159">
        <f>H818</f>
        <v>0</v>
      </c>
      <c r="I817" s="161">
        <f t="shared" si="16"/>
        <v>739697</v>
      </c>
    </row>
    <row r="818" spans="1:9" x14ac:dyDescent="0.25">
      <c r="A818" s="157" t="str">
        <f>IF(B818&gt;0,VLOOKUP(B818,КВСР!A337:B1502,2),IF(C818&gt;0,VLOOKUP(C818,КФСР!A337:B1849,2),IF(D818&gt;0,VLOOKUP(D818,Программа!A$1:B$5100,2),IF(F818&gt;0,VLOOKUP(F818,КВР!A$1:B$5001,2),IF(E818&gt;0,VLOOKUP(E818,Направление!A$1:B$4830,2))))))</f>
        <v xml:space="preserve"> Межбюджетные трансферты</v>
      </c>
      <c r="B818" s="158"/>
      <c r="C818" s="153"/>
      <c r="D818" s="155"/>
      <c r="E818" s="153"/>
      <c r="F818" s="155">
        <v>500</v>
      </c>
      <c r="G818" s="502">
        <v>739697</v>
      </c>
      <c r="H818" s="160"/>
      <c r="I818" s="161">
        <f t="shared" si="16"/>
        <v>739697</v>
      </c>
    </row>
    <row r="819" spans="1:9" ht="47.25" x14ac:dyDescent="0.25">
      <c r="A819" s="157" t="str">
        <f>IF(B819&gt;0,VLOOKUP(B819,КВСР!A338:B1503,2),IF(C819&gt;0,VLOOKUP(C819,КФСР!A338:B1850,2),IF(D819&gt;0,VLOOKUP(D819,Программа!A$1:B$5100,2),IF(F819&gt;0,VLOOKUP(F819,КВР!A$1:B$5001,2),IF(E819&gt;0,VLOOKUP(E819,Направление!A$1:B$4830,2))))))</f>
        <v>Обслуживание внутреннего государственного и муниципального долга</v>
      </c>
      <c r="B819" s="158"/>
      <c r="C819" s="153">
        <v>1301</v>
      </c>
      <c r="D819" s="154"/>
      <c r="E819" s="153"/>
      <c r="F819" s="155"/>
      <c r="G819" s="611">
        <v>1561813</v>
      </c>
      <c r="H819" s="611">
        <f>H820</f>
        <v>-635744</v>
      </c>
      <c r="I819" s="161">
        <f t="shared" si="16"/>
        <v>926069</v>
      </c>
    </row>
    <row r="820" spans="1:9" x14ac:dyDescent="0.25">
      <c r="A820" s="157" t="str">
        <f>IF(B820&gt;0,VLOOKUP(B820,КВСР!A339:B1504,2),IF(C820&gt;0,VLOOKUP(C820,КФСР!A339:B1851,2),IF(D820&gt;0,VLOOKUP(D820,Программа!A$1:B$5100,2),IF(F820&gt;0,VLOOKUP(F820,КВР!A$1:B$5001,2),IF(E820&gt;0,VLOOKUP(E820,Направление!A$1:B$4830,2))))))</f>
        <v>Непрограммные расходы бюджета</v>
      </c>
      <c r="B820" s="158"/>
      <c r="C820" s="153"/>
      <c r="D820" s="154" t="s">
        <v>626</v>
      </c>
      <c r="E820" s="153"/>
      <c r="F820" s="155"/>
      <c r="G820" s="611">
        <v>1561813</v>
      </c>
      <c r="H820" s="611">
        <f>H821</f>
        <v>-635744</v>
      </c>
      <c r="I820" s="161">
        <f t="shared" si="16"/>
        <v>926069</v>
      </c>
    </row>
    <row r="821" spans="1:9" ht="31.5" x14ac:dyDescent="0.25">
      <c r="A821" s="157" t="str">
        <f>IF(B821&gt;0,VLOOKUP(B821,КВСР!A340:B1505,2),IF(C821&gt;0,VLOOKUP(C821,КФСР!A340:B1852,2),IF(D821&gt;0,VLOOKUP(D821,Программа!A$1:B$5100,2),IF(F821&gt;0,VLOOKUP(F821,КВР!A$1:B$5001,2),IF(E821&gt;0,VLOOKUP(E821,Направление!A$1:B$4830,2))))))</f>
        <v>Процентные платежи по обслуживанию муниципального долга</v>
      </c>
      <c r="B821" s="158"/>
      <c r="C821" s="153"/>
      <c r="D821" s="154"/>
      <c r="E821" s="153">
        <v>12800</v>
      </c>
      <c r="F821" s="155"/>
      <c r="G821" s="611">
        <v>1561813</v>
      </c>
      <c r="H821" s="161">
        <f>H822</f>
        <v>-635744</v>
      </c>
      <c r="I821" s="161">
        <f t="shared" si="16"/>
        <v>926069</v>
      </c>
    </row>
    <row r="822" spans="1:9" ht="31.5" x14ac:dyDescent="0.25">
      <c r="A822" s="157" t="str">
        <f>IF(B822&gt;0,VLOOKUP(B822,КВСР!A341:B1506,2),IF(C822&gt;0,VLOOKUP(C822,КФСР!A341:B1853,2),IF(D822&gt;0,VLOOKUP(D822,Программа!A$1:B$5100,2),IF(F822&gt;0,VLOOKUP(F822,КВР!A$1:B$5001,2),IF(E822&gt;0,VLOOKUP(E822,Направление!A$1:B$4830,2))))))</f>
        <v>Обслуживание государственного долга Российской Федерации</v>
      </c>
      <c r="B822" s="158"/>
      <c r="C822" s="153"/>
      <c r="D822" s="155"/>
      <c r="E822" s="153"/>
      <c r="F822" s="155">
        <v>700</v>
      </c>
      <c r="G822" s="502">
        <v>1561813</v>
      </c>
      <c r="H822" s="160">
        <v>-635744</v>
      </c>
      <c r="I822" s="161">
        <f t="shared" si="16"/>
        <v>926069</v>
      </c>
    </row>
    <row r="823" spans="1:9" ht="63" x14ac:dyDescent="0.25">
      <c r="A823" s="157" t="str">
        <f>IF(B823&gt;0,VLOOKUP(B823,КВСР!A342:B1507,2),IF(C823&gt;0,VLOOKUP(C823,КФСР!A342:B1854,2),IF(D823&gt;0,VLOOKUP(D823,Программа!A$1:B$5100,2),IF(F823&gt;0,VLOOKUP(F823,КВР!A$1:B$5001,2),IF(E823&gt;0,VLOOKUP(E823,Направление!A$1:B$4830,2))))))</f>
        <v>Дотации на выравнивание бюджетной обеспеченности субъектов Российской Федерации и муниципальных образований</v>
      </c>
      <c r="B823" s="158"/>
      <c r="C823" s="153">
        <v>1401</v>
      </c>
      <c r="D823" s="154"/>
      <c r="E823" s="153"/>
      <c r="F823" s="155"/>
      <c r="G823" s="611">
        <v>41703000</v>
      </c>
      <c r="H823" s="611">
        <f>H824</f>
        <v>0</v>
      </c>
      <c r="I823" s="161">
        <f t="shared" si="16"/>
        <v>41703000</v>
      </c>
    </row>
    <row r="824" spans="1:9" ht="31.5" x14ac:dyDescent="0.25">
      <c r="A824" s="157" t="str">
        <f>IF(B824&gt;0,VLOOKUP(B824,КВСР!A343:B1508,2),IF(C824&gt;0,VLOOKUP(C824,КФСР!A343:B1855,2),IF(D824&gt;0,VLOOKUP(D824,Программа!A$1:B$5100,2),IF(F824&gt;0,VLOOKUP(F824,КВР!A$1:B$5001,2),IF(E824&gt;0,VLOOKUP(E824,Направление!A$1:B$4830,2))))))</f>
        <v>Межбюджетные трансферты  поселениям района</v>
      </c>
      <c r="B824" s="158"/>
      <c r="C824" s="153"/>
      <c r="D824" s="154" t="s">
        <v>801</v>
      </c>
      <c r="E824" s="153"/>
      <c r="F824" s="155"/>
      <c r="G824" s="611">
        <v>41703000</v>
      </c>
      <c r="H824" s="611">
        <f>H825+H827</f>
        <v>0</v>
      </c>
      <c r="I824" s="161">
        <f t="shared" si="16"/>
        <v>41703000</v>
      </c>
    </row>
    <row r="825" spans="1:9" ht="47.25" x14ac:dyDescent="0.25">
      <c r="A825" s="157" t="str">
        <f>IF(B825&gt;0,VLOOKUP(B825,КВСР!A347:B1512,2),IF(C825&gt;0,VLOOKUP(C825,КФСР!A347:B1859,2),IF(D825&gt;0,VLOOKUP(D825,Программа!A$1:B$5100,2),IF(F825&gt;0,VLOOKUP(F825,КВР!A$1:B$5001,2),IF(E825&gt;0,VLOOKUP(E825,Направление!A$1:B$4830,2))))))</f>
        <v>Дотации поселениям района  на выравнивание бюджетной обеспеченности</v>
      </c>
      <c r="B825" s="158"/>
      <c r="C825" s="153"/>
      <c r="D825" s="154"/>
      <c r="E825" s="153">
        <v>10800</v>
      </c>
      <c r="F825" s="155"/>
      <c r="G825" s="611">
        <v>300000</v>
      </c>
      <c r="H825" s="161">
        <f>H826</f>
        <v>0</v>
      </c>
      <c r="I825" s="161">
        <f t="shared" si="16"/>
        <v>300000</v>
      </c>
    </row>
    <row r="826" spans="1:9" x14ac:dyDescent="0.25">
      <c r="A826" s="157" t="str">
        <f>IF(B826&gt;0,VLOOKUP(B826,КВСР!A348:B1513,2),IF(C826&gt;0,VLOOKUP(C826,КФСР!A348:B1860,2),IF(D826&gt;0,VLOOKUP(D826,Программа!A$1:B$5100,2),IF(F826&gt;0,VLOOKUP(F826,КВР!A$1:B$5001,2),IF(E826&gt;0,VLOOKUP(E826,Направление!A$1:B$4830,2))))))</f>
        <v xml:space="preserve"> Межбюджетные трансферты</v>
      </c>
      <c r="B826" s="158"/>
      <c r="C826" s="153"/>
      <c r="D826" s="155"/>
      <c r="E826" s="153"/>
      <c r="F826" s="155">
        <v>500</v>
      </c>
      <c r="G826" s="521">
        <v>300000</v>
      </c>
      <c r="H826" s="162"/>
      <c r="I826" s="161">
        <f t="shared" si="16"/>
        <v>300000</v>
      </c>
    </row>
    <row r="827" spans="1:9" ht="47.25" x14ac:dyDescent="0.25">
      <c r="A827" s="157" t="str">
        <f>IF(B827&gt;0,VLOOKUP(B827,КВСР!A350:B1515,2),IF(C827&gt;0,VLOOKUP(C827,КФСР!A350:B1862,2),IF(D827&gt;0,VLOOKUP(D827,Программа!A$1:B$5100,2),IF(F827&gt;0,VLOOKUP(F827,КВР!A$1:B$5001,2),IF(E827&gt;0,VLOOKUP(E827,Направление!A$1:B$4830,2))))))</f>
        <v>Дотации поселениям Ярославской области на выравнивание бюджетной обеспеченности</v>
      </c>
      <c r="B827" s="158"/>
      <c r="C827" s="153"/>
      <c r="D827" s="154"/>
      <c r="E827" s="153">
        <v>72970</v>
      </c>
      <c r="F827" s="155"/>
      <c r="G827" s="611">
        <v>41403000</v>
      </c>
      <c r="H827" s="161">
        <f>H828</f>
        <v>0</v>
      </c>
      <c r="I827" s="161">
        <f t="shared" si="16"/>
        <v>41403000</v>
      </c>
    </row>
    <row r="828" spans="1:9" x14ac:dyDescent="0.25">
      <c r="A828" s="157" t="str">
        <f>IF(B828&gt;0,VLOOKUP(B828,КВСР!A351:B1516,2),IF(C828&gt;0,VLOOKUP(C828,КФСР!A351:B1863,2),IF(D828&gt;0,VLOOKUP(D828,Программа!A$1:B$5100,2),IF(F828&gt;0,VLOOKUP(F828,КВР!A$1:B$5001,2),IF(E828&gt;0,VLOOKUP(E828,Направление!A$1:B$4830,2))))))</f>
        <v xml:space="preserve"> Межбюджетные трансферты</v>
      </c>
      <c r="B828" s="158"/>
      <c r="C828" s="153"/>
      <c r="D828" s="155"/>
      <c r="E828" s="153"/>
      <c r="F828" s="155">
        <v>500</v>
      </c>
      <c r="G828" s="521">
        <v>41403000</v>
      </c>
      <c r="H828" s="162"/>
      <c r="I828" s="161">
        <f t="shared" si="16"/>
        <v>41403000</v>
      </c>
    </row>
    <row r="829" spans="1:9" x14ac:dyDescent="0.25">
      <c r="A829" s="157" t="str">
        <f>IF(B829&gt;0,VLOOKUP(B829,КВСР!A352:B1517,2),IF(C829&gt;0,VLOOKUP(C829,КФСР!A352:B1864,2),IF(D829&gt;0,VLOOKUP(D829,Программа!A$1:B$5100,2),IF(F829&gt;0,VLOOKUP(F829,КВР!A$1:B$5001,2),IF(E829&gt;0,VLOOKUP(E829,Направление!A$1:B$4830,2))))))</f>
        <v>Иные дотации</v>
      </c>
      <c r="B829" s="158"/>
      <c r="C829" s="153">
        <v>1402</v>
      </c>
      <c r="D829" s="155"/>
      <c r="E829" s="153"/>
      <c r="F829" s="155"/>
      <c r="G829" s="521">
        <v>4526075</v>
      </c>
      <c r="H829" s="521">
        <f t="shared" ref="H829:I831" si="17">H830</f>
        <v>0</v>
      </c>
      <c r="I829" s="521">
        <f t="shared" si="17"/>
        <v>4526075</v>
      </c>
    </row>
    <row r="830" spans="1:9" ht="31.5" x14ac:dyDescent="0.25">
      <c r="A830" s="157" t="str">
        <f>IF(B830&gt;0,VLOOKUP(B830,КВСР!A353:B1518,2),IF(C830&gt;0,VLOOKUP(C830,КФСР!A353:B1865,2),IF(D830&gt;0,VLOOKUP(D830,Программа!A$1:B$5100,2),IF(F830&gt;0,VLOOKUP(F830,КВР!A$1:B$5001,2),IF(E830&gt;0,VLOOKUP(E830,Направление!A$1:B$4830,2))))))</f>
        <v>Межбюджетные трансферты  поселениям района</v>
      </c>
      <c r="B830" s="158"/>
      <c r="C830" s="153"/>
      <c r="D830" s="155" t="s">
        <v>801</v>
      </c>
      <c r="E830" s="153"/>
      <c r="F830" s="155"/>
      <c r="G830" s="521">
        <v>4526075</v>
      </c>
      <c r="H830" s="521">
        <f t="shared" si="17"/>
        <v>0</v>
      </c>
      <c r="I830" s="521">
        <f t="shared" si="17"/>
        <v>4526075</v>
      </c>
    </row>
    <row r="831" spans="1:9" x14ac:dyDescent="0.25">
      <c r="A831" s="157" t="str">
        <f>IF(B831&gt;0,VLOOKUP(B831,КВСР!A354:B1519,2),IF(C831&gt;0,VLOOKUP(C831,КФСР!A354:B1866,2),IF(D831&gt;0,VLOOKUP(D831,Программа!A$1:B$5100,2),IF(F831&gt;0,VLOOKUP(F831,КВР!A$1:B$5001,2),IF(E831&gt;0,VLOOKUP(E831,Направление!A$1:B$4830,2))))))</f>
        <v xml:space="preserve">Иная дотация </v>
      </c>
      <c r="B831" s="158"/>
      <c r="C831" s="153"/>
      <c r="D831" s="155"/>
      <c r="E831" s="153">
        <v>73260</v>
      </c>
      <c r="F831" s="155"/>
      <c r="G831" s="521">
        <v>4526075</v>
      </c>
      <c r="H831" s="521">
        <f t="shared" si="17"/>
        <v>0</v>
      </c>
      <c r="I831" s="521">
        <f t="shared" si="17"/>
        <v>4526075</v>
      </c>
    </row>
    <row r="832" spans="1:9" x14ac:dyDescent="0.25">
      <c r="A832" s="157" t="str">
        <f>IF(B832&gt;0,VLOOKUP(B832,КВСР!A355:B1520,2),IF(C832&gt;0,VLOOKUP(C832,КФСР!A355:B1867,2),IF(D832&gt;0,VLOOKUP(D832,Программа!A$1:B$5100,2),IF(F832&gt;0,VLOOKUP(F832,КВР!A$1:B$5001,2),IF(E832&gt;0,VLOOKUP(E832,Направление!A$1:B$4830,2))))))</f>
        <v xml:space="preserve"> Межбюджетные трансферты</v>
      </c>
      <c r="B832" s="158"/>
      <c r="C832" s="153"/>
      <c r="D832" s="155"/>
      <c r="E832" s="153"/>
      <c r="F832" s="155">
        <v>500</v>
      </c>
      <c r="G832" s="521">
        <v>4526075</v>
      </c>
      <c r="H832" s="162"/>
      <c r="I832" s="161">
        <f>SUM(G832:H832)</f>
        <v>4526075</v>
      </c>
    </row>
    <row r="833" spans="1:9" ht="47.25" x14ac:dyDescent="0.25">
      <c r="A833" s="151" t="str">
        <f>IF(B833&gt;0,VLOOKUP(B833,КВСР!A352:B1517,2),IF(C833&gt;0,VLOOKUP(C833,КФСР!A352:B1864,2),IF(D833&gt;0,VLOOKUP(D833,Программа!A$1:B$5100,2),IF(F833&gt;0,VLOOKUP(F833,КВР!A$1:B$5001,2),IF(E833&gt;0,VLOOKUP(E833,Направление!A$1:B$4830,2))))))</f>
        <v>Департамент культуры, туризма и молодежной политики Администрации ТМР</v>
      </c>
      <c r="B833" s="152">
        <v>956</v>
      </c>
      <c r="C833" s="153"/>
      <c r="D833" s="154"/>
      <c r="E833" s="153"/>
      <c r="F833" s="155"/>
      <c r="G833" s="610">
        <v>189260239</v>
      </c>
      <c r="H833" s="156">
        <f>H834+H843+H862+H877+H914+H962+H1010+H839</f>
        <v>3503919</v>
      </c>
      <c r="I833" s="625">
        <f t="shared" si="16"/>
        <v>192764158</v>
      </c>
    </row>
    <row r="834" spans="1:9" ht="47.25" x14ac:dyDescent="0.25">
      <c r="A834" s="157" t="str">
        <f>IF(B834&gt;0,VLOOKUP(B834,КВСР!A347:B1512,2),IF(C834&gt;0,VLOOKUP(C834,КФСР!A347:B1859,2),IF(D834&gt;0,VLOOKUP(D834,Программа!A$1:B$5100,2),IF(F834&gt;0,VLOOKUP(F834,КВР!A$1:B$5001,2),IF(E834&gt;0,VLOOKUP(E834,Направление!A$1:B$4830,2))))))</f>
        <v>Другие вопросы в области национальной безопасности и правоохранительной деятельности</v>
      </c>
      <c r="B834" s="152"/>
      <c r="C834" s="153">
        <v>314</v>
      </c>
      <c r="D834" s="154"/>
      <c r="E834" s="153"/>
      <c r="F834" s="155"/>
      <c r="G834" s="694">
        <v>150000</v>
      </c>
      <c r="H834" s="694">
        <f>H835</f>
        <v>0</v>
      </c>
      <c r="I834" s="161">
        <f t="shared" si="16"/>
        <v>150000</v>
      </c>
    </row>
    <row r="835" spans="1:9" ht="63" x14ac:dyDescent="0.25">
      <c r="A835" s="157" t="str">
        <f>IF(B835&gt;0,VLOOKUP(B835,КВСР!A348:B1513,2),IF(C835&gt;0,VLOOKUP(C835,КФСР!A348:B1860,2),IF(D835&gt;0,VLOOKUP(D835,Программа!A$1:B$5100,2),IF(F835&gt;0,VLOOKUP(F835,КВР!A$1:B$5001,2),IF(E835&gt;0,VLOOKUP(E835,Направление!A$1:B$4830,2))))))</f>
        <v>Муниципальная программа "Профилактика правонарушений и усиление борьбы с преступностью в Тутаевском муниципальном районе"</v>
      </c>
      <c r="B835" s="152"/>
      <c r="C835" s="153"/>
      <c r="D835" s="154" t="s">
        <v>748</v>
      </c>
      <c r="E835" s="153"/>
      <c r="F835" s="155"/>
      <c r="G835" s="694">
        <v>150000</v>
      </c>
      <c r="H835" s="694">
        <f>H836</f>
        <v>0</v>
      </c>
      <c r="I835" s="161">
        <f t="shared" si="16"/>
        <v>150000</v>
      </c>
    </row>
    <row r="836" spans="1:9" ht="31.5" x14ac:dyDescent="0.25">
      <c r="A836" s="157" t="str">
        <f>IF(B836&gt;0,VLOOKUP(B836,КВСР!A349:B1514,2),IF(C836&gt;0,VLOOKUP(C836,КФСР!A349:B1861,2),IF(D836&gt;0,VLOOKUP(D836,Программа!A$1:B$5100,2),IF(F836&gt;0,VLOOKUP(F836,КВР!A$1:B$5001,2),IF(E836&gt;0,VLOOKUP(E836,Направление!A$1:B$4830,2))))))</f>
        <v>Реализация мероприятий по профилактике правонарушений</v>
      </c>
      <c r="B836" s="152"/>
      <c r="C836" s="153"/>
      <c r="D836" s="154" t="s">
        <v>750</v>
      </c>
      <c r="E836" s="153"/>
      <c r="F836" s="155"/>
      <c r="G836" s="694">
        <v>150000</v>
      </c>
      <c r="H836" s="694">
        <f>H837</f>
        <v>0</v>
      </c>
      <c r="I836" s="161">
        <f t="shared" si="16"/>
        <v>150000</v>
      </c>
    </row>
    <row r="837" spans="1:9" ht="31.5" x14ac:dyDescent="0.25">
      <c r="A837" s="157" t="str">
        <f>IF(B837&gt;0,VLOOKUP(B837,КВСР!A350:B1515,2),IF(C837&gt;0,VLOOKUP(C837,КФСР!A350:B1862,2),IF(D837&gt;0,VLOOKUP(D837,Программа!A$1:B$5100,2),IF(F837&gt;0,VLOOKUP(F837,КВР!A$1:B$5001,2),IF(E837&gt;0,VLOOKUP(E837,Направление!A$1:B$4830,2))))))</f>
        <v>Обеспечение деятельности народных дружин</v>
      </c>
      <c r="B837" s="152"/>
      <c r="C837" s="153"/>
      <c r="D837" s="154"/>
      <c r="E837" s="153">
        <v>29486</v>
      </c>
      <c r="F837" s="155"/>
      <c r="G837" s="694">
        <v>150000</v>
      </c>
      <c r="H837" s="694">
        <f>H838</f>
        <v>0</v>
      </c>
      <c r="I837" s="161">
        <f t="shared" si="16"/>
        <v>150000</v>
      </c>
    </row>
    <row r="838" spans="1:9" ht="63" x14ac:dyDescent="0.25">
      <c r="A838" s="157" t="str">
        <f>IF(B838&gt;0,VLOOKUP(B838,КВСР!A351:B1516,2),IF(C838&gt;0,VLOOKUP(C838,КФСР!A351:B1863,2),IF(D838&gt;0,VLOOKUP(D838,Программа!A$1:B$5100,2),IF(F838&gt;0,VLOOKUP(F838,КВР!A$1:B$5001,2),IF(E838&gt;0,VLOOKUP(E838,Направление!A$1:B$4830,2))))))</f>
        <v>Предоставление субсидий бюджетным, автономным учреждениям и иным некоммерческим организациям</v>
      </c>
      <c r="B838" s="152"/>
      <c r="C838" s="153"/>
      <c r="D838" s="154"/>
      <c r="E838" s="153"/>
      <c r="F838" s="155">
        <v>600</v>
      </c>
      <c r="G838" s="694">
        <v>150000</v>
      </c>
      <c r="H838" s="695"/>
      <c r="I838" s="161">
        <f t="shared" si="16"/>
        <v>150000</v>
      </c>
    </row>
    <row r="839" spans="1:9" ht="31.5" x14ac:dyDescent="0.25">
      <c r="A839" s="157" t="str">
        <f>IF(B839&gt;0,VLOOKUP(B839,КВСР!A352:B1517,2),IF(C839&gt;0,VLOOKUP(C839,КФСР!A352:B1864,2),IF(D839&gt;0,VLOOKUP(D839,Программа!A$1:B$5100,2),IF(F839&gt;0,VLOOKUP(F839,КВР!A$1:B$5001,2),IF(E839&gt;0,VLOOKUP(E839,Направление!A$1:B$4830,2))))))</f>
        <v>Другие вопросы в области национальной экономики</v>
      </c>
      <c r="B839" s="152"/>
      <c r="C839" s="153">
        <v>412</v>
      </c>
      <c r="D839" s="154"/>
      <c r="E839" s="153"/>
      <c r="F839" s="155"/>
      <c r="G839" s="694">
        <v>1509822</v>
      </c>
      <c r="H839" s="695">
        <f>H840</f>
        <v>0</v>
      </c>
      <c r="I839" s="695">
        <f>I840</f>
        <v>1509822</v>
      </c>
    </row>
    <row r="840" spans="1:9" ht="31.5" x14ac:dyDescent="0.25">
      <c r="A840" s="157" t="str">
        <f>IF(B840&gt;0,VLOOKUP(B840,КВСР!A353:B1518,2),IF(C840&gt;0,VLOOKUP(C840,КФСР!A353:B1865,2),IF(D840&gt;0,VLOOKUP(D840,Программа!A$1:B$5100,2),IF(F840&gt;0,VLOOKUP(F840,КВР!A$1:B$5001,2),IF(E840&gt;0,VLOOKUP(E840,Направление!A$1:B$4830,2))))))</f>
        <v>Межбюджетные трансферты  поселениям района</v>
      </c>
      <c r="B840" s="152"/>
      <c r="C840" s="153"/>
      <c r="D840" s="154" t="s">
        <v>801</v>
      </c>
      <c r="E840" s="153"/>
      <c r="F840" s="155"/>
      <c r="G840" s="694">
        <v>1509822</v>
      </c>
      <c r="H840" s="695">
        <f>H841</f>
        <v>0</v>
      </c>
      <c r="I840" s="695">
        <f>I841</f>
        <v>1509822</v>
      </c>
    </row>
    <row r="841" spans="1:9" ht="78.75" x14ac:dyDescent="0.25">
      <c r="A841" s="157" t="str">
        <f>IF(B841&gt;0,VLOOKUP(B841,КВСР!A354:B1519,2),IF(C841&gt;0,VLOOKUP(C841,КФСР!A354:B1866,2),IF(D841&gt;0,VLOOKUP(D841,Программа!A$1:B$5100,2),IF(F841&gt;0,VLOOKUP(F841,КВР!A$1:B$5001,2),IF(E841&gt;0,VLOOKUP(E841,Направление!A$1:B$4830,2))))))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841" s="152"/>
      <c r="C841" s="153"/>
      <c r="D841" s="154"/>
      <c r="E841" s="153">
        <v>71750</v>
      </c>
      <c r="F841" s="155"/>
      <c r="G841" s="694">
        <v>1509822</v>
      </c>
      <c r="H841" s="694">
        <f>H842</f>
        <v>0</v>
      </c>
      <c r="I841" s="161">
        <f>SUM(G841:H841)</f>
        <v>1509822</v>
      </c>
    </row>
    <row r="842" spans="1:9" x14ac:dyDescent="0.25">
      <c r="A842" s="157" t="str">
        <f>IF(B842&gt;0,VLOOKUP(B842,КВСР!A355:B1520,2),IF(C842&gt;0,VLOOKUP(C842,КФСР!A355:B1867,2),IF(D842&gt;0,VLOOKUP(D842,Программа!A$1:B$5100,2),IF(F842&gt;0,VLOOKUP(F842,КВР!A$1:B$5001,2),IF(E842&gt;0,VLOOKUP(E842,Направление!A$1:B$4830,2))))))</f>
        <v xml:space="preserve"> Межбюджетные трансферты</v>
      </c>
      <c r="B842" s="152"/>
      <c r="C842" s="153"/>
      <c r="D842" s="154"/>
      <c r="E842" s="153"/>
      <c r="F842" s="155">
        <v>500</v>
      </c>
      <c r="G842" s="694">
        <v>1509822</v>
      </c>
      <c r="H842" s="716"/>
      <c r="I842" s="161">
        <f>SUM(G842:H842)</f>
        <v>1509822</v>
      </c>
    </row>
    <row r="843" spans="1:9" x14ac:dyDescent="0.25">
      <c r="A843" s="157" t="str">
        <f>IF(B843&gt;0,VLOOKUP(B843,КВСР!A353:B1518,2),IF(C843&gt;0,VLOOKUP(C843,КФСР!A353:B1865,2),IF(D843&gt;0,VLOOKUP(D843,Программа!A$1:B$5100,2),IF(F843&gt;0,VLOOKUP(F843,КВР!A$1:B$5001,2),IF(E843&gt;0,VLOOKUP(E843,Направление!A$1:B$4830,2))))))</f>
        <v>Благоустройство</v>
      </c>
      <c r="B843" s="152"/>
      <c r="C843" s="153">
        <v>503</v>
      </c>
      <c r="D843" s="155"/>
      <c r="E843" s="153"/>
      <c r="F843" s="155"/>
      <c r="G843" s="168">
        <v>4391363</v>
      </c>
      <c r="H843" s="168">
        <f>H844+H857</f>
        <v>-113370</v>
      </c>
      <c r="I843" s="161">
        <f>SUM(G843:H843)</f>
        <v>4277993</v>
      </c>
    </row>
    <row r="844" spans="1:9" ht="63" x14ac:dyDescent="0.25">
      <c r="A844" s="157" t="str">
        <f>IF(B844&gt;0,VLOOKUP(B844,КВСР!A354:B1519,2),IF(C844&gt;0,VLOOKUP(C844,КФСР!A354:B1866,2),IF(D844&gt;0,VLOOKUP(D844,Программа!A$1:B$5100,2),IF(F844&gt;0,VLOOKUP(F844,КВР!A$1:B$5001,2),IF(E844&gt;0,VLOOKUP(E844,Направление!A$1:B$4830,2))))))</f>
        <v>Муниципальная программа  "Развитие культуры, туризма и молодежной политики в Тутаевском муниципальном районе"</v>
      </c>
      <c r="B844" s="152"/>
      <c r="C844" s="153"/>
      <c r="D844" s="155" t="s">
        <v>716</v>
      </c>
      <c r="E844" s="153"/>
      <c r="F844" s="155"/>
      <c r="G844" s="168">
        <v>3994363</v>
      </c>
      <c r="H844" s="168">
        <f>H845+H852</f>
        <v>-60000</v>
      </c>
      <c r="I844" s="161">
        <f t="shared" si="16"/>
        <v>3934363</v>
      </c>
    </row>
    <row r="845" spans="1:9" ht="94.5" x14ac:dyDescent="0.25">
      <c r="A845" s="157" t="str">
        <f>IF(B845&gt;0,VLOOKUP(B845,КВСР!A355:B1520,2),IF(C845&gt;0,VLOOKUP(C845,КФСР!A355:B1867,2),IF(D845&gt;0,VLOOKUP(D845,Программа!A$1:B$5100,2),IF(F845&gt;0,VLOOKUP(F845,КВР!A$1:B$5001,2),IF(E845&gt;0,VLOOKUP(E845,Направление!A$1:B$4830,2))))))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45" s="152"/>
      <c r="C845" s="153"/>
      <c r="D845" s="154" t="s">
        <v>718</v>
      </c>
      <c r="E845" s="153"/>
      <c r="F845" s="155"/>
      <c r="G845" s="168">
        <v>1673917</v>
      </c>
      <c r="H845" s="168">
        <f>H846</f>
        <v>-60000</v>
      </c>
      <c r="I845" s="161">
        <f t="shared" si="16"/>
        <v>1613917</v>
      </c>
    </row>
    <row r="846" spans="1:9" ht="78.75" x14ac:dyDescent="0.25">
      <c r="A846" s="157" t="str">
        <f>IF(B846&gt;0,VLOOKUP(B846,КВСР!A356:B1521,2),IF(C846&gt;0,VLOOKUP(C846,КФСР!A356:B1868,2),IF(D846&gt;0,VLOOKUP(D846,Программа!A$1:B$5100,2),IF(F846&gt;0,VLOOKUP(F846,КВР!A$1:B$5001,2),IF(E846&gt;0,VLOOKUP(E846,Направление!A$1:B$4830,2))))))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46" s="152"/>
      <c r="C846" s="153"/>
      <c r="D846" s="154" t="s">
        <v>720</v>
      </c>
      <c r="E846" s="153"/>
      <c r="F846" s="155"/>
      <c r="G846" s="168">
        <v>1673917</v>
      </c>
      <c r="H846" s="168">
        <f>H847+H849</f>
        <v>-60000</v>
      </c>
      <c r="I846" s="161">
        <f t="shared" si="16"/>
        <v>1613917</v>
      </c>
    </row>
    <row r="847" spans="1:9" ht="47.25" x14ac:dyDescent="0.25">
      <c r="A847" s="157" t="str">
        <f>IF(B847&gt;0,VLOOKUP(B847,КВСР!A357:B1522,2),IF(C847&gt;0,VLOOKUP(C847,КФСР!A357:B1869,2),IF(D847&gt;0,VLOOKUP(D847,Программа!A$1:B$5100,2),IF(F847&gt;0,VLOOKUP(F847,КВР!A$1:B$5001,2),IF(E847&gt;0,VLOOKUP(E847,Направление!A$1:B$4830,2))))))</f>
        <v>Обеспечение мероприятий по строительству и реконструкции  памятников</v>
      </c>
      <c r="B847" s="152"/>
      <c r="C847" s="153"/>
      <c r="D847" s="155"/>
      <c r="E847" s="153">
        <v>29476</v>
      </c>
      <c r="F847" s="155"/>
      <c r="G847" s="168">
        <v>1393009</v>
      </c>
      <c r="H847" s="168">
        <f>H848</f>
        <v>0</v>
      </c>
      <c r="I847" s="161">
        <f t="shared" si="16"/>
        <v>1393009</v>
      </c>
    </row>
    <row r="848" spans="1:9" ht="47.25" x14ac:dyDescent="0.25">
      <c r="A848" s="157" t="str">
        <f>IF(B848&gt;0,VLOOKUP(B848,КВСР!A358:B1523,2),IF(C848&gt;0,VLOOKUP(C848,КФСР!A358:B1870,2),IF(D848&gt;0,VLOOKUP(D848,Программа!A$1:B$5100,2),IF(F848&gt;0,VLOOKUP(F848,КВР!A$1:B$5001,2),IF(E848&gt;0,VLOOKUP(E848,Направление!A$1:B$4830,2))))))</f>
        <v>Капитальные вложения в объекты государственной (муниципальной) собственности</v>
      </c>
      <c r="B848" s="152"/>
      <c r="C848" s="153"/>
      <c r="D848" s="155"/>
      <c r="E848" s="153"/>
      <c r="F848" s="155">
        <v>400</v>
      </c>
      <c r="G848" s="168">
        <v>1393009</v>
      </c>
      <c r="H848" s="503"/>
      <c r="I848" s="161">
        <f t="shared" si="16"/>
        <v>1393009</v>
      </c>
    </row>
    <row r="849" spans="1:9" ht="47.25" x14ac:dyDescent="0.25">
      <c r="A849" s="157" t="str">
        <f>IF(B849&gt;0,VLOOKUP(B849,КВСР!A359:B1524,2),IF(C849&gt;0,VLOOKUP(C849,КФСР!A359:B1871,2),IF(D849&gt;0,VLOOKUP(D849,Программа!A$1:B$5100,2),IF(F849&gt;0,VLOOKUP(F849,КВР!A$1:B$5001,2),IF(E849&gt;0,VLOOKUP(E849,Направление!A$1:B$4830,2))))))</f>
        <v>Обеспечение мероприятий по содержанию  военно-мемориального комплекса пл.Юности</v>
      </c>
      <c r="B849" s="152"/>
      <c r="C849" s="153"/>
      <c r="D849" s="155"/>
      <c r="E849" s="153">
        <v>29686</v>
      </c>
      <c r="F849" s="155"/>
      <c r="G849" s="168">
        <v>280908</v>
      </c>
      <c r="H849" s="168">
        <f>H850</f>
        <v>-60000</v>
      </c>
      <c r="I849" s="161">
        <f t="shared" si="16"/>
        <v>220908</v>
      </c>
    </row>
    <row r="850" spans="1:9" ht="63" x14ac:dyDescent="0.25">
      <c r="A850" s="157" t="str">
        <f>IF(B850&gt;0,VLOOKUP(B850,КВСР!A360:B1525,2),IF(C850&gt;0,VLOOKUP(C850,КФСР!A360:B1872,2),IF(D850&gt;0,VLOOKUP(D850,Программа!A$1:B$5100,2),IF(F850&gt;0,VLOOKUP(F850,КВР!A$1:B$5001,2),IF(E850&gt;0,VLOOKUP(E850,Направление!A$1:B$4830,2))))))</f>
        <v>Предоставление субсидий бюджетным, автономным учреждениям и иным некоммерческим организациям</v>
      </c>
      <c r="B850" s="152"/>
      <c r="C850" s="153"/>
      <c r="D850" s="155"/>
      <c r="E850" s="153"/>
      <c r="F850" s="155">
        <v>600</v>
      </c>
      <c r="G850" s="168">
        <v>280908</v>
      </c>
      <c r="H850" s="503">
        <v>-60000</v>
      </c>
      <c r="I850" s="161">
        <f t="shared" si="16"/>
        <v>220908</v>
      </c>
    </row>
    <row r="851" spans="1:9" ht="63" x14ac:dyDescent="0.25">
      <c r="A851" s="157" t="str">
        <f>IF(B851&gt;0,VLOOKUP(B851,КВСР!A361:B1526,2),IF(C851&gt;0,VLOOKUP(C851,КФСР!A361:B1873,2),IF(D851&gt;0,VLOOKUP(D851,Программа!A$1:B$5100,2),IF(F851&gt;0,VLOOKUP(F851,КВР!A$1:B$5001,2),IF(E851&gt;0,VLOOKUP(E851,Направление!A$1:B$4830,2))))))</f>
        <v>Муниципальная целевая программа «Развитие въездного и внутреннего туризма на территории Тутаевского муниципального района»</v>
      </c>
      <c r="B851" s="152"/>
      <c r="C851" s="153"/>
      <c r="D851" s="154" t="s">
        <v>814</v>
      </c>
      <c r="E851" s="153"/>
      <c r="F851" s="155"/>
      <c r="G851" s="168">
        <v>2320446</v>
      </c>
      <c r="H851" s="168">
        <f>H852</f>
        <v>0</v>
      </c>
      <c r="I851" s="168">
        <f>I852</f>
        <v>2320446</v>
      </c>
    </row>
    <row r="852" spans="1:9" ht="31.5" x14ac:dyDescent="0.25">
      <c r="A852" s="157" t="str">
        <f>IF(B852&gt;0,VLOOKUP(B852,КВСР!A361:B1526,2),IF(C852&gt;0,VLOOKUP(C852,КФСР!A361:B1873,2),IF(D852&gt;0,VLOOKUP(D852,Программа!A$1:B$5100,2),IF(F852&gt;0,VLOOKUP(F852,КВР!A$1:B$5001,2),IF(E852&gt;0,VLOOKUP(E852,Направление!A$1:B$4830,2))))))</f>
        <v>Создание благоприятных условий для развития туризма</v>
      </c>
      <c r="B852" s="152"/>
      <c r="C852" s="153"/>
      <c r="D852" s="154" t="s">
        <v>816</v>
      </c>
      <c r="E852" s="153"/>
      <c r="F852" s="155"/>
      <c r="G852" s="168">
        <v>2320446</v>
      </c>
      <c r="H852" s="168">
        <f>H853+H855</f>
        <v>0</v>
      </c>
      <c r="I852" s="161">
        <f t="shared" si="16"/>
        <v>2320446</v>
      </c>
    </row>
    <row r="853" spans="1:9" ht="47.25" x14ac:dyDescent="0.25">
      <c r="A853" s="157" t="str">
        <f>IF(B853&gt;0,VLOOKUP(B853,КВСР!A362:B1527,2),IF(C853&gt;0,VLOOKUP(C853,КФСР!A362:B1874,2),IF(D853&gt;0,VLOOKUP(D853,Программа!A$1:B$5100,2),IF(F853&gt;0,VLOOKUP(F853,КВР!A$1:B$5001,2),IF(E853&gt;0,VLOOKUP(E853,Направление!A$1:B$4830,2))))))</f>
        <v>Обеспечение мероприятий по строительству, реконструкции и ремонту общественных туалетов</v>
      </c>
      <c r="B853" s="152"/>
      <c r="C853" s="153"/>
      <c r="D853" s="155"/>
      <c r="E853" s="153">
        <v>29506</v>
      </c>
      <c r="F853" s="155"/>
      <c r="G853" s="168">
        <v>810624</v>
      </c>
      <c r="H853" s="168">
        <f>H854</f>
        <v>0</v>
      </c>
      <c r="I853" s="161">
        <f t="shared" si="16"/>
        <v>810624</v>
      </c>
    </row>
    <row r="854" spans="1:9" ht="47.25" x14ac:dyDescent="0.25">
      <c r="A854" s="157" t="str">
        <f>IF(B854&gt;0,VLOOKUP(B854,КВСР!A363:B1528,2),IF(C854&gt;0,VLOOKUP(C854,КФСР!A363:B1875,2),IF(D854&gt;0,VLOOKUP(D854,Программа!A$1:B$5100,2),IF(F854&gt;0,VLOOKUP(F854,КВР!A$1:B$5001,2),IF(E854&gt;0,VLOOKUP(E854,Направление!A$1:B$4830,2))))))</f>
        <v>Капитальные вложения в объекты государственной (муниципальной) собственности</v>
      </c>
      <c r="B854" s="152"/>
      <c r="C854" s="153"/>
      <c r="D854" s="155"/>
      <c r="E854" s="153"/>
      <c r="F854" s="155">
        <v>400</v>
      </c>
      <c r="G854" s="168">
        <v>810624</v>
      </c>
      <c r="H854" s="503"/>
      <c r="I854" s="161">
        <f>SUM(G854:H854)</f>
        <v>810624</v>
      </c>
    </row>
    <row r="855" spans="1:9" ht="47.25" x14ac:dyDescent="0.25">
      <c r="A855" s="157" t="str">
        <f>IF(B855&gt;0,VLOOKUP(B855,КВСР!A364:B1529,2),IF(C855&gt;0,VLOOKUP(C855,КФСР!A364:B1876,2),IF(D855&gt;0,VLOOKUP(D855,Программа!A$1:B$5100,2),IF(F855&gt;0,VLOOKUP(F855,КВР!A$1:B$5001,2),IF(E855&gt;0,VLOOKUP(E855,Направление!A$1:B$4830,2))))))</f>
        <v>Субсидия  на создание условий для развития  инфраструктуры досуга и отдыха</v>
      </c>
      <c r="B855" s="152"/>
      <c r="C855" s="153"/>
      <c r="D855" s="155"/>
      <c r="E855" s="153">
        <v>71756</v>
      </c>
      <c r="F855" s="155"/>
      <c r="G855" s="168">
        <v>1509822</v>
      </c>
      <c r="H855" s="168">
        <f>H856</f>
        <v>0</v>
      </c>
      <c r="I855" s="168">
        <f>I856</f>
        <v>1509822</v>
      </c>
    </row>
    <row r="856" spans="1:9" ht="47.25" x14ac:dyDescent="0.25">
      <c r="A856" s="157" t="str">
        <f>IF(B856&gt;0,VLOOKUP(B856,КВСР!A365:B1530,2),IF(C856&gt;0,VLOOKUP(C856,КФСР!A365:B1877,2),IF(D856&gt;0,VLOOKUP(D856,Программа!A$1:B$5100,2),IF(F856&gt;0,VLOOKUP(F856,КВР!A$1:B$5001,2),IF(E856&gt;0,VLOOKUP(E856,Направление!A$1:B$4830,2))))))</f>
        <v>Капитальные вложения в объекты государственной (муниципальной) собственности</v>
      </c>
      <c r="B856" s="152"/>
      <c r="C856" s="153"/>
      <c r="D856" s="155"/>
      <c r="E856" s="153"/>
      <c r="F856" s="155">
        <v>400</v>
      </c>
      <c r="G856" s="168">
        <v>1509822</v>
      </c>
      <c r="H856" s="503"/>
      <c r="I856" s="161">
        <f>SUM(G856:H856)</f>
        <v>1509822</v>
      </c>
    </row>
    <row r="857" spans="1:9" ht="63" x14ac:dyDescent="0.25">
      <c r="A857" s="157" t="str">
        <f>IF(B857&gt;0,VLOOKUP(B857,КВСР!A366:B1531,2),IF(C857&gt;0,VLOOKUP(C857,КФСР!A366:B1878,2),IF(D857&gt;0,VLOOKUP(D857,Программа!A$1:B$5100,2),IF(F857&gt;0,VLOOKUP(F857,КВР!A$1:B$5001,2),IF(E857&gt;0,VLOOKUP(E857,Направление!A$1:B$4830,2))))))</f>
        <v>Муниципальная программа "Благоустройство  и санитарно-эпидемиологическая безопасность  Тутаевского муниципального района</v>
      </c>
      <c r="B857" s="152"/>
      <c r="C857" s="153"/>
      <c r="D857" s="154" t="s">
        <v>974</v>
      </c>
      <c r="E857" s="153"/>
      <c r="F857" s="155"/>
      <c r="G857" s="168">
        <v>397000</v>
      </c>
      <c r="H857" s="168">
        <f>H858</f>
        <v>-53370</v>
      </c>
      <c r="I857" s="168">
        <f>I860</f>
        <v>343630</v>
      </c>
    </row>
    <row r="858" spans="1:9" ht="63" x14ac:dyDescent="0.25">
      <c r="A858" s="157" t="str">
        <f>IF(B858&gt;0,VLOOKUP(B858,КВСР!A367:B1532,2),IF(C858&gt;0,VLOOKUP(C858,КФСР!A367:B1879,2),IF(D858&gt;0,VLOOKUP(D858,Программа!A$1:B$5100,2),IF(F858&gt;0,VLOOKUP(F858,КВР!A$1:B$5001,2),IF(E858&gt;0,VLOOKUP(E858,Направление!A$1:B$4830,2))))))</f>
        <v>Муниципальная целевая программа "Благоустройство и озеленение территории  в Тутаевского муниципального  района"</v>
      </c>
      <c r="B858" s="152"/>
      <c r="C858" s="153"/>
      <c r="D858" s="154" t="s">
        <v>980</v>
      </c>
      <c r="E858" s="153"/>
      <c r="F858" s="155"/>
      <c r="G858" s="168">
        <v>397000</v>
      </c>
      <c r="H858" s="168">
        <f>H859</f>
        <v>-53370</v>
      </c>
      <c r="I858" s="168">
        <f>I859</f>
        <v>343630</v>
      </c>
    </row>
    <row r="859" spans="1:9" ht="63" x14ac:dyDescent="0.25">
      <c r="A859" s="157" t="str">
        <f>IF(B859&gt;0,VLOOKUP(B859,КВСР!A368:B1533,2),IF(C859&gt;0,VLOOKUP(C859,КФСР!A368:B1880,2),IF(D859&gt;0,VLOOKUP(D859,Программа!A$1:B$5100,2),IF(F859&gt;0,VLOOKUP(F859,КВР!A$1:B$5001,2),IF(E859&gt;0,VLOOKUP(E859,Направление!A$1:B$4830,2))))))</f>
        <v>Улучшение уровня внешнего благоустройства и санитарного  состояния территорий Тутаевского муниципального района</v>
      </c>
      <c r="B859" s="152"/>
      <c r="C859" s="153"/>
      <c r="D859" s="154" t="s">
        <v>982</v>
      </c>
      <c r="E859" s="153"/>
      <c r="F859" s="155"/>
      <c r="G859" s="168">
        <v>397000</v>
      </c>
      <c r="H859" s="168">
        <f>H860</f>
        <v>-53370</v>
      </c>
      <c r="I859" s="168">
        <f>I860</f>
        <v>343630</v>
      </c>
    </row>
    <row r="860" spans="1:9" ht="47.25" x14ac:dyDescent="0.25">
      <c r="A860" s="157" t="str">
        <f>IF(B860&gt;0,VLOOKUP(B860,КВСР!A367:B1532,2),IF(C860&gt;0,VLOOKUP(C860,КФСР!A367:B1879,2),IF(D860&gt;0,VLOOKUP(D860,Программа!A$1:B$5100,2),IF(F860&gt;0,VLOOKUP(F860,КВР!A$1:B$5001,2),IF(E860&gt;0,VLOOKUP(E860,Направление!A$1:B$4830,2))))))</f>
        <v xml:space="preserve">Мероприятия по содержанию территории города  из средств гранта района </v>
      </c>
      <c r="B860" s="152"/>
      <c r="C860" s="153"/>
      <c r="D860" s="155"/>
      <c r="E860" s="153">
        <v>75876</v>
      </c>
      <c r="F860" s="155"/>
      <c r="G860" s="168">
        <v>397000</v>
      </c>
      <c r="H860" s="168">
        <f>H861</f>
        <v>-53370</v>
      </c>
      <c r="I860" s="168">
        <f>I861</f>
        <v>343630</v>
      </c>
    </row>
    <row r="861" spans="1:9" ht="63" x14ac:dyDescent="0.25">
      <c r="A861" s="157" t="str">
        <f>IF(B861&gt;0,VLOOKUP(B861,КВСР!A368:B1533,2),IF(C861&gt;0,VLOOKUP(C861,КФСР!A368:B1880,2),IF(D861&gt;0,VLOOKUP(D861,Программа!A$1:B$5100,2),IF(F861&gt;0,VLOOKUP(F861,КВР!A$1:B$5001,2),IF(E861&gt;0,VLOOKUP(E861,Направление!A$1:B$4830,2))))))</f>
        <v>Предоставление субсидий бюджетным, автономным учреждениям и иным некоммерческим организациям</v>
      </c>
      <c r="B861" s="152"/>
      <c r="C861" s="153"/>
      <c r="D861" s="155"/>
      <c r="E861" s="153"/>
      <c r="F861" s="155">
        <v>600</v>
      </c>
      <c r="G861" s="168">
        <v>397000</v>
      </c>
      <c r="H861" s="503">
        <f>-53370</f>
        <v>-53370</v>
      </c>
      <c r="I861" s="161">
        <f>SUM(G861:H861)</f>
        <v>343630</v>
      </c>
    </row>
    <row r="862" spans="1:9" s="182" customFormat="1" x14ac:dyDescent="0.25">
      <c r="A862" s="157" t="str">
        <f>IF(B862&gt;0,VLOOKUP(B862,КВСР!A358:B1523,2),IF(C862&gt;0,VLOOKUP(C862,КФСР!A358:B1870,2),IF(D862&gt;0,VLOOKUP(D862,Программа!A$1:B$5100,2),IF(F862&gt;0,VLOOKUP(F862,КВР!A$1:B$5001,2),IF(E862&gt;0,VLOOKUP(E862,Направление!A$1:B$4830,2))))))</f>
        <v>Дополнительное образование детей</v>
      </c>
      <c r="B862" s="158"/>
      <c r="C862" s="153">
        <v>703</v>
      </c>
      <c r="D862" s="154"/>
      <c r="E862" s="153"/>
      <c r="F862" s="155"/>
      <c r="G862" s="611">
        <v>33089601</v>
      </c>
      <c r="H862" s="161">
        <f>H863+H872</f>
        <v>0</v>
      </c>
      <c r="I862" s="161">
        <f t="shared" si="16"/>
        <v>33089601</v>
      </c>
    </row>
    <row r="863" spans="1:9" s="182" customFormat="1" ht="63" x14ac:dyDescent="0.25">
      <c r="A863" s="157" t="str">
        <f>IF(B863&gt;0,VLOOKUP(B863,КВСР!A359:B1524,2),IF(C863&gt;0,VLOOKUP(C863,КФСР!A359:B1871,2),IF(D863&gt;0,VLOOKUP(D863,Программа!A$1:B$5100,2),IF(F863&gt;0,VLOOKUP(F863,КВР!A$1:B$5001,2),IF(E863&gt;0,VLOOKUP(E863,Направление!A$1:B$4830,2))))))</f>
        <v>Муниципальная программа  "Развитие культуры, туризма и молодежной политики в Тутаевском муниципальном районе"</v>
      </c>
      <c r="B863" s="158"/>
      <c r="C863" s="153"/>
      <c r="D863" s="174" t="s">
        <v>716</v>
      </c>
      <c r="E863" s="172"/>
      <c r="F863" s="155"/>
      <c r="G863" s="611">
        <v>33089601</v>
      </c>
      <c r="H863" s="161">
        <f>H865</f>
        <v>0</v>
      </c>
      <c r="I863" s="161">
        <f t="shared" si="16"/>
        <v>33089601</v>
      </c>
    </row>
    <row r="864" spans="1:9" s="182" customFormat="1" ht="47.25" x14ac:dyDescent="0.25">
      <c r="A864" s="157" t="str">
        <f>IF(B864&gt;0,VLOOKUP(B864,КВСР!A360:B1525,2),IF(C864&gt;0,VLOOKUP(C864,КФСР!A360:B1872,2),IF(D864&gt;0,VLOOKUP(D864,Программа!A$1:B$5100,2),IF(F864&gt;0,VLOOKUP(F864,КВР!A$1:B$5001,2),IF(E864&gt;0,VLOOKUP(E864,Направление!A$1:B$4830,2))))))</f>
        <v>Ведомственная целевая программа «Сохранение и развитие культуры Тутаевского муниципального района»</v>
      </c>
      <c r="B864" s="158"/>
      <c r="C864" s="153"/>
      <c r="D864" s="174" t="s">
        <v>819</v>
      </c>
      <c r="E864" s="172"/>
      <c r="F864" s="155"/>
      <c r="G864" s="611">
        <v>33089601</v>
      </c>
      <c r="H864" s="161">
        <f>H865</f>
        <v>0</v>
      </c>
      <c r="I864" s="161">
        <f t="shared" si="16"/>
        <v>33089601</v>
      </c>
    </row>
    <row r="865" spans="1:9" s="182" customFormat="1" ht="47.25" x14ac:dyDescent="0.25">
      <c r="A865" s="157" t="str">
        <f>IF(B865&gt;0,VLOOKUP(B865,КВСР!A361:B1526,2),IF(C865&gt;0,VLOOKUP(C865,КФСР!A361:B1873,2),IF(D865&gt;0,VLOOKUP(D865,Программа!A$1:B$5100,2),IF(F865&gt;0,VLOOKUP(F865,КВР!A$1:B$5001,2),IF(E865&gt;0,VLOOKUP(E865,Направление!A$1:B$4830,2))))))</f>
        <v>Реализация дополнительных образовательных программ в сфере культуры</v>
      </c>
      <c r="B865" s="158"/>
      <c r="C865" s="153"/>
      <c r="D865" s="154" t="s">
        <v>821</v>
      </c>
      <c r="E865" s="153"/>
      <c r="F865" s="155"/>
      <c r="G865" s="611">
        <v>33089601</v>
      </c>
      <c r="H865" s="161">
        <f>H868+H870+H866</f>
        <v>0</v>
      </c>
      <c r="I865" s="161">
        <f t="shared" si="16"/>
        <v>33089601</v>
      </c>
    </row>
    <row r="866" spans="1:9" s="182" customFormat="1" ht="31.5" x14ac:dyDescent="0.25">
      <c r="A866" s="157" t="str">
        <f>IF(B866&gt;0,VLOOKUP(B866,КВСР!A361:B1526,2),IF(C866&gt;0,VLOOKUP(C866,КФСР!A361:B1873,2),IF(D866&gt;0,VLOOKUP(D866,Программа!A$1:B$5100,2),IF(F866&gt;0,VLOOKUP(F866,КВР!A$1:B$5001,2),IF(E866&gt;0,VLOOKUP(E866,Направление!A$1:B$4830,2))))))</f>
        <v xml:space="preserve">Выплата ежемесячных и разовых стипендий главы </v>
      </c>
      <c r="B866" s="158"/>
      <c r="C866" s="153"/>
      <c r="D866" s="154"/>
      <c r="E866" s="153">
        <v>12700</v>
      </c>
      <c r="F866" s="155"/>
      <c r="G866" s="611">
        <v>40000</v>
      </c>
      <c r="H866" s="161">
        <f>H867</f>
        <v>0</v>
      </c>
      <c r="I866" s="161">
        <f t="shared" si="16"/>
        <v>40000</v>
      </c>
    </row>
    <row r="867" spans="1:9" s="182" customFormat="1" ht="63" x14ac:dyDescent="0.25">
      <c r="A867" s="157" t="str">
        <f>IF(B867&gt;0,VLOOKUP(B867,КВСР!A362:B1527,2),IF(C867&gt;0,VLOOKUP(C867,КФСР!A362:B1874,2),IF(D867&gt;0,VLOOKUP(D867,Программа!A$1:B$5100,2),IF(F867&gt;0,VLOOKUP(F867,КВР!A$1:B$5001,2),IF(E867&gt;0,VLOOKUP(E867,Направление!A$1:B$4830,2))))))</f>
        <v>Предоставление субсидий бюджетным, автономным учреждениям и иным некоммерческим организациям</v>
      </c>
      <c r="B867" s="158"/>
      <c r="C867" s="153"/>
      <c r="D867" s="155"/>
      <c r="E867" s="153"/>
      <c r="F867" s="155">
        <v>600</v>
      </c>
      <c r="G867" s="644">
        <v>40000</v>
      </c>
      <c r="H867" s="163"/>
      <c r="I867" s="161">
        <f t="shared" si="16"/>
        <v>40000</v>
      </c>
    </row>
    <row r="868" spans="1:9" s="182" customFormat="1" ht="47.25" x14ac:dyDescent="0.25">
      <c r="A868" s="157" t="str">
        <f>IF(B868&gt;0,VLOOKUP(B868,КВСР!A361:B1526,2),IF(C868&gt;0,VLOOKUP(C868,КФСР!A361:B1873,2),IF(D868&gt;0,VLOOKUP(D868,Программа!A$1:B$5100,2),IF(F868&gt;0,VLOOKUP(F868,КВР!A$1:B$5001,2),IF(E868&gt;0,VLOOKUP(E868,Направление!A$1:B$4830,2))))))</f>
        <v>Обеспечение деятельности учреждений дополнительного образования</v>
      </c>
      <c r="B868" s="158"/>
      <c r="C868" s="153"/>
      <c r="D868" s="154"/>
      <c r="E868" s="153">
        <v>13210</v>
      </c>
      <c r="F868" s="155"/>
      <c r="G868" s="504">
        <v>33035547</v>
      </c>
      <c r="H868" s="159">
        <f>H869</f>
        <v>0</v>
      </c>
      <c r="I868" s="161">
        <f t="shared" si="16"/>
        <v>33035547</v>
      </c>
    </row>
    <row r="869" spans="1:9" s="182" customFormat="1" ht="63" x14ac:dyDescent="0.25">
      <c r="A869" s="157" t="str">
        <f>IF(B869&gt;0,VLOOKUP(B869,КВСР!A362:B1527,2),IF(C869&gt;0,VLOOKUP(C869,КФСР!A362:B1874,2),IF(D869&gt;0,VLOOKUP(D869,Программа!A$1:B$5100,2),IF(F869&gt;0,VLOOKUP(F869,КВР!A$1:B$5001,2),IF(E869&gt;0,VLOOKUP(E869,Направление!A$1:B$4830,2))))))</f>
        <v>Предоставление субсидий бюджетным, автономным учреждениям и иным некоммерческим организациям</v>
      </c>
      <c r="B869" s="158"/>
      <c r="C869" s="153"/>
      <c r="D869" s="155"/>
      <c r="E869" s="153"/>
      <c r="F869" s="155">
        <v>600</v>
      </c>
      <c r="G869" s="160">
        <v>33035547</v>
      </c>
      <c r="H869" s="160"/>
      <c r="I869" s="161">
        <f t="shared" si="16"/>
        <v>33035547</v>
      </c>
    </row>
    <row r="870" spans="1:9" s="182" customFormat="1" x14ac:dyDescent="0.25">
      <c r="A870" s="157" t="str">
        <f>IF(B870&gt;0,VLOOKUP(B870,КВСР!A363:B1528,2),IF(C870&gt;0,VLOOKUP(C870,КФСР!A363:B1875,2),IF(D870&gt;0,VLOOKUP(D870,Программа!A$1:B$5100,2),IF(F870&gt;0,VLOOKUP(F870,КВР!A$1:B$5001,2),IF(E870&gt;0,VLOOKUP(E870,Направление!A$1:B$4830,2))))))</f>
        <v>Мероприятия в сфере культуры</v>
      </c>
      <c r="B870" s="158"/>
      <c r="C870" s="153"/>
      <c r="D870" s="154"/>
      <c r="E870" s="153">
        <v>15220</v>
      </c>
      <c r="F870" s="155"/>
      <c r="G870" s="504">
        <v>14054</v>
      </c>
      <c r="H870" s="159">
        <f>H871</f>
        <v>0</v>
      </c>
      <c r="I870" s="161">
        <f t="shared" si="16"/>
        <v>14054</v>
      </c>
    </row>
    <row r="871" spans="1:9" s="182" customFormat="1" ht="63" x14ac:dyDescent="0.25">
      <c r="A871" s="157" t="str">
        <f>IF(B871&gt;0,VLOOKUP(B871,КВСР!A364:B1529,2),IF(C871&gt;0,VLOOKUP(C871,КФСР!A364:B1876,2),IF(D871&gt;0,VLOOKUP(D871,Программа!A$1:B$5100,2),IF(F871&gt;0,VLOOKUP(F871,КВР!A$1:B$5001,2),IF(E871&gt;0,VLOOKUP(E871,Направление!A$1:B$4830,2))))))</f>
        <v>Предоставление субсидий бюджетным, автономным учреждениям и иным некоммерческим организациям</v>
      </c>
      <c r="B871" s="158"/>
      <c r="C871" s="153"/>
      <c r="D871" s="155"/>
      <c r="E871" s="153"/>
      <c r="F871" s="155">
        <v>600</v>
      </c>
      <c r="G871" s="160">
        <v>14054</v>
      </c>
      <c r="H871" s="160"/>
      <c r="I871" s="161">
        <f t="shared" si="16"/>
        <v>14054</v>
      </c>
    </row>
    <row r="872" spans="1:9" s="182" customFormat="1" ht="47.25" hidden="1" x14ac:dyDescent="0.25">
      <c r="A872" s="157" t="str">
        <f>IF(B872&gt;0,VLOOKUP(B872,КВСР!A365:B1530,2),IF(C872&gt;0,VLOOKUP(C872,КФСР!A365:B1877,2),IF(D872&gt;0,VLOOKUP(D872,Программа!A$1:B$5100,2),IF(F872&gt;0,VLOOKUP(F872,КВР!A$1:B$5001,2),IF(E872&gt;0,VLOOKUP(E872,Направление!A$1:B$4830,2))))))</f>
        <v>Муниципальная программа "Социальная поддержка населения Тутаевского муниципального района"</v>
      </c>
      <c r="B872" s="158"/>
      <c r="C872" s="153"/>
      <c r="D872" s="155" t="s">
        <v>695</v>
      </c>
      <c r="E872" s="153"/>
      <c r="F872" s="155"/>
      <c r="G872" s="504">
        <v>0</v>
      </c>
      <c r="H872" s="538">
        <f>H873</f>
        <v>0</v>
      </c>
      <c r="I872" s="161">
        <f t="shared" ref="I872:I953" si="18">SUM(G872:H872)</f>
        <v>0</v>
      </c>
    </row>
    <row r="873" spans="1:9" s="182" customFormat="1" ht="63" hidden="1" x14ac:dyDescent="0.25">
      <c r="A873" s="157" t="str">
        <f>IF(B873&gt;0,VLOOKUP(B873,КВСР!A366:B1531,2),IF(C873&gt;0,VLOOKUP(C873,КФСР!A366:B1878,2),IF(D873&gt;0,VLOOKUP(D873,Программа!A$1:B$5100,2),IF(F873&gt;0,VLOOKUP(F873,КВР!A$1:B$5001,2),IF(E873&gt;0,VLOOKUP(E873,Направление!A$1:B$4830,2))))))</f>
        <v>Муниципальная целевая программа "Улучшение условий и охраны труда" по Тутаевскому муниципальному району</v>
      </c>
      <c r="B873" s="158"/>
      <c r="C873" s="153"/>
      <c r="D873" s="154" t="s">
        <v>697</v>
      </c>
      <c r="E873" s="153"/>
      <c r="F873" s="155"/>
      <c r="G873" s="504">
        <v>0</v>
      </c>
      <c r="H873" s="538">
        <f>H874</f>
        <v>0</v>
      </c>
      <c r="I873" s="161">
        <f t="shared" si="18"/>
        <v>0</v>
      </c>
    </row>
    <row r="874" spans="1:9" s="182" customFormat="1" ht="47.25" hidden="1" x14ac:dyDescent="0.25">
      <c r="A874" s="157" t="str">
        <f>IF(B874&gt;0,VLOOKUP(B874,КВСР!A366:B1531,2),IF(C874&gt;0,VLOOKUP(C874,КФСР!A366:B1878,2),IF(D874&gt;0,VLOOKUP(D874,Программа!A$1:B$5100,2),IF(F874&gt;0,VLOOKUP(F874,КВР!A$1:B$5001,2),IF(E874&gt;0,VLOOKUP(E874,Направление!A$1:B$4830,2))))))</f>
        <v>Обучение по охране труда работников организаций Тутаевского муниципального района</v>
      </c>
      <c r="B874" s="158"/>
      <c r="C874" s="153"/>
      <c r="D874" s="154" t="s">
        <v>2927</v>
      </c>
      <c r="E874" s="153"/>
      <c r="F874" s="155"/>
      <c r="G874" s="504">
        <v>0</v>
      </c>
      <c r="H874" s="538">
        <f>H875</f>
        <v>0</v>
      </c>
      <c r="I874" s="161">
        <f t="shared" si="18"/>
        <v>0</v>
      </c>
    </row>
    <row r="875" spans="1:9" s="182" customFormat="1" ht="31.5" hidden="1" x14ac:dyDescent="0.25">
      <c r="A875" s="157" t="str">
        <f>IF(B875&gt;0,VLOOKUP(B875,КВСР!A367:B1532,2),IF(C875&gt;0,VLOOKUP(C875,КФСР!A367:B1879,2),IF(D875&gt;0,VLOOKUP(D875,Программа!A$1:B$5100,2),IF(F875&gt;0,VLOOKUP(F875,КВР!A$1:B$5001,2),IF(E875&gt;0,VLOOKUP(E875,Направление!A$1:B$4830,2))))))</f>
        <v>Расходы на реализацию МЦП "Улучшение условий и охраны труда"</v>
      </c>
      <c r="B875" s="158"/>
      <c r="C875" s="153"/>
      <c r="D875" s="155"/>
      <c r="E875" s="153">
        <v>16150</v>
      </c>
      <c r="F875" s="155"/>
      <c r="G875" s="504">
        <v>0</v>
      </c>
      <c r="H875" s="538">
        <f>H876</f>
        <v>0</v>
      </c>
      <c r="I875" s="161">
        <f t="shared" si="18"/>
        <v>0</v>
      </c>
    </row>
    <row r="876" spans="1:9" s="182" customFormat="1" ht="63" hidden="1" x14ac:dyDescent="0.25">
      <c r="A876" s="157" t="str">
        <f>IF(B876&gt;0,VLOOKUP(B876,КВСР!A368:B1533,2),IF(C876&gt;0,VLOOKUP(C876,КФСР!A368:B1880,2),IF(D876&gt;0,VLOOKUP(D876,Программа!A$1:B$5100,2),IF(F876&gt;0,VLOOKUP(F876,КВР!A$1:B$5001,2),IF(E876&gt;0,VLOOKUP(E876,Направление!A$1:B$4830,2))))))</f>
        <v>Предоставление субсидий бюджетным, автономным учреждениям и иным некоммерческим организациям</v>
      </c>
      <c r="B876" s="158"/>
      <c r="C876" s="153"/>
      <c r="D876" s="155"/>
      <c r="E876" s="153"/>
      <c r="F876" s="155">
        <v>600</v>
      </c>
      <c r="G876" s="502">
        <v>0</v>
      </c>
      <c r="H876" s="160"/>
      <c r="I876" s="161">
        <f t="shared" si="18"/>
        <v>0</v>
      </c>
    </row>
    <row r="877" spans="1:9" s="182" customFormat="1" x14ac:dyDescent="0.25">
      <c r="A877" s="157" t="str">
        <f>IF(B877&gt;0,VLOOKUP(B877,КВСР!A362:B1527,2),IF(C877&gt;0,VLOOKUP(C877,КФСР!A362:B1874,2),IF(D877&gt;0,VLOOKUP(D877,Программа!A$1:B$5100,2),IF(F877&gt;0,VLOOKUP(F877,КВР!A$1:B$5001,2),IF(E877&gt;0,VLOOKUP(E877,Направление!A$1:B$4830,2))))))</f>
        <v>Молодежная политика</v>
      </c>
      <c r="B877" s="158"/>
      <c r="C877" s="153">
        <v>707</v>
      </c>
      <c r="D877" s="154"/>
      <c r="E877" s="153"/>
      <c r="F877" s="155"/>
      <c r="G877" s="611">
        <v>12190199</v>
      </c>
      <c r="H877" s="161">
        <f>H878+H910</f>
        <v>-220000</v>
      </c>
      <c r="I877" s="161">
        <f t="shared" si="18"/>
        <v>11970199</v>
      </c>
    </row>
    <row r="878" spans="1:9" s="182" customFormat="1" ht="63" x14ac:dyDescent="0.25">
      <c r="A878" s="157" t="str">
        <f>IF(B878&gt;0,VLOOKUP(B878,КВСР!A363:B1528,2),IF(C878&gt;0,VLOOKUP(C878,КФСР!A363:B1875,2),IF(D878&gt;0,VLOOKUP(D878,Программа!A$1:B$5100,2),IF(F878&gt;0,VLOOKUP(F878,КВР!A$1:B$5001,2),IF(E878&gt;0,VLOOKUP(E878,Направление!A$1:B$4830,2))))))</f>
        <v>Муниципальная программа  "Развитие культуры, туризма и молодежной политики в Тутаевском муниципальном районе"</v>
      </c>
      <c r="B878" s="158"/>
      <c r="C878" s="153"/>
      <c r="D878" s="154" t="s">
        <v>716</v>
      </c>
      <c r="E878" s="153"/>
      <c r="F878" s="155"/>
      <c r="G878" s="611">
        <v>12190199</v>
      </c>
      <c r="H878" s="161">
        <f>H879+H900+H906</f>
        <v>-220000</v>
      </c>
      <c r="I878" s="161">
        <f t="shared" si="18"/>
        <v>11970199</v>
      </c>
    </row>
    <row r="879" spans="1:9" s="182" customFormat="1" ht="31.5" x14ac:dyDescent="0.25">
      <c r="A879" s="157" t="str">
        <f>IF(B879&gt;0,VLOOKUP(B879,КВСР!A364:B1529,2),IF(C879&gt;0,VLOOKUP(C879,КФСР!A364:B1876,2),IF(D879&gt;0,VLOOKUP(D879,Программа!A$1:B$5100,2),IF(F879&gt;0,VLOOKUP(F879,КВР!A$1:B$5001,2),IF(E879&gt;0,VLOOKUP(E879,Направление!A$1:B$4830,2))))))</f>
        <v>Ведомственная целевая программа «Молодежь»</v>
      </c>
      <c r="B879" s="158"/>
      <c r="C879" s="153"/>
      <c r="D879" s="154" t="s">
        <v>824</v>
      </c>
      <c r="E879" s="153"/>
      <c r="F879" s="155"/>
      <c r="G879" s="611">
        <v>11879199</v>
      </c>
      <c r="H879" s="161">
        <f>H880+H895</f>
        <v>-220000</v>
      </c>
      <c r="I879" s="161">
        <f t="shared" si="18"/>
        <v>11659199</v>
      </c>
    </row>
    <row r="880" spans="1:9" s="182" customFormat="1" ht="63" x14ac:dyDescent="0.25">
      <c r="A880" s="157" t="str">
        <f>IF(B880&gt;0,VLOOKUP(B880,КВСР!A364:B1529,2),IF(C880&gt;0,VLOOKUP(C880,КФСР!A364:B1876,2),IF(D880&gt;0,VLOOKUP(D880,Программа!A$1:B$5100,2),IF(F880&gt;0,VLOOKUP(F880,КВР!A$1:B$5001,2),IF(E880&gt;0,VLOOKUP(E880,Направление!A$1:B$4830,2))))))</f>
        <v>Обеспечение условий для выполнения муниципального задания на оказание услуг, выполнение работ в сфере молодежной политики</v>
      </c>
      <c r="B880" s="158"/>
      <c r="C880" s="153"/>
      <c r="D880" s="154" t="s">
        <v>826</v>
      </c>
      <c r="E880" s="153"/>
      <c r="F880" s="155"/>
      <c r="G880" s="611">
        <v>11789199</v>
      </c>
      <c r="H880" s="161">
        <f>H881+H883+H885+H889+H887+H891+H893</f>
        <v>-220000</v>
      </c>
      <c r="I880" s="161">
        <f t="shared" si="18"/>
        <v>11569199</v>
      </c>
    </row>
    <row r="881" spans="1:9" s="182" customFormat="1" ht="31.5" hidden="1" x14ac:dyDescent="0.25">
      <c r="A881" s="157" t="str">
        <f>IF(B881&gt;0,VLOOKUP(B881,КВСР!A365:B1530,2),IF(C881&gt;0,VLOOKUP(C881,КФСР!A365:B1877,2),IF(D881&gt;0,VLOOKUP(D881,Программа!A$1:B$5100,2),IF(F881&gt;0,VLOOKUP(F881,КВР!A$1:B$5001,2),IF(E881&gt;0,VLOOKUP(E881,Направление!A$1:B$4830,2))))))</f>
        <v xml:space="preserve">Выплата ежемесячных и разовых стипендий главы </v>
      </c>
      <c r="B881" s="158"/>
      <c r="C881" s="153"/>
      <c r="D881" s="154"/>
      <c r="E881" s="153">
        <v>12700</v>
      </c>
      <c r="F881" s="155"/>
      <c r="G881" s="611">
        <v>0</v>
      </c>
      <c r="H881" s="161">
        <f>H882</f>
        <v>0</v>
      </c>
      <c r="I881" s="161">
        <f t="shared" si="18"/>
        <v>0</v>
      </c>
    </row>
    <row r="882" spans="1:9" s="182" customFormat="1" ht="63" hidden="1" x14ac:dyDescent="0.25">
      <c r="A882" s="157" t="str">
        <f>IF(B882&gt;0,VLOOKUP(B882,КВСР!A366:B1531,2),IF(C882&gt;0,VLOOKUP(C882,КФСР!A366:B1878,2),IF(D882&gt;0,VLOOKUP(D882,Программа!A$1:B$5100,2),IF(F882&gt;0,VLOOKUP(F882,КВР!A$1:B$5001,2),IF(E882&gt;0,VLOOKUP(E882,Направление!A$1:B$4830,2))))))</f>
        <v>Предоставление субсидий бюджетным, автономным учреждениям и иным некоммерческим организациям</v>
      </c>
      <c r="B882" s="158"/>
      <c r="C882" s="153"/>
      <c r="D882" s="155"/>
      <c r="E882" s="153"/>
      <c r="F882" s="155">
        <v>600</v>
      </c>
      <c r="G882" s="644">
        <v>0</v>
      </c>
      <c r="H882" s="163"/>
      <c r="I882" s="161">
        <f t="shared" si="18"/>
        <v>0</v>
      </c>
    </row>
    <row r="883" spans="1:9" s="182" customFormat="1" ht="47.25" x14ac:dyDescent="0.25">
      <c r="A883" s="157" t="str">
        <f>IF(B883&gt;0,VLOOKUP(B883,КВСР!A365:B1530,2),IF(C883&gt;0,VLOOKUP(C883,КФСР!A365:B1877,2),IF(D883&gt;0,VLOOKUP(D883,Программа!A$1:B$5100,2),IF(F883&gt;0,VLOOKUP(F883,КВР!A$1:B$5001,2),IF(E883&gt;0,VLOOKUP(E883,Направление!A$1:B$4830,2))))))</f>
        <v xml:space="preserve">Обеспечение деятельности учреждений в сфере молодежной политики </v>
      </c>
      <c r="B883" s="158"/>
      <c r="C883" s="153"/>
      <c r="D883" s="154"/>
      <c r="E883" s="153">
        <v>14510</v>
      </c>
      <c r="F883" s="155"/>
      <c r="G883" s="504">
        <v>8467722</v>
      </c>
      <c r="H883" s="159">
        <f>H884</f>
        <v>-220000</v>
      </c>
      <c r="I883" s="161">
        <f t="shared" si="18"/>
        <v>8247722</v>
      </c>
    </row>
    <row r="884" spans="1:9" s="182" customFormat="1" ht="63" x14ac:dyDescent="0.25">
      <c r="A884" s="157" t="str">
        <f>IF(B884&gt;0,VLOOKUP(B884,КВСР!A366:B1531,2),IF(C884&gt;0,VLOOKUP(C884,КФСР!A366:B1878,2),IF(D884&gt;0,VLOOKUP(D884,Программа!A$1:B$5100,2),IF(F884&gt;0,VLOOKUP(F884,КВР!A$1:B$5001,2),IF(E884&gt;0,VLOOKUP(E884,Направление!A$1:B$4830,2))))))</f>
        <v>Предоставление субсидий бюджетным, автономным учреждениям и иным некоммерческим организациям</v>
      </c>
      <c r="B884" s="158"/>
      <c r="C884" s="153"/>
      <c r="D884" s="155"/>
      <c r="E884" s="153"/>
      <c r="F884" s="155">
        <v>600</v>
      </c>
      <c r="G884" s="160">
        <v>8467722</v>
      </c>
      <c r="H884" s="160">
        <v>-220000</v>
      </c>
      <c r="I884" s="161">
        <f t="shared" si="18"/>
        <v>8247722</v>
      </c>
    </row>
    <row r="885" spans="1:9" s="182" customFormat="1" ht="31.5" hidden="1" x14ac:dyDescent="0.25">
      <c r="A885" s="157" t="str">
        <f>IF(B885&gt;0,VLOOKUP(B885,КВСР!A367:B1532,2),IF(C885&gt;0,VLOOKUP(C885,КФСР!A367:B1879,2),IF(D885&gt;0,VLOOKUP(D885,Программа!A$1:B$5100,2),IF(F885&gt;0,VLOOKUP(F885,КВР!A$1:B$5001,2),IF(E885&gt;0,VLOOKUP(E885,Направление!A$1:B$4830,2))))))</f>
        <v>Мероприятия в сфере молодежной политики</v>
      </c>
      <c r="B885" s="158"/>
      <c r="C885" s="153"/>
      <c r="D885" s="154"/>
      <c r="E885" s="153">
        <v>14530</v>
      </c>
      <c r="F885" s="155"/>
      <c r="G885" s="611">
        <v>0</v>
      </c>
      <c r="H885" s="161">
        <f>H886</f>
        <v>0</v>
      </c>
      <c r="I885" s="161">
        <f t="shared" si="18"/>
        <v>0</v>
      </c>
    </row>
    <row r="886" spans="1:9" s="182" customFormat="1" ht="63" hidden="1" x14ac:dyDescent="0.25">
      <c r="A886" s="157" t="str">
        <f>IF(B886&gt;0,VLOOKUP(B886,КВСР!A368:B1533,2),IF(C886&gt;0,VLOOKUP(C886,КФСР!A368:B1880,2),IF(D886&gt;0,VLOOKUP(D886,Программа!A$1:B$5100,2),IF(F886&gt;0,VLOOKUP(F886,КВР!A$1:B$5001,2),IF(E886&gt;0,VLOOKUP(E886,Направление!A$1:B$4830,2))))))</f>
        <v>Предоставление субсидий бюджетным, автономным учреждениям и иным некоммерческим организациям</v>
      </c>
      <c r="B886" s="158"/>
      <c r="C886" s="153"/>
      <c r="D886" s="155"/>
      <c r="E886" s="153"/>
      <c r="F886" s="155">
        <v>600</v>
      </c>
      <c r="G886" s="502">
        <v>0</v>
      </c>
      <c r="H886" s="160"/>
      <c r="I886" s="161">
        <f t="shared" si="18"/>
        <v>0</v>
      </c>
    </row>
    <row r="887" spans="1:9" s="182" customFormat="1" x14ac:dyDescent="0.25">
      <c r="A887" s="157" t="str">
        <f>IF(B887&gt;0,VLOOKUP(B887,КВСР!A369:B1534,2),IF(C887&gt;0,VLOOKUP(C887,КФСР!A369:B1881,2),IF(D887&gt;0,VLOOKUP(D887,Программа!A$1:B$5100,2),IF(F887&gt;0,VLOOKUP(F887,КВР!A$1:B$5001,2),IF(E887&gt;0,VLOOKUP(E887,Направление!A$1:B$4830,2))))))</f>
        <v xml:space="preserve">Иная дотация </v>
      </c>
      <c r="B887" s="158"/>
      <c r="C887" s="153"/>
      <c r="D887" s="155"/>
      <c r="E887" s="153">
        <v>73260</v>
      </c>
      <c r="F887" s="155"/>
      <c r="G887" s="504">
        <v>230999</v>
      </c>
      <c r="H887" s="159">
        <f>H888</f>
        <v>0</v>
      </c>
      <c r="I887" s="161">
        <f t="shared" si="18"/>
        <v>230999</v>
      </c>
    </row>
    <row r="888" spans="1:9" s="182" customFormat="1" ht="63" x14ac:dyDescent="0.25">
      <c r="A888" s="157" t="str">
        <f>IF(B888&gt;0,VLOOKUP(B888,КВСР!A370:B1535,2),IF(C888&gt;0,VLOOKUP(C888,КФСР!A370:B1882,2),IF(D888&gt;0,VLOOKUP(D888,Программа!A$1:B$5100,2),IF(F888&gt;0,VLOOKUP(F888,КВР!A$1:B$5001,2),IF(E888&gt;0,VLOOKUP(E888,Направление!A$1:B$4830,2))))))</f>
        <v>Предоставление субсидий бюджетным, автономным учреждениям и иным некоммерческим организациям</v>
      </c>
      <c r="B888" s="158"/>
      <c r="C888" s="153"/>
      <c r="D888" s="154"/>
      <c r="E888" s="153"/>
      <c r="F888" s="155">
        <v>600</v>
      </c>
      <c r="G888" s="160">
        <v>230999</v>
      </c>
      <c r="H888" s="160"/>
      <c r="I888" s="161">
        <f t="shared" si="18"/>
        <v>230999</v>
      </c>
    </row>
    <row r="889" spans="1:9" s="182" customFormat="1" ht="63" x14ac:dyDescent="0.25">
      <c r="A889" s="157" t="str">
        <f>IF(B889&gt;0,VLOOKUP(B889,КВСР!A371:B1536,2),IF(C889&gt;0,VLOOKUP(C889,КФСР!A371:B1883,2),IF(D889&gt;0,VLOOKUP(D889,Программа!A$1:B$5100,2),IF(F889&gt;0,VLOOKUP(F889,КВР!A$1:B$5001,2),IF(E889&gt;0,VLOOKUP(E889,Направление!A$1:B$4830,2))))))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889" s="158"/>
      <c r="C889" s="153"/>
      <c r="D889" s="154"/>
      <c r="E889" s="153">
        <v>70650</v>
      </c>
      <c r="F889" s="155"/>
      <c r="G889" s="504">
        <v>2166960</v>
      </c>
      <c r="H889" s="159">
        <f>H890</f>
        <v>0</v>
      </c>
      <c r="I889" s="161">
        <f t="shared" si="18"/>
        <v>2166960</v>
      </c>
    </row>
    <row r="890" spans="1:9" s="182" customFormat="1" ht="63" x14ac:dyDescent="0.25">
      <c r="A890" s="157" t="str">
        <f>IF(B890&gt;0,VLOOKUP(B890,КВСР!A370:B1535,2),IF(C890&gt;0,VLOOKUP(C890,КФСР!A370:B1882,2),IF(D890&gt;0,VLOOKUP(D890,Программа!A$1:B$5100,2),IF(F890&gt;0,VLOOKUP(F890,КВР!A$1:B$5001,2),IF(E890&gt;0,VLOOKUP(E890,Направление!A$1:B$4830,2))))))</f>
        <v>Предоставление субсидий бюджетным, автономным учреждениям и иным некоммерческим организациям</v>
      </c>
      <c r="B890" s="158"/>
      <c r="C890" s="153"/>
      <c r="D890" s="154"/>
      <c r="E890" s="153"/>
      <c r="F890" s="155">
        <v>600</v>
      </c>
      <c r="G890" s="521">
        <v>2166960</v>
      </c>
      <c r="H890" s="162"/>
      <c r="I890" s="161">
        <f t="shared" si="18"/>
        <v>2166960</v>
      </c>
    </row>
    <row r="891" spans="1:9" s="182" customFormat="1" ht="47.25" x14ac:dyDescent="0.25">
      <c r="A891" s="157" t="str">
        <f>IF(B891&gt;0,VLOOKUP(B891,КВСР!A371:B1536,2),IF(C891&gt;0,VLOOKUP(C891,КФСР!A371:B1883,2),IF(D891&gt;0,VLOOKUP(D891,Программа!A$1:B$5100,2),IF(F891&gt;0,VLOOKUP(F891,КВР!A$1:B$5001,2),IF(E891&gt;0,VLOOKUP(E891,Направление!A$1:B$4830,2))))))</f>
        <v>Расходы на обеспечение трудоустройства несовершеннолетних граждан на временные рабочие места</v>
      </c>
      <c r="B891" s="158"/>
      <c r="C891" s="153"/>
      <c r="D891" s="154"/>
      <c r="E891" s="153">
        <v>76150</v>
      </c>
      <c r="F891" s="155"/>
      <c r="G891" s="521">
        <v>371240</v>
      </c>
      <c r="H891" s="521">
        <f>H892</f>
        <v>0</v>
      </c>
      <c r="I891" s="521">
        <f>I892</f>
        <v>371240</v>
      </c>
    </row>
    <row r="892" spans="1:9" s="182" customFormat="1" ht="63" x14ac:dyDescent="0.25">
      <c r="A892" s="157" t="str">
        <f>IF(B892&gt;0,VLOOKUP(B892,КВСР!A372:B1537,2),IF(C892&gt;0,VLOOKUP(C892,КФСР!A372:B1884,2),IF(D892&gt;0,VLOOKUP(D892,Программа!A$1:B$5100,2),IF(F892&gt;0,VLOOKUP(F892,КВР!A$1:B$5001,2),IF(E892&gt;0,VLOOKUP(E892,Направление!A$1:B$4830,2))))))</f>
        <v>Предоставление субсидий бюджетным, автономным учреждениям и иным некоммерческим организациям</v>
      </c>
      <c r="B892" s="158"/>
      <c r="C892" s="153"/>
      <c r="D892" s="154"/>
      <c r="E892" s="153"/>
      <c r="F892" s="155">
        <v>600</v>
      </c>
      <c r="G892" s="521">
        <v>371240</v>
      </c>
      <c r="H892" s="162"/>
      <c r="I892" s="161">
        <f t="shared" si="18"/>
        <v>371240</v>
      </c>
    </row>
    <row r="893" spans="1:9" s="182" customFormat="1" ht="47.25" x14ac:dyDescent="0.25">
      <c r="A893" s="157" t="str">
        <f>IF(B893&gt;0,VLOOKUP(B893,КВСР!A373:B1538,2),IF(C893&gt;0,VLOOKUP(C893,КФСР!A373:B1885,2),IF(D893&gt;0,VLOOKUP(D893,Программа!A$1:B$5100,2),IF(F893&gt;0,VLOOKUP(F893,КВР!A$1:B$5001,2),IF(E893&gt;0,VLOOKUP(E893,Направление!A$1:B$4830,2))))))</f>
        <v>Расходы на обеспечение трудоустройства несовершеннолетних граждан на временные рабочие места</v>
      </c>
      <c r="B893" s="158"/>
      <c r="C893" s="153"/>
      <c r="D893" s="154"/>
      <c r="E893" s="153">
        <v>16151</v>
      </c>
      <c r="F893" s="155"/>
      <c r="G893" s="521">
        <v>552278</v>
      </c>
      <c r="H893" s="521">
        <f>H894</f>
        <v>0</v>
      </c>
      <c r="I893" s="521">
        <f>I894</f>
        <v>552278</v>
      </c>
    </row>
    <row r="894" spans="1:9" s="182" customFormat="1" ht="63" x14ac:dyDescent="0.25">
      <c r="A894" s="157" t="str">
        <f>IF(B894&gt;0,VLOOKUP(B894,КВСР!A374:B1539,2),IF(C894&gt;0,VLOOKUP(C894,КФСР!A374:B1886,2),IF(D894&gt;0,VLOOKUP(D894,Программа!A$1:B$5100,2),IF(F894&gt;0,VLOOKUP(F894,КВР!A$1:B$5001,2),IF(E894&gt;0,VLOOKUP(E894,Направление!A$1:B$4830,2))))))</f>
        <v>Предоставление субсидий бюджетным, автономным учреждениям и иным некоммерческим организациям</v>
      </c>
      <c r="B894" s="158"/>
      <c r="C894" s="153"/>
      <c r="D894" s="154"/>
      <c r="E894" s="153"/>
      <c r="F894" s="155">
        <v>600</v>
      </c>
      <c r="G894" s="521">
        <v>552278</v>
      </c>
      <c r="H894" s="162"/>
      <c r="I894" s="161">
        <f t="shared" si="18"/>
        <v>552278</v>
      </c>
    </row>
    <row r="895" spans="1:9" s="182" customFormat="1" ht="47.25" x14ac:dyDescent="0.25">
      <c r="A895" s="157" t="str">
        <f>IF(B895&gt;0,VLOOKUP(B895,КВСР!A371:B1536,2),IF(C895&gt;0,VLOOKUP(C895,КФСР!A371:B1883,2),IF(D895&gt;0,VLOOKUP(D895,Программа!A$1:B$5100,2),IF(F895&gt;0,VLOOKUP(F895,КВР!A$1:B$5001,2),IF(E895&gt;0,VLOOKUP(E895,Направление!A$1:B$4830,2))))))</f>
        <v>Обеспечение качества и доступности услуг(работ) в сфере молодежной политики</v>
      </c>
      <c r="B895" s="158"/>
      <c r="C895" s="153"/>
      <c r="D895" s="154" t="s">
        <v>3050</v>
      </c>
      <c r="E895" s="153"/>
      <c r="F895" s="155"/>
      <c r="G895" s="611">
        <v>90000</v>
      </c>
      <c r="H895" s="491">
        <f>H896+H898</f>
        <v>0</v>
      </c>
      <c r="I895" s="161">
        <f t="shared" si="18"/>
        <v>90000</v>
      </c>
    </row>
    <row r="896" spans="1:9" s="182" customFormat="1" ht="31.5" x14ac:dyDescent="0.25">
      <c r="A896" s="157" t="str">
        <f>IF(B896&gt;0,VLOOKUP(B896,КВСР!A372:B1537,2),IF(C896&gt;0,VLOOKUP(C896,КФСР!A372:B1884,2),IF(D896&gt;0,VLOOKUP(D896,Программа!A$1:B$5100,2),IF(F896&gt;0,VLOOKUP(F896,КВР!A$1:B$5001,2),IF(E896&gt;0,VLOOKUP(E896,Направление!A$1:B$4830,2))))))</f>
        <v xml:space="preserve">Выплата ежемесячных и разовых стипендий главы </v>
      </c>
      <c r="B896" s="158"/>
      <c r="C896" s="153"/>
      <c r="D896" s="154"/>
      <c r="E896" s="153">
        <v>12700</v>
      </c>
      <c r="F896" s="155"/>
      <c r="G896" s="611">
        <v>90000</v>
      </c>
      <c r="H896" s="491">
        <f>H897</f>
        <v>0</v>
      </c>
      <c r="I896" s="161">
        <f t="shared" si="18"/>
        <v>90000</v>
      </c>
    </row>
    <row r="897" spans="1:9" s="182" customFormat="1" ht="63" x14ac:dyDescent="0.25">
      <c r="A897" s="157" t="str">
        <f>IF(B897&gt;0,VLOOKUP(B897,КВСР!A373:B1538,2),IF(C897&gt;0,VLOOKUP(C897,КФСР!A373:B1885,2),IF(D897&gt;0,VLOOKUP(D897,Программа!A$1:B$5100,2),IF(F897&gt;0,VLOOKUP(F897,КВР!A$1:B$5001,2),IF(E897&gt;0,VLOOKUP(E897,Направление!A$1:B$4830,2))))))</f>
        <v>Предоставление субсидий бюджетным, автономным учреждениям и иным некоммерческим организациям</v>
      </c>
      <c r="B897" s="158"/>
      <c r="C897" s="153"/>
      <c r="D897" s="154"/>
      <c r="E897" s="153"/>
      <c r="F897" s="155">
        <v>600</v>
      </c>
      <c r="G897" s="521">
        <v>90000</v>
      </c>
      <c r="H897" s="162"/>
      <c r="I897" s="161">
        <f t="shared" si="18"/>
        <v>90000</v>
      </c>
    </row>
    <row r="898" spans="1:9" s="182" customFormat="1" ht="47.25" hidden="1" x14ac:dyDescent="0.25">
      <c r="A898" s="157" t="str">
        <f>IF(B898&gt;0,VLOOKUP(B898,КВСР!A374:B1539,2),IF(C898&gt;0,VLOOKUP(C898,КФСР!A374:B1886,2),IF(D898&gt;0,VLOOKUP(D898,Программа!A$1:B$5100,2),IF(F898&gt;0,VLOOKUP(F898,КВР!A$1:B$5001,2),IF(E898&gt;0,VLOOKUP(E898,Направление!A$1:B$4830,2))))))</f>
        <v xml:space="preserve">Обеспечение деятельности учреждений в сфере молодежной политики </v>
      </c>
      <c r="B898" s="158"/>
      <c r="C898" s="153"/>
      <c r="D898" s="154"/>
      <c r="E898" s="153">
        <v>14510</v>
      </c>
      <c r="F898" s="155"/>
      <c r="G898" s="611">
        <v>0</v>
      </c>
      <c r="H898" s="491">
        <f>H899</f>
        <v>0</v>
      </c>
      <c r="I898" s="161">
        <f t="shared" si="18"/>
        <v>0</v>
      </c>
    </row>
    <row r="899" spans="1:9" s="182" customFormat="1" ht="63" hidden="1" x14ac:dyDescent="0.25">
      <c r="A899" s="157" t="str">
        <f>IF(B899&gt;0,VLOOKUP(B899,КВСР!A374:B1539,2),IF(C899&gt;0,VLOOKUP(C899,КФСР!A374:B1886,2),IF(D899&gt;0,VLOOKUP(D899,Программа!A$1:B$5100,2),IF(F899&gt;0,VLOOKUP(F899,КВР!A$1:B$5001,2),IF(E899&gt;0,VLOOKUP(E899,Направление!A$1:B$4830,2))))))</f>
        <v>Предоставление субсидий бюджетным, автономным учреждениям и иным некоммерческим организациям</v>
      </c>
      <c r="B899" s="158"/>
      <c r="C899" s="153"/>
      <c r="D899" s="154"/>
      <c r="E899" s="153"/>
      <c r="F899" s="155">
        <v>600</v>
      </c>
      <c r="G899" s="521">
        <v>0</v>
      </c>
      <c r="H899" s="162"/>
      <c r="I899" s="161">
        <f t="shared" si="18"/>
        <v>0</v>
      </c>
    </row>
    <row r="900" spans="1:9" s="182" customFormat="1" ht="94.5" x14ac:dyDescent="0.25">
      <c r="A900" s="157" t="str">
        <f>IF(B900&gt;0,VLOOKUP(B900,КВСР!A371:B1536,2),IF(C900&gt;0,VLOOKUP(C900,КФСР!A371:B1883,2),IF(D900&gt;0,VLOOKUP(D900,Программа!A$1:B$5100,2),IF(F900&gt;0,VLOOKUP(F900,КВР!A$1:B$5001,2),IF(E900&gt;0,VLOOKUP(E900,Направление!A$1:B$4830,2))))))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00" s="158"/>
      <c r="C900" s="153"/>
      <c r="D900" s="154" t="s">
        <v>718</v>
      </c>
      <c r="E900" s="153"/>
      <c r="F900" s="155"/>
      <c r="G900" s="611">
        <v>251000</v>
      </c>
      <c r="H900" s="161">
        <f>H901</f>
        <v>0</v>
      </c>
      <c r="I900" s="161">
        <f t="shared" si="18"/>
        <v>251000</v>
      </c>
    </row>
    <row r="901" spans="1:9" s="182" customFormat="1" ht="78.75" x14ac:dyDescent="0.25">
      <c r="A901" s="157" t="str">
        <f>IF(B901&gt;0,VLOOKUP(B901,КВСР!A372:B1537,2),IF(C901&gt;0,VLOOKUP(C901,КФСР!A372:B1884,2),IF(D901&gt;0,VLOOKUP(D901,Программа!A$1:B$5100,2),IF(F901&gt;0,VLOOKUP(F901,КВР!A$1:B$5001,2),IF(E901&gt;0,VLOOKUP(E901,Направление!A$1:B$4830,2))))))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01" s="158"/>
      <c r="C901" s="153"/>
      <c r="D901" s="154" t="s">
        <v>720</v>
      </c>
      <c r="E901" s="153"/>
      <c r="F901" s="155"/>
      <c r="G901" s="611">
        <v>251000</v>
      </c>
      <c r="H901" s="161">
        <f>H902+H904</f>
        <v>0</v>
      </c>
      <c r="I901" s="161">
        <f t="shared" si="18"/>
        <v>251000</v>
      </c>
    </row>
    <row r="902" spans="1:9" s="182" customFormat="1" ht="31.5" x14ac:dyDescent="0.25">
      <c r="A902" s="157" t="str">
        <f>IF(B902&gt;0,VLOOKUP(B902,КВСР!A374:B1539,2),IF(C902&gt;0,VLOOKUP(C902,КФСР!A374:B1886,2),IF(D902&gt;0,VLOOKUP(D902,Программа!A$1:B$5100,2),IF(F902&gt;0,VLOOKUP(F902,КВР!A$1:B$5001,2),IF(E902&gt;0,VLOOKUP(E902,Направление!A$1:B$4830,2))))))</f>
        <v>Мероприятия по патриотическому воспитанию граждан</v>
      </c>
      <c r="B902" s="158"/>
      <c r="C902" s="153"/>
      <c r="D902" s="154"/>
      <c r="E902" s="153">
        <v>14880</v>
      </c>
      <c r="F902" s="155"/>
      <c r="G902" s="611">
        <v>200000</v>
      </c>
      <c r="H902" s="161">
        <f>H903</f>
        <v>0</v>
      </c>
      <c r="I902" s="161">
        <f t="shared" si="18"/>
        <v>200000</v>
      </c>
    </row>
    <row r="903" spans="1:9" s="182" customFormat="1" ht="63" x14ac:dyDescent="0.25">
      <c r="A903" s="157" t="str">
        <f>IF(B903&gt;0,VLOOKUP(B903,КВСР!A375:B1540,2),IF(C903&gt;0,VLOOKUP(C903,КФСР!A375:B1887,2),IF(D903&gt;0,VLOOKUP(D903,Программа!A$1:B$5100,2),IF(F903&gt;0,VLOOKUP(F903,КВР!A$1:B$5001,2),IF(E903&gt;0,VLOOKUP(E903,Направление!A$1:B$4830,2))))))</f>
        <v>Предоставление субсидий бюджетным, автономным учреждениям и иным некоммерческим организациям</v>
      </c>
      <c r="B903" s="158"/>
      <c r="C903" s="153"/>
      <c r="D903" s="154"/>
      <c r="E903" s="153"/>
      <c r="F903" s="155">
        <v>600</v>
      </c>
      <c r="G903" s="162">
        <v>200000</v>
      </c>
      <c r="H903" s="162"/>
      <c r="I903" s="161">
        <f t="shared" si="18"/>
        <v>200000</v>
      </c>
    </row>
    <row r="904" spans="1:9" s="182" customFormat="1" ht="31.5" x14ac:dyDescent="0.25">
      <c r="A904" s="157" t="str">
        <f>IF(B904&gt;0,VLOOKUP(B904,КВСР!A376:B1541,2),IF(C904&gt;0,VLOOKUP(C904,КФСР!A376:B1888,2),IF(D904&gt;0,VLOOKUP(D904,Программа!A$1:B$5100,2),IF(F904&gt;0,VLOOKUP(F904,КВР!A$1:B$5001,2),IF(E904&gt;0,VLOOKUP(E904,Направление!A$1:B$4830,2))))))</f>
        <v>Мероприятия по патриотическому воспитанию граждан</v>
      </c>
      <c r="B904" s="158"/>
      <c r="C904" s="153"/>
      <c r="D904" s="154"/>
      <c r="E904" s="153">
        <v>74880</v>
      </c>
      <c r="F904" s="155"/>
      <c r="G904" s="745">
        <v>51000</v>
      </c>
      <c r="H904" s="745">
        <f>H905</f>
        <v>0</v>
      </c>
      <c r="I904" s="161">
        <f t="shared" si="18"/>
        <v>51000</v>
      </c>
    </row>
    <row r="905" spans="1:9" s="182" customFormat="1" ht="63" x14ac:dyDescent="0.25">
      <c r="A905" s="157" t="str">
        <f>IF(B905&gt;0,VLOOKUP(B905,КВСР!A377:B1542,2),IF(C905&gt;0,VLOOKUP(C905,КФСР!A377:B1889,2),IF(D905&gt;0,VLOOKUP(D905,Программа!A$1:B$5100,2),IF(F905&gt;0,VLOOKUP(F905,КВР!A$1:B$5001,2),IF(E905&gt;0,VLOOKUP(E905,Направление!A$1:B$4830,2))))))</f>
        <v>Предоставление субсидий бюджетным, автономным учреждениям и иным некоммерческим организациям</v>
      </c>
      <c r="B905" s="158"/>
      <c r="C905" s="153"/>
      <c r="D905" s="154"/>
      <c r="E905" s="153"/>
      <c r="F905" s="155">
        <v>600</v>
      </c>
      <c r="G905" s="491">
        <v>51000</v>
      </c>
      <c r="H905" s="162"/>
      <c r="I905" s="161">
        <f t="shared" si="18"/>
        <v>51000</v>
      </c>
    </row>
    <row r="906" spans="1:9" s="182" customFormat="1" ht="63" x14ac:dyDescent="0.25">
      <c r="A906" s="157" t="str">
        <f>IF(B906&gt;0,VLOOKUP(B906,КВСР!A376:B1541,2),IF(C906&gt;0,VLOOKUP(C906,КФСР!A376:B1888,2),IF(D906&gt;0,VLOOKUP(D906,Программа!A$1:B$5100,2),IF(F906&gt;0,VLOOKUP(F906,КВР!A$1:B$5001,2),IF(E906&gt;0,VLOOKUP(E906,Направление!A$1:B$4830,2))))))</f>
        <v>Муниципальная целевая программа «Комплексные меры противодействия злоупотреблению наркотиками и их незаконному обороту»</v>
      </c>
      <c r="B906" s="158"/>
      <c r="C906" s="153"/>
      <c r="D906" s="154" t="s">
        <v>723</v>
      </c>
      <c r="E906" s="153"/>
      <c r="F906" s="155"/>
      <c r="G906" s="611">
        <v>60000</v>
      </c>
      <c r="H906" s="161">
        <f>H907</f>
        <v>0</v>
      </c>
      <c r="I906" s="161">
        <f t="shared" si="18"/>
        <v>60000</v>
      </c>
    </row>
    <row r="907" spans="1:9" s="182" customFormat="1" ht="47.25" x14ac:dyDescent="0.25">
      <c r="A907" s="157" t="str">
        <f>IF(B907&gt;0,VLOOKUP(B907,КВСР!A377:B1542,2),IF(C907&gt;0,VLOOKUP(C907,КФСР!A377:B1889,2),IF(D907&gt;0,VLOOKUP(D907,Программа!A$1:B$5100,2),IF(F907&gt;0,VLOOKUP(F907,КВР!A$1:B$5001,2),IF(E907&gt;0,VLOOKUP(E907,Направление!A$1:B$4830,2))))))</f>
        <v>Развитие системы профилактики немедицинского потребления наркотиков</v>
      </c>
      <c r="B907" s="158"/>
      <c r="C907" s="153"/>
      <c r="D907" s="154" t="s">
        <v>725</v>
      </c>
      <c r="E907" s="153"/>
      <c r="F907" s="155"/>
      <c r="G907" s="611">
        <v>60000</v>
      </c>
      <c r="H907" s="161">
        <f>H908</f>
        <v>0</v>
      </c>
      <c r="I907" s="161">
        <f t="shared" si="18"/>
        <v>60000</v>
      </c>
    </row>
    <row r="908" spans="1:9" s="182" customFormat="1" ht="63" x14ac:dyDescent="0.25">
      <c r="A908" s="157" t="str">
        <f>IF(B908&gt;0,VLOOKUP(B908,КВСР!A378:B1543,2),IF(C908&gt;0,VLOOKUP(C908,КФСР!A378:B1890,2),IF(D908&gt;0,VLOOKUP(D908,Программа!A$1:B$5100,2),IF(F908&gt;0,VLOOKUP(F908,КВР!A$1:B$5001,2),IF(E908&gt;0,VLOOKUP(E908,Направление!A$1:B$4830,2))))))</f>
        <v>Расходы на реализацию  МЦП "Комплексные меры противодействия злоупотреблению наркотиками и их незаконному обороту"</v>
      </c>
      <c r="B908" s="184"/>
      <c r="C908" s="179"/>
      <c r="D908" s="178"/>
      <c r="E908" s="179">
        <v>13820</v>
      </c>
      <c r="F908" s="181"/>
      <c r="G908" s="504">
        <v>60000</v>
      </c>
      <c r="H908" s="159">
        <f>H909</f>
        <v>0</v>
      </c>
      <c r="I908" s="161">
        <f t="shared" si="18"/>
        <v>60000</v>
      </c>
    </row>
    <row r="909" spans="1:9" s="182" customFormat="1" ht="63" x14ac:dyDescent="0.25">
      <c r="A909" s="157" t="str">
        <f>IF(B909&gt;0,VLOOKUP(B909,КВСР!A379:B1544,2),IF(C909&gt;0,VLOOKUP(C909,КФСР!A379:B1891,2),IF(D909&gt;0,VLOOKUP(D909,Программа!A$1:B$5100,2),IF(F909&gt;0,VLOOKUP(F909,КВР!A$1:B$5001,2),IF(E909&gt;0,VLOOKUP(E909,Направление!A$1:B$4830,2))))))</f>
        <v>Предоставление субсидий бюджетным, автономным учреждениям и иным некоммерческим организациям</v>
      </c>
      <c r="B909" s="158"/>
      <c r="C909" s="153"/>
      <c r="D909" s="154"/>
      <c r="E909" s="153"/>
      <c r="F909" s="155">
        <v>600</v>
      </c>
      <c r="G909" s="162">
        <v>60000</v>
      </c>
      <c r="H909" s="162"/>
      <c r="I909" s="161">
        <f t="shared" si="18"/>
        <v>60000</v>
      </c>
    </row>
    <row r="910" spans="1:9" s="182" customFormat="1" ht="31.5" hidden="1" x14ac:dyDescent="0.25">
      <c r="A910" s="157" t="str">
        <f>IF(B910&gt;0,VLOOKUP(B910,КВСР!A376:B1541,2),IF(C910&gt;0,VLOOKUP(C910,КФСР!A376:B1888,2),IF(D910&gt;0,VLOOKUP(D910,Программа!A$1:B$5100,2),IF(F910&gt;0,VLOOKUP(F910,КВР!A$1:B$5001,2),IF(E910&gt;0,VLOOKUP(E910,Направление!A$1:B$4830,2))))))</f>
        <v>Муниципальная программа "Доступная среда "</v>
      </c>
      <c r="B910" s="158"/>
      <c r="C910" s="153"/>
      <c r="D910" s="154" t="s">
        <v>833</v>
      </c>
      <c r="E910" s="153"/>
      <c r="F910" s="155"/>
      <c r="G910" s="611">
        <v>0</v>
      </c>
      <c r="H910" s="161">
        <f>H911</f>
        <v>0</v>
      </c>
      <c r="I910" s="161">
        <f t="shared" si="18"/>
        <v>0</v>
      </c>
    </row>
    <row r="911" spans="1:9" s="182" customFormat="1" ht="78.75" hidden="1" x14ac:dyDescent="0.25">
      <c r="A911" s="157" t="str">
        <f>IF(B911&gt;0,VLOOKUP(B911,КВСР!A377:B1542,2),IF(C911&gt;0,VLOOKUP(C911,КФСР!A377:B1889,2),IF(D911&gt;0,VLOOKUP(D911,Программа!A$1:B$5100,2),IF(F911&gt;0,VLOOKUP(F911,КВР!A$1:B$5001,2),IF(E911&gt;0,VLOOKUP(E911,Направление!A$1:B$4830,2))))))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11" s="158"/>
      <c r="C911" s="153"/>
      <c r="D911" s="154" t="s">
        <v>835</v>
      </c>
      <c r="E911" s="153"/>
      <c r="F911" s="155"/>
      <c r="G911" s="611">
        <v>0</v>
      </c>
      <c r="H911" s="161">
        <f>H912</f>
        <v>0</v>
      </c>
      <c r="I911" s="161">
        <f t="shared" si="18"/>
        <v>0</v>
      </c>
    </row>
    <row r="912" spans="1:9" s="182" customFormat="1" ht="63" hidden="1" x14ac:dyDescent="0.25">
      <c r="A912" s="157" t="str">
        <f>IF(B912&gt;0,VLOOKUP(B912,КВСР!A378:B1543,2),IF(C912&gt;0,VLOOKUP(C912,КФСР!A378:B1890,2),IF(D912&gt;0,VLOOKUP(D912,Программа!A$1:B$5100,2),IF(F912&gt;0,VLOOKUP(F912,КВР!A$1:B$5001,2),IF(E912&gt;0,VLOOKUP(E912,Направление!A$1:B$4830,2))))))</f>
        <v>Расходы на оборудование социально значимых объектов с целью обеспечения доступности для инвалидов</v>
      </c>
      <c r="B912" s="158"/>
      <c r="C912" s="153"/>
      <c r="D912" s="154"/>
      <c r="E912" s="153">
        <v>16500</v>
      </c>
      <c r="F912" s="155"/>
      <c r="G912" s="611">
        <v>0</v>
      </c>
      <c r="H912" s="161">
        <f>H913</f>
        <v>0</v>
      </c>
      <c r="I912" s="161">
        <f t="shared" si="18"/>
        <v>0</v>
      </c>
    </row>
    <row r="913" spans="1:9" s="182" customFormat="1" ht="63" hidden="1" x14ac:dyDescent="0.25">
      <c r="A913" s="157" t="str">
        <f>IF(B913&gt;0,VLOOKUP(B913,КВСР!A379:B1544,2),IF(C913&gt;0,VLOOKUP(C913,КФСР!A379:B1891,2),IF(D913&gt;0,VLOOKUP(D913,Программа!A$1:B$5100,2),IF(F913&gt;0,VLOOKUP(F913,КВР!A$1:B$5001,2),IF(E913&gt;0,VLOOKUP(E913,Направление!A$1:B$4830,2))))))</f>
        <v>Предоставление субсидий бюджетным, автономным учреждениям и иным некоммерческим организациям</v>
      </c>
      <c r="B913" s="158"/>
      <c r="C913" s="153"/>
      <c r="D913" s="155"/>
      <c r="E913" s="153"/>
      <c r="F913" s="155">
        <v>600</v>
      </c>
      <c r="G913" s="521">
        <v>0</v>
      </c>
      <c r="H913" s="162"/>
      <c r="I913" s="161">
        <f t="shared" si="18"/>
        <v>0</v>
      </c>
    </row>
    <row r="914" spans="1:9" s="182" customFormat="1" x14ac:dyDescent="0.25">
      <c r="A914" s="157" t="str">
        <f>IF(B914&gt;0,VLOOKUP(B914,КВСР!A386:B1551,2),IF(C914&gt;0,VLOOKUP(C914,КФСР!A386:B1898,2),IF(D914&gt;0,VLOOKUP(D914,Программа!A$1:B$5100,2),IF(F914&gt;0,VLOOKUP(F914,КВР!A$1:B$5001,2),IF(E914&gt;0,VLOOKUP(E914,Направление!A$1:B$4830,2))))))</f>
        <v>Культура</v>
      </c>
      <c r="B914" s="158"/>
      <c r="C914" s="153">
        <v>801</v>
      </c>
      <c r="D914" s="174"/>
      <c r="E914" s="172"/>
      <c r="F914" s="173"/>
      <c r="G914" s="611">
        <v>104695187</v>
      </c>
      <c r="H914" s="161">
        <f>H915+H958+H950</f>
        <v>3517289</v>
      </c>
      <c r="I914" s="161">
        <f t="shared" si="18"/>
        <v>108212476</v>
      </c>
    </row>
    <row r="915" spans="1:9" s="182" customFormat="1" ht="63" x14ac:dyDescent="0.25">
      <c r="A915" s="157" t="str">
        <f>IF(B915&gt;0,VLOOKUP(B915,КВСР!A387:B1552,2),IF(C915&gt;0,VLOOKUP(C915,КФСР!A387:B1899,2),IF(D915&gt;0,VLOOKUP(D915,Программа!A$1:B$5100,2),IF(F915&gt;0,VLOOKUP(F915,КВР!A$1:B$5001,2),IF(E915&gt;0,VLOOKUP(E915,Направление!A$1:B$4830,2))))))</f>
        <v>Муниципальная программа  "Развитие культуры, туризма и молодежной политики в Тутаевском муниципальном районе"</v>
      </c>
      <c r="B915" s="158"/>
      <c r="C915" s="153"/>
      <c r="D915" s="174" t="s">
        <v>716</v>
      </c>
      <c r="E915" s="172"/>
      <c r="F915" s="173"/>
      <c r="G915" s="611">
        <v>104635187</v>
      </c>
      <c r="H915" s="161">
        <f>H920+H916</f>
        <v>3567289</v>
      </c>
      <c r="I915" s="161">
        <f t="shared" si="18"/>
        <v>108202476</v>
      </c>
    </row>
    <row r="916" spans="1:9" s="182" customFormat="1" ht="94.5" x14ac:dyDescent="0.25">
      <c r="A916" s="157" t="str">
        <f>IF(B916&gt;0,VLOOKUP(B916,КВСР!A388:B1553,2),IF(C916&gt;0,VLOOKUP(C916,КФСР!A388:B1900,2),IF(D916&gt;0,VLOOKUP(D916,Программа!A$1:B$5100,2),IF(F916&gt;0,VLOOKUP(F916,КВР!A$1:B$5001,2),IF(E916&gt;0,VLOOKUP(E916,Направление!A$1:B$4830,2))))))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16" s="158"/>
      <c r="C916" s="153"/>
      <c r="D916" s="174" t="s">
        <v>718</v>
      </c>
      <c r="E916" s="172"/>
      <c r="F916" s="173"/>
      <c r="G916" s="611">
        <v>18000</v>
      </c>
      <c r="H916" s="611">
        <f>H917</f>
        <v>0</v>
      </c>
      <c r="I916" s="161">
        <f t="shared" si="18"/>
        <v>18000</v>
      </c>
    </row>
    <row r="917" spans="1:9" s="182" customFormat="1" ht="78.75" x14ac:dyDescent="0.25">
      <c r="A917" s="157" t="str">
        <f>IF(B917&gt;0,VLOOKUP(B917,КВСР!A389:B1554,2),IF(C917&gt;0,VLOOKUP(C917,КФСР!A389:B1901,2),IF(D917&gt;0,VLOOKUP(D917,Программа!A$1:B$5100,2),IF(F917&gt;0,VLOOKUP(F917,КВР!A$1:B$5001,2),IF(E917&gt;0,VLOOKUP(E917,Направление!A$1:B$4830,2))))))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17" s="158"/>
      <c r="C917" s="153"/>
      <c r="D917" s="174" t="s">
        <v>720</v>
      </c>
      <c r="E917" s="172"/>
      <c r="F917" s="173"/>
      <c r="G917" s="611">
        <v>18000</v>
      </c>
      <c r="H917" s="611">
        <f>H918</f>
        <v>0</v>
      </c>
      <c r="I917" s="161">
        <f t="shared" si="18"/>
        <v>18000</v>
      </c>
    </row>
    <row r="918" spans="1:9" s="182" customFormat="1" ht="31.5" x14ac:dyDescent="0.25">
      <c r="A918" s="157" t="str">
        <f>IF(B918&gt;0,VLOOKUP(B918,КВСР!A390:B1555,2),IF(C918&gt;0,VLOOKUP(C918,КФСР!A390:B1902,2),IF(D918&gt;0,VLOOKUP(D918,Программа!A$1:B$5100,2),IF(F918&gt;0,VLOOKUP(F918,КВР!A$1:B$5001,2),IF(E918&gt;0,VLOOKUP(E918,Направление!A$1:B$4830,2))))))</f>
        <v>Мероприятия по патриотическому воспитанию граждан</v>
      </c>
      <c r="B918" s="158"/>
      <c r="C918" s="153"/>
      <c r="D918" s="174"/>
      <c r="E918" s="172">
        <v>74880</v>
      </c>
      <c r="F918" s="173"/>
      <c r="G918" s="611">
        <v>18000</v>
      </c>
      <c r="H918" s="611">
        <f>H919</f>
        <v>0</v>
      </c>
      <c r="I918" s="161">
        <f t="shared" si="18"/>
        <v>18000</v>
      </c>
    </row>
    <row r="919" spans="1:9" s="182" customFormat="1" ht="63" x14ac:dyDescent="0.25">
      <c r="A919" s="157" t="str">
        <f>IF(B919&gt;0,VLOOKUP(B919,КВСР!A391:B1556,2),IF(C919&gt;0,VLOOKUP(C919,КФСР!A391:B1903,2),IF(D919&gt;0,VLOOKUP(D919,Программа!A$1:B$5100,2),IF(F919&gt;0,VLOOKUP(F919,КВР!A$1:B$5001,2),IF(E919&gt;0,VLOOKUP(E919,Направление!A$1:B$4830,2))))))</f>
        <v>Предоставление субсидий бюджетным, автономным учреждениям и иным некоммерческим организациям</v>
      </c>
      <c r="B919" s="158"/>
      <c r="C919" s="153"/>
      <c r="D919" s="174"/>
      <c r="E919" s="172"/>
      <c r="F919" s="173">
        <v>600</v>
      </c>
      <c r="G919" s="611">
        <v>18000</v>
      </c>
      <c r="H919" s="161"/>
      <c r="I919" s="161">
        <f t="shared" si="18"/>
        <v>18000</v>
      </c>
    </row>
    <row r="920" spans="1:9" s="182" customFormat="1" ht="47.25" x14ac:dyDescent="0.25">
      <c r="A920" s="157" t="str">
        <f>IF(B920&gt;0,VLOOKUP(B920,КВСР!A388:B1553,2),IF(C920&gt;0,VLOOKUP(C920,КФСР!A388:B1900,2),IF(D920&gt;0,VLOOKUP(D920,Программа!A$1:B$5100,2),IF(F920&gt;0,VLOOKUP(F920,КВР!A$1:B$5001,2),IF(E920&gt;0,VLOOKUP(E920,Направление!A$1:B$4830,2))))))</f>
        <v>Ведомственная целевая программа «Сохранение и развитие культуры Тутаевского муниципального района»</v>
      </c>
      <c r="B920" s="158"/>
      <c r="C920" s="153"/>
      <c r="D920" s="174" t="s">
        <v>819</v>
      </c>
      <c r="E920" s="172"/>
      <c r="F920" s="173"/>
      <c r="G920" s="611">
        <v>104617187</v>
      </c>
      <c r="H920" s="161">
        <f>H921+H937</f>
        <v>3567289</v>
      </c>
      <c r="I920" s="161">
        <f t="shared" si="18"/>
        <v>108184476</v>
      </c>
    </row>
    <row r="921" spans="1:9" s="182" customFormat="1" ht="31.5" x14ac:dyDescent="0.25">
      <c r="A921" s="157" t="str">
        <f>IF(B921&gt;0,VLOOKUP(B921,КВСР!A389:B1554,2),IF(C921&gt;0,VLOOKUP(C921,КФСР!A389:B1901,2),IF(D921&gt;0,VLOOKUP(D921,Программа!A$1:B$5100,2),IF(F921&gt;0,VLOOKUP(F921,КВР!A$1:B$5001,2),IF(E921&gt;0,VLOOKUP(E921,Направление!A$1:B$4830,2))))))</f>
        <v>Содействие доступу граждан к культурным ценностям</v>
      </c>
      <c r="B921" s="158"/>
      <c r="C921" s="153"/>
      <c r="D921" s="174" t="s">
        <v>838</v>
      </c>
      <c r="E921" s="172"/>
      <c r="F921" s="173"/>
      <c r="G921" s="611">
        <v>83860015</v>
      </c>
      <c r="H921" s="161">
        <f>H924+H929+H922+H927+H931+H935+H933</f>
        <v>2441178</v>
      </c>
      <c r="I921" s="161">
        <f t="shared" si="18"/>
        <v>86301193</v>
      </c>
    </row>
    <row r="922" spans="1:9" s="182" customFormat="1" ht="31.5" x14ac:dyDescent="0.25">
      <c r="A922" s="157" t="str">
        <f>IF(B922&gt;0,VLOOKUP(B922,КВСР!A389:B1554,2),IF(C922&gt;0,VLOOKUP(C922,КФСР!A389:B1901,2),IF(D922&gt;0,VLOOKUP(D922,Программа!A$1:B$5100,2),IF(F922&gt;0,VLOOKUP(F922,КВР!A$1:B$5001,2),IF(E922&gt;0,VLOOKUP(E922,Направление!A$1:B$4830,2))))))</f>
        <v xml:space="preserve">Выплата ежемесячных и разовых стипендий главы </v>
      </c>
      <c r="B922" s="158"/>
      <c r="C922" s="153"/>
      <c r="D922" s="174"/>
      <c r="E922" s="172">
        <v>12700</v>
      </c>
      <c r="F922" s="173"/>
      <c r="G922" s="611">
        <v>40000</v>
      </c>
      <c r="H922" s="161">
        <f>H923</f>
        <v>0</v>
      </c>
      <c r="I922" s="161">
        <f t="shared" si="18"/>
        <v>40000</v>
      </c>
    </row>
    <row r="923" spans="1:9" s="182" customFormat="1" ht="63" x14ac:dyDescent="0.25">
      <c r="A923" s="157" t="str">
        <f>IF(B923&gt;0,VLOOKUP(B923,КВСР!A390:B1555,2),IF(C923&gt;0,VLOOKUP(C923,КФСР!A390:B1902,2),IF(D923&gt;0,VLOOKUP(D923,Программа!A$1:B$5100,2),IF(F923&gt;0,VLOOKUP(F923,КВР!A$1:B$5001,2),IF(E923&gt;0,VLOOKUP(E923,Направление!A$1:B$4830,2))))))</f>
        <v>Предоставление субсидий бюджетным, автономным учреждениям и иным некоммерческим организациям</v>
      </c>
      <c r="B923" s="158"/>
      <c r="C923" s="153"/>
      <c r="D923" s="173"/>
      <c r="E923" s="172"/>
      <c r="F923" s="173">
        <v>600</v>
      </c>
      <c r="G923" s="644">
        <v>40000</v>
      </c>
      <c r="H923" s="163"/>
      <c r="I923" s="161">
        <f t="shared" si="18"/>
        <v>40000</v>
      </c>
    </row>
    <row r="924" spans="1:9" s="182" customFormat="1" ht="47.25" x14ac:dyDescent="0.25">
      <c r="A924" s="157" t="str">
        <f>IF(B924&gt;0,VLOOKUP(B924,КВСР!A389:B1554,2),IF(C924&gt;0,VLOOKUP(C924,КФСР!A389:B1901,2),IF(D924&gt;0,VLOOKUP(D924,Программа!A$1:B$5100,2),IF(F924&gt;0,VLOOKUP(F924,КВР!A$1:B$5001,2),IF(E924&gt;0,VLOOKUP(E924,Направление!A$1:B$4830,2))))))</f>
        <v>Обеспечение деятельности учреждений по организации досуга в сфере культуры</v>
      </c>
      <c r="B924" s="158"/>
      <c r="C924" s="153"/>
      <c r="D924" s="174"/>
      <c r="E924" s="172">
        <v>15010</v>
      </c>
      <c r="F924" s="173"/>
      <c r="G924" s="611">
        <v>78811645</v>
      </c>
      <c r="H924" s="161">
        <f>H926+H925</f>
        <v>2345145</v>
      </c>
      <c r="I924" s="161">
        <f t="shared" si="18"/>
        <v>81156790</v>
      </c>
    </row>
    <row r="925" spans="1:9" s="182" customFormat="1" ht="47.25" x14ac:dyDescent="0.25">
      <c r="A925" s="157" t="str">
        <f>IF(B925&gt;0,VLOOKUP(B925,КВСР!A390:B1555,2),IF(C925&gt;0,VLOOKUP(C925,КФСР!A390:B1902,2),IF(D925&gt;0,VLOOKUP(D925,Программа!A$1:B$5100,2),IF(F925&gt;0,VLOOKUP(F925,КВР!A$1:B$5001,2),IF(E925&gt;0,VLOOKUP(E925,Направление!A$1:B$4830,2))))))</f>
        <v>Капитальные вложения в объекты государственной (муниципальной) собственности</v>
      </c>
      <c r="B925" s="158"/>
      <c r="C925" s="153"/>
      <c r="D925" s="174"/>
      <c r="E925" s="172"/>
      <c r="F925" s="173">
        <v>400</v>
      </c>
      <c r="G925" s="611">
        <v>43073</v>
      </c>
      <c r="H925" s="161"/>
      <c r="I925" s="161">
        <f t="shared" si="18"/>
        <v>43073</v>
      </c>
    </row>
    <row r="926" spans="1:9" s="182" customFormat="1" ht="63" x14ac:dyDescent="0.25">
      <c r="A926" s="157" t="str">
        <f>IF(B926&gt;0,VLOOKUP(B926,КВСР!A390:B1555,2),IF(C926&gt;0,VLOOKUP(C926,КФСР!A390:B1902,2),IF(D926&gt;0,VLOOKUP(D926,Программа!A$1:B$5100,2),IF(F926&gt;0,VLOOKUP(F926,КВР!A$1:B$5001,2),IF(E926&gt;0,VLOOKUP(E926,Направление!A$1:B$4830,2))))))</f>
        <v>Предоставление субсидий бюджетным, автономным учреждениям и иным некоммерческим организациям</v>
      </c>
      <c r="B926" s="158"/>
      <c r="C926" s="153"/>
      <c r="D926" s="173"/>
      <c r="E926" s="172"/>
      <c r="F926" s="173">
        <v>600</v>
      </c>
      <c r="G926" s="162">
        <v>78768572</v>
      </c>
      <c r="H926" s="162">
        <v>2345145</v>
      </c>
      <c r="I926" s="161">
        <f t="shared" si="18"/>
        <v>81113717</v>
      </c>
    </row>
    <row r="927" spans="1:9" s="182" customFormat="1" x14ac:dyDescent="0.25">
      <c r="A927" s="157" t="str">
        <f>IF(B927&gt;0,VLOOKUP(B927,КВСР!A393:B1558,2),IF(C927&gt;0,VLOOKUP(C927,КФСР!A393:B1905,2),IF(D927&gt;0,VLOOKUP(D927,Программа!A$1:B$5100,2),IF(F927&gt;0,VLOOKUP(F927,КВР!A$1:B$5001,2),IF(E927&gt;0,VLOOKUP(E927,Направление!A$1:B$4830,2))))))</f>
        <v>Мероприятия в сфере культуры</v>
      </c>
      <c r="B927" s="158"/>
      <c r="C927" s="153"/>
      <c r="D927" s="174"/>
      <c r="E927" s="172">
        <v>15220</v>
      </c>
      <c r="F927" s="173"/>
      <c r="G927" s="611">
        <v>2431829</v>
      </c>
      <c r="H927" s="161">
        <f>H928</f>
        <v>52480</v>
      </c>
      <c r="I927" s="161">
        <f t="shared" si="18"/>
        <v>2484309</v>
      </c>
    </row>
    <row r="928" spans="1:9" s="182" customFormat="1" ht="63" x14ac:dyDescent="0.25">
      <c r="A928" s="157" t="str">
        <f>IF(B928&gt;0,VLOOKUP(B928,КВСР!A394:B1559,2),IF(C928&gt;0,VLOOKUP(C928,КФСР!A394:B1906,2),IF(D928&gt;0,VLOOKUP(D928,Программа!A$1:B$5100,2),IF(F928&gt;0,VLOOKUP(F928,КВР!A$1:B$5001,2),IF(E928&gt;0,VLOOKUP(E928,Направление!A$1:B$4830,2))))))</f>
        <v>Предоставление субсидий бюджетным, автономным учреждениям и иным некоммерческим организациям</v>
      </c>
      <c r="B928" s="158"/>
      <c r="C928" s="153"/>
      <c r="D928" s="174"/>
      <c r="E928" s="172"/>
      <c r="F928" s="173">
        <v>600</v>
      </c>
      <c r="G928" s="162">
        <v>2431829</v>
      </c>
      <c r="H928" s="162">
        <v>52480</v>
      </c>
      <c r="I928" s="161">
        <f t="shared" si="18"/>
        <v>2484309</v>
      </c>
    </row>
    <row r="929" spans="1:9" s="182" customFormat="1" ht="31.5" x14ac:dyDescent="0.25">
      <c r="A929" s="157" t="str">
        <f>IF(B929&gt;0,VLOOKUP(B929,КВСР!A391:B1556,2),IF(C929&gt;0,VLOOKUP(C929,КФСР!A391:B1903,2),IF(D929&gt;0,VLOOKUP(D929,Программа!A$1:B$5100,2),IF(F929&gt;0,VLOOKUP(F929,КВР!A$1:B$5001,2),IF(E929&gt;0,VLOOKUP(E929,Направление!A$1:B$4830,2))))))</f>
        <v xml:space="preserve">Обеспечение культурно-досуговых мероприятий </v>
      </c>
      <c r="B929" s="158"/>
      <c r="C929" s="153"/>
      <c r="D929" s="174"/>
      <c r="E929" s="172">
        <v>29216</v>
      </c>
      <c r="F929" s="173"/>
      <c r="G929" s="611">
        <v>1700000</v>
      </c>
      <c r="H929" s="161">
        <f>H930</f>
        <v>0</v>
      </c>
      <c r="I929" s="161">
        <f t="shared" si="18"/>
        <v>1700000</v>
      </c>
    </row>
    <row r="930" spans="1:9" s="182" customFormat="1" ht="63" x14ac:dyDescent="0.25">
      <c r="A930" s="157" t="str">
        <f>IF(B930&gt;0,VLOOKUP(B930,КВСР!A392:B1557,2),IF(C930&gt;0,VLOOKUP(C930,КФСР!A392:B1904,2),IF(D930&gt;0,VLOOKUP(D930,Программа!A$1:B$5100,2),IF(F930&gt;0,VLOOKUP(F930,КВР!A$1:B$5001,2),IF(E930&gt;0,VLOOKUP(E930,Направление!A$1:B$4830,2))))))</f>
        <v>Предоставление субсидий бюджетным, автономным учреждениям и иным некоммерческим организациям</v>
      </c>
      <c r="B930" s="158"/>
      <c r="C930" s="153"/>
      <c r="D930" s="154"/>
      <c r="E930" s="153"/>
      <c r="F930" s="155">
        <v>600</v>
      </c>
      <c r="G930" s="521">
        <v>1700000</v>
      </c>
      <c r="H930" s="162"/>
      <c r="I930" s="161">
        <f t="shared" si="18"/>
        <v>1700000</v>
      </c>
    </row>
    <row r="931" spans="1:9" s="182" customFormat="1" x14ac:dyDescent="0.25">
      <c r="A931" s="157" t="str">
        <f>IF(B931&gt;0,VLOOKUP(B931,КВСР!A393:B1558,2),IF(C931&gt;0,VLOOKUP(C931,КФСР!A393:B1905,2),IF(D931&gt;0,VLOOKUP(D931,Программа!A$1:B$5100,2),IF(F931&gt;0,VLOOKUP(F931,КВР!A$1:B$5001,2),IF(E931&gt;0,VLOOKUP(E931,Направление!A$1:B$4830,2))))))</f>
        <v xml:space="preserve">Иная дотация </v>
      </c>
      <c r="B931" s="158"/>
      <c r="C931" s="153"/>
      <c r="D931" s="154"/>
      <c r="E931" s="153">
        <v>73260</v>
      </c>
      <c r="F931" s="155"/>
      <c r="G931" s="611">
        <v>826541</v>
      </c>
      <c r="H931" s="161">
        <f>H932</f>
        <v>0</v>
      </c>
      <c r="I931" s="161">
        <f t="shared" si="18"/>
        <v>826541</v>
      </c>
    </row>
    <row r="932" spans="1:9" s="182" customFormat="1" ht="63" x14ac:dyDescent="0.25">
      <c r="A932" s="157" t="str">
        <f>IF(B932&gt;0,VLOOKUP(B932,КВСР!A394:B1559,2),IF(C932&gt;0,VLOOKUP(C932,КФСР!A394:B1906,2),IF(D932&gt;0,VLOOKUP(D932,Программа!A$1:B$5100,2),IF(F932&gt;0,VLOOKUP(F932,КВР!A$1:B$5001,2),IF(E932&gt;0,VLOOKUP(E932,Направление!A$1:B$4830,2))))))</f>
        <v>Предоставление субсидий бюджетным, автономным учреждениям и иным некоммерческим организациям</v>
      </c>
      <c r="B932" s="158"/>
      <c r="C932" s="153"/>
      <c r="D932" s="154"/>
      <c r="E932" s="153"/>
      <c r="F932" s="155">
        <v>600</v>
      </c>
      <c r="G932" s="521">
        <v>826541</v>
      </c>
      <c r="H932" s="162"/>
      <c r="I932" s="161">
        <f t="shared" si="18"/>
        <v>826541</v>
      </c>
    </row>
    <row r="933" spans="1:9" s="182" customFormat="1" ht="94.5" x14ac:dyDescent="0.25">
      <c r="A933" s="157" t="str">
        <f>IF(B933&gt;0,VLOOKUP(B933,КВСР!A395:B1560,2),IF(C933&gt;0,VLOOKUP(C933,КФСР!A395:B1907,2),IF(D933&gt;0,VLOOKUP(D933,Программа!A$1:B$5100,2),IF(F933&gt;0,VLOOKUP(F933,КВР!A$1:B$5001,2),IF(E933&gt;0,VLOOKUP(E933,Направление!A$1:B$4830,2))))))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933" s="158"/>
      <c r="C933" s="153"/>
      <c r="D933" s="154"/>
      <c r="E933" s="153">
        <v>75870</v>
      </c>
      <c r="F933" s="155"/>
      <c r="G933" s="521">
        <f>G934</f>
        <v>0</v>
      </c>
      <c r="H933" s="521">
        <f t="shared" ref="H933:I933" si="19">H934</f>
        <v>43553</v>
      </c>
      <c r="I933" s="521">
        <f t="shared" si="19"/>
        <v>43553</v>
      </c>
    </row>
    <row r="934" spans="1:9" s="182" customFormat="1" ht="63" x14ac:dyDescent="0.25">
      <c r="A934" s="157" t="str">
        <f>IF(B934&gt;0,VLOOKUP(B934,КВСР!A396:B1561,2),IF(C934&gt;0,VLOOKUP(C934,КФСР!A396:B1908,2),IF(D934&gt;0,VLOOKUP(D934,Программа!A$1:B$5100,2),IF(F934&gt;0,VLOOKUP(F934,КВР!A$1:B$5001,2),IF(E934&gt;0,VLOOKUP(E934,Направление!A$1:B$4830,2))))))</f>
        <v>Предоставление субсидий бюджетным, автономным учреждениям и иным некоммерческим организациям</v>
      </c>
      <c r="B934" s="158"/>
      <c r="C934" s="153"/>
      <c r="D934" s="154"/>
      <c r="E934" s="153"/>
      <c r="F934" s="155">
        <v>600</v>
      </c>
      <c r="G934" s="521"/>
      <c r="H934" s="162">
        <v>43553</v>
      </c>
      <c r="I934" s="161">
        <f>G934+H934</f>
        <v>43553</v>
      </c>
    </row>
    <row r="935" spans="1:9" s="182" customFormat="1" ht="31.5" x14ac:dyDescent="0.25">
      <c r="A935" s="157" t="str">
        <f>IF(B935&gt;0,VLOOKUP(B935,КВСР!A395:B1560,2),IF(C935&gt;0,VLOOKUP(C935,КФСР!A395:B1907,2),IF(D935&gt;0,VLOOKUP(D935,Программа!A$1:B$5100,2),IF(F935&gt;0,VLOOKUP(F935,КВР!A$1:B$5001,2),IF(E935&gt;0,VLOOKUP(E935,Направление!A$1:B$4830,2))))))</f>
        <v>Расходы на поддержку отрасли культуры</v>
      </c>
      <c r="B935" s="158"/>
      <c r="C935" s="153"/>
      <c r="D935" s="154"/>
      <c r="E935" s="153" t="s">
        <v>3475</v>
      </c>
      <c r="F935" s="155"/>
      <c r="G935" s="521">
        <v>50000</v>
      </c>
      <c r="H935" s="521">
        <f>H936</f>
        <v>0</v>
      </c>
      <c r="I935" s="521">
        <f>I936</f>
        <v>50000</v>
      </c>
    </row>
    <row r="936" spans="1:9" s="182" customFormat="1" ht="63" x14ac:dyDescent="0.25">
      <c r="A936" s="157" t="str">
        <f>IF(B936&gt;0,VLOOKUP(B936,КВСР!A396:B1561,2),IF(C936&gt;0,VLOOKUP(C936,КФСР!A396:B1908,2),IF(D936&gt;0,VLOOKUP(D936,Программа!A$1:B$5100,2),IF(F936&gt;0,VLOOKUP(F936,КВР!A$1:B$5001,2),IF(E936&gt;0,VLOOKUP(E936,Направление!A$1:B$4830,2))))))</f>
        <v>Предоставление субсидий бюджетным, автономным учреждениям и иным некоммерческим организациям</v>
      </c>
      <c r="B936" s="158"/>
      <c r="C936" s="153"/>
      <c r="D936" s="154"/>
      <c r="E936" s="153"/>
      <c r="F936" s="155">
        <v>600</v>
      </c>
      <c r="G936" s="521">
        <v>50000</v>
      </c>
      <c r="H936" s="162"/>
      <c r="I936" s="161">
        <f t="shared" si="18"/>
        <v>50000</v>
      </c>
    </row>
    <row r="937" spans="1:9" s="182" customFormat="1" ht="47.25" x14ac:dyDescent="0.25">
      <c r="A937" s="157" t="str">
        <f>IF(B937&gt;0,VLOOKUP(B937,КВСР!A395:B1560,2),IF(C937&gt;0,VLOOKUP(C937,КФСР!A395:B1907,2),IF(D937&gt;0,VLOOKUP(D937,Программа!A$1:B$5100,2),IF(F937&gt;0,VLOOKUP(F937,КВР!A$1:B$5001,2),IF(E937&gt;0,VLOOKUP(E937,Направление!A$1:B$4830,2))))))</f>
        <v>Поддержка доступа граждан к информационно-библиотечным ресурсам</v>
      </c>
      <c r="B937" s="158"/>
      <c r="C937" s="153"/>
      <c r="D937" s="154" t="s">
        <v>843</v>
      </c>
      <c r="E937" s="153"/>
      <c r="F937" s="155"/>
      <c r="G937" s="611">
        <v>20757172</v>
      </c>
      <c r="H937" s="161">
        <f>H938+H942+H944+H946+H948+H940</f>
        <v>1126111</v>
      </c>
      <c r="I937" s="161">
        <f>I938+I942+I944+I946+I948+I940</f>
        <v>21883283</v>
      </c>
    </row>
    <row r="938" spans="1:9" s="182" customFormat="1" x14ac:dyDescent="0.25">
      <c r="A938" s="157" t="str">
        <f>IF(B938&gt;0,VLOOKUP(B938,КВСР!A396:B1561,2),IF(C938&gt;0,VLOOKUP(C938,КФСР!A396:B1908,2),IF(D938&gt;0,VLOOKUP(D938,Программа!A$1:B$5100,2),IF(F938&gt;0,VLOOKUP(F938,КВР!A$1:B$5001,2),IF(E938&gt;0,VLOOKUP(E938,Направление!A$1:B$4830,2))))))</f>
        <v>Обеспечение деятельности библиотек</v>
      </c>
      <c r="B938" s="158"/>
      <c r="C938" s="153"/>
      <c r="D938" s="154"/>
      <c r="E938" s="153">
        <v>15110</v>
      </c>
      <c r="F938" s="155"/>
      <c r="G938" s="611">
        <v>20270469</v>
      </c>
      <c r="H938" s="161">
        <f>H939</f>
        <v>1126111</v>
      </c>
      <c r="I938" s="161">
        <f t="shared" si="18"/>
        <v>21396580</v>
      </c>
    </row>
    <row r="939" spans="1:9" s="182" customFormat="1" ht="63" x14ac:dyDescent="0.25">
      <c r="A939" s="157" t="str">
        <f>IF(B939&gt;0,VLOOKUP(B939,КВСР!A397:B1562,2),IF(C939&gt;0,VLOOKUP(C939,КФСР!A397:B1909,2),IF(D939&gt;0,VLOOKUP(D939,Программа!A$1:B$5100,2),IF(F939&gt;0,VLOOKUP(F939,КВР!A$1:B$5001,2),IF(E939&gt;0,VLOOKUP(E939,Направление!A$1:B$4830,2))))))</f>
        <v>Предоставление субсидий бюджетным, автономным учреждениям и иным некоммерческим организациям</v>
      </c>
      <c r="B939" s="158"/>
      <c r="C939" s="153"/>
      <c r="D939" s="154"/>
      <c r="E939" s="153"/>
      <c r="F939" s="155">
        <v>600</v>
      </c>
      <c r="G939" s="162">
        <v>20270469</v>
      </c>
      <c r="H939" s="162">
        <v>1126111</v>
      </c>
      <c r="I939" s="161">
        <f t="shared" si="18"/>
        <v>21396580</v>
      </c>
    </row>
    <row r="940" spans="1:9" s="182" customFormat="1" ht="39.75" customHeight="1" x14ac:dyDescent="0.25">
      <c r="A940" s="157" t="str">
        <f>IF(B940&gt;0,VLOOKUP(B940,КВСР!A398:B1563,2),IF(C940&gt;0,VLOOKUP(C940,КФСР!A398:B1910,2),IF(D940&gt;0,VLOOKUP(D940,Программа!A$1:B$5100,2),IF(F940&gt;0,VLOOKUP(F940,КВР!A$1:B$5001,2),IF(E940&gt;0,VLOOKUP(E940,Направление!A$1:B$4830,2))))))</f>
        <v xml:space="preserve">Расходы на комплектование книжных фондов библиотек </v>
      </c>
      <c r="B940" s="158"/>
      <c r="C940" s="153"/>
      <c r="D940" s="154"/>
      <c r="E940" s="153">
        <v>15190</v>
      </c>
      <c r="F940" s="155"/>
      <c r="G940" s="491">
        <f>G941</f>
        <v>0</v>
      </c>
      <c r="H940" s="491">
        <f t="shared" ref="H940:I940" si="20">H941</f>
        <v>6880</v>
      </c>
      <c r="I940" s="491">
        <f t="shared" si="20"/>
        <v>6880</v>
      </c>
    </row>
    <row r="941" spans="1:9" s="182" customFormat="1" ht="63" x14ac:dyDescent="0.25">
      <c r="A941" s="157" t="str">
        <f>IF(B941&gt;0,VLOOKUP(B941,КВСР!A399:B1564,2),IF(C941&gt;0,VLOOKUP(C941,КФСР!A399:B1911,2),IF(D941&gt;0,VLOOKUP(D941,Программа!A$1:B$5100,2),IF(F941&gt;0,VLOOKUP(F941,КВР!A$1:B$5001,2),IF(E941&gt;0,VLOOKUP(E941,Направление!A$1:B$4830,2))))))</f>
        <v>Предоставление субсидий бюджетным, автономным учреждениям и иным некоммерческим организациям</v>
      </c>
      <c r="B941" s="158"/>
      <c r="C941" s="153"/>
      <c r="D941" s="154"/>
      <c r="E941" s="153"/>
      <c r="F941" s="155">
        <v>600</v>
      </c>
      <c r="G941" s="162"/>
      <c r="H941" s="162">
        <v>6880</v>
      </c>
      <c r="I941" s="161">
        <f>G941+H941</f>
        <v>6880</v>
      </c>
    </row>
    <row r="942" spans="1:9" s="182" customFormat="1" x14ac:dyDescent="0.25">
      <c r="A942" s="157" t="str">
        <f>IF(B942&gt;0,VLOOKUP(B942,КВСР!A398:B1563,2),IF(C942&gt;0,VLOOKUP(C942,КФСР!A398:B1910,2),IF(D942&gt;0,VLOOKUP(D942,Программа!A$1:B$5100,2),IF(F942&gt;0,VLOOKUP(F942,КВР!A$1:B$5001,2),IF(E942&gt;0,VLOOKUP(E942,Направление!A$1:B$4830,2))))))</f>
        <v>Мероприятия в сфере культуры</v>
      </c>
      <c r="B942" s="158"/>
      <c r="C942" s="153"/>
      <c r="D942" s="154"/>
      <c r="E942" s="153">
        <v>15220</v>
      </c>
      <c r="F942" s="155"/>
      <c r="G942" s="611">
        <v>170000</v>
      </c>
      <c r="H942" s="491">
        <f>H943</f>
        <v>0</v>
      </c>
      <c r="I942" s="161">
        <f t="shared" si="18"/>
        <v>170000</v>
      </c>
    </row>
    <row r="943" spans="1:9" s="182" customFormat="1" ht="63" x14ac:dyDescent="0.25">
      <c r="A943" s="157" t="str">
        <f>IF(B943&gt;0,VLOOKUP(B943,КВСР!A399:B1564,2),IF(C943&gt;0,VLOOKUP(C943,КФСР!A399:B1911,2),IF(D943&gt;0,VLOOKUP(D943,Программа!A$1:B$5100,2),IF(F943&gt;0,VLOOKUP(F943,КВР!A$1:B$5001,2),IF(E943&gt;0,VLOOKUP(E943,Направление!A$1:B$4830,2))))))</f>
        <v>Предоставление субсидий бюджетным, автономным учреждениям и иным некоммерческим организациям</v>
      </c>
      <c r="B943" s="158"/>
      <c r="C943" s="153"/>
      <c r="D943" s="154"/>
      <c r="E943" s="153"/>
      <c r="F943" s="155">
        <v>600</v>
      </c>
      <c r="G943" s="162">
        <v>170000</v>
      </c>
      <c r="H943" s="162"/>
      <c r="I943" s="161">
        <f t="shared" si="18"/>
        <v>170000</v>
      </c>
    </row>
    <row r="944" spans="1:9" s="182" customFormat="1" ht="31.5" x14ac:dyDescent="0.25">
      <c r="A944" s="157" t="str">
        <f>IF(B944&gt;0,VLOOKUP(B944,КВСР!A400:B1565,2),IF(C944&gt;0,VLOOKUP(C944,КФСР!A400:B1912,2),IF(D944&gt;0,VLOOKUP(D944,Программа!A$1:B$5100,2),IF(F944&gt;0,VLOOKUP(F944,КВР!A$1:B$5001,2),IF(E944&gt;0,VLOOKUP(E944,Направление!A$1:B$4830,2))))))</f>
        <v xml:space="preserve">Обеспечение культурно-досуговых мероприятий </v>
      </c>
      <c r="B944" s="158"/>
      <c r="C944" s="153"/>
      <c r="D944" s="154"/>
      <c r="E944" s="153">
        <v>29216</v>
      </c>
      <c r="F944" s="155"/>
      <c r="G944" s="162">
        <v>160000</v>
      </c>
      <c r="H944" s="162">
        <f>H945</f>
        <v>0</v>
      </c>
      <c r="I944" s="161">
        <f t="shared" si="18"/>
        <v>160000</v>
      </c>
    </row>
    <row r="945" spans="1:9" s="182" customFormat="1" ht="63" x14ac:dyDescent="0.25">
      <c r="A945" s="157" t="str">
        <f>IF(B945&gt;0,VLOOKUP(B945,КВСР!A401:B1566,2),IF(C945&gt;0,VLOOKUP(C945,КФСР!A401:B1913,2),IF(D945&gt;0,VLOOKUP(D945,Программа!A$1:B$5100,2),IF(F945&gt;0,VLOOKUP(F945,КВР!A$1:B$5001,2),IF(E945&gt;0,VLOOKUP(E945,Направление!A$1:B$4830,2))))))</f>
        <v>Предоставление субсидий бюджетным, автономным учреждениям и иным некоммерческим организациям</v>
      </c>
      <c r="B945" s="158"/>
      <c r="C945" s="153"/>
      <c r="D945" s="154"/>
      <c r="E945" s="153"/>
      <c r="F945" s="155">
        <v>600</v>
      </c>
      <c r="G945" s="162">
        <v>160000</v>
      </c>
      <c r="H945" s="162"/>
      <c r="I945" s="161">
        <f t="shared" si="18"/>
        <v>160000</v>
      </c>
    </row>
    <row r="946" spans="1:9" s="182" customFormat="1" x14ac:dyDescent="0.25">
      <c r="A946" s="157" t="str">
        <f>IF(B946&gt;0,VLOOKUP(B946,КВСР!A402:B1567,2),IF(C946&gt;0,VLOOKUP(C946,КФСР!A402:B1914,2),IF(D946&gt;0,VLOOKUP(D946,Программа!A$1:B$5100,2),IF(F946&gt;0,VLOOKUP(F946,КВР!A$1:B$5001,2),IF(E946&gt;0,VLOOKUP(E946,Направление!A$1:B$4830,2))))))</f>
        <v xml:space="preserve">Иная дотация </v>
      </c>
      <c r="B946" s="158"/>
      <c r="C946" s="153"/>
      <c r="D946" s="154"/>
      <c r="E946" s="153">
        <v>73260</v>
      </c>
      <c r="F946" s="155"/>
      <c r="G946" s="162">
        <v>69100</v>
      </c>
      <c r="H946" s="162">
        <f>H947</f>
        <v>0</v>
      </c>
      <c r="I946" s="161">
        <f t="shared" si="18"/>
        <v>69100</v>
      </c>
    </row>
    <row r="947" spans="1:9" s="182" customFormat="1" ht="63" x14ac:dyDescent="0.25">
      <c r="A947" s="157" t="str">
        <f>IF(B947&gt;0,VLOOKUP(B947,КВСР!A403:B1568,2),IF(C947&gt;0,VLOOKUP(C947,КФСР!A403:B1915,2),IF(D947&gt;0,VLOOKUP(D947,Программа!A$1:B$5100,2),IF(F947&gt;0,VLOOKUP(F947,КВР!A$1:B$5001,2),IF(E947&gt;0,VLOOKUP(E947,Направление!A$1:B$4830,2))))))</f>
        <v>Предоставление субсидий бюджетным, автономным учреждениям и иным некоммерческим организациям</v>
      </c>
      <c r="B947" s="158"/>
      <c r="C947" s="153"/>
      <c r="D947" s="154"/>
      <c r="E947" s="153"/>
      <c r="F947" s="155">
        <v>600</v>
      </c>
      <c r="G947" s="162">
        <v>69100</v>
      </c>
      <c r="H947" s="162"/>
      <c r="I947" s="161">
        <f t="shared" si="18"/>
        <v>69100</v>
      </c>
    </row>
    <row r="948" spans="1:9" s="182" customFormat="1" ht="48.75" customHeight="1" x14ac:dyDescent="0.25">
      <c r="A948" s="157" t="str">
        <f>IF(B948&gt;0,VLOOKUP(B948,КВСР!A404:B1569,2),IF(C948&gt;0,VLOOKUP(C948,КФСР!A404:B1916,2),IF(D948&gt;0,VLOOKUP(D948,Программа!A$1:B$5100,2),IF(F948&gt;0,VLOOKUP(F948,КВР!A$1:B$5001,2),IF(E948&gt;0,VLOOKUP(E948,Направление!A$1:B$4830,2))))))</f>
        <v>Расходы на поддержку отрасли культуры</v>
      </c>
      <c r="B948" s="158"/>
      <c r="C948" s="153"/>
      <c r="D948" s="154"/>
      <c r="E948" s="153" t="s">
        <v>3475</v>
      </c>
      <c r="F948" s="155"/>
      <c r="G948" s="491">
        <v>87603</v>
      </c>
      <c r="H948" s="491">
        <f>H949</f>
        <v>-6880</v>
      </c>
      <c r="I948" s="161">
        <f t="shared" si="18"/>
        <v>80723</v>
      </c>
    </row>
    <row r="949" spans="1:9" s="182" customFormat="1" ht="63" x14ac:dyDescent="0.25">
      <c r="A949" s="157" t="str">
        <f>IF(B949&gt;0,VLOOKUP(B949,КВСР!A405:B1570,2),IF(C949&gt;0,VLOOKUP(C949,КФСР!A405:B1917,2),IF(D949&gt;0,VLOOKUP(D949,Программа!A$1:B$5100,2),IF(F949&gt;0,VLOOKUP(F949,КВР!A$1:B$5001,2),IF(E949&gt;0,VLOOKUP(E949,Направление!A$1:B$4830,2))))))</f>
        <v>Предоставление субсидий бюджетным, автономным учреждениям и иным некоммерческим организациям</v>
      </c>
      <c r="B949" s="158"/>
      <c r="C949" s="153"/>
      <c r="D949" s="154"/>
      <c r="E949" s="153"/>
      <c r="F949" s="155">
        <v>600</v>
      </c>
      <c r="G949" s="162">
        <v>87603</v>
      </c>
      <c r="H949" s="162">
        <v>-6880</v>
      </c>
      <c r="I949" s="161">
        <f t="shared" si="18"/>
        <v>80723</v>
      </c>
    </row>
    <row r="950" spans="1:9" s="182" customFormat="1" ht="47.25" x14ac:dyDescent="0.25">
      <c r="A950" s="157" t="str">
        <f>IF(B950&gt;0,VLOOKUP(B950,КВСР!A398:B1563,2),IF(C950&gt;0,VLOOKUP(C950,КФСР!A398:B1910,2),IF(D950&gt;0,VLOOKUP(D950,Программа!A$1:B$5100,2),IF(F950&gt;0,VLOOKUP(F950,КВР!A$1:B$5001,2),IF(E950&gt;0,VLOOKUP(E950,Направление!A$1:B$4830,2))))))</f>
        <v>Муниципальная программа "Социальная поддержка населения Тутаевского муниципального района"</v>
      </c>
      <c r="B950" s="158"/>
      <c r="C950" s="153"/>
      <c r="D950" s="154" t="s">
        <v>695</v>
      </c>
      <c r="E950" s="153"/>
      <c r="F950" s="155"/>
      <c r="G950" s="611">
        <v>60000</v>
      </c>
      <c r="H950" s="161">
        <f>H951</f>
        <v>-50000</v>
      </c>
      <c r="I950" s="161">
        <f t="shared" si="18"/>
        <v>10000</v>
      </c>
    </row>
    <row r="951" spans="1:9" s="182" customFormat="1" ht="63" x14ac:dyDescent="0.25">
      <c r="A951" s="157" t="str">
        <f>IF(B951&gt;0,VLOOKUP(B951,КВСР!A399:B1564,2),IF(C951&gt;0,VLOOKUP(C951,КФСР!A399:B1911,2),IF(D951&gt;0,VLOOKUP(D951,Программа!A$1:B$5100,2),IF(F951&gt;0,VLOOKUP(F951,КВР!A$1:B$5001,2),IF(E951&gt;0,VLOOKUP(E951,Направление!A$1:B$4830,2))))))</f>
        <v>Муниципальная целевая программа "Улучшение условий и охраны труда" по Тутаевскому муниципальному району</v>
      </c>
      <c r="B951" s="158"/>
      <c r="C951" s="153"/>
      <c r="D951" s="154" t="s">
        <v>697</v>
      </c>
      <c r="E951" s="153"/>
      <c r="F951" s="155"/>
      <c r="G951" s="611">
        <v>60000</v>
      </c>
      <c r="H951" s="161">
        <f>H952+H955</f>
        <v>-50000</v>
      </c>
      <c r="I951" s="161">
        <f t="shared" si="18"/>
        <v>10000</v>
      </c>
    </row>
    <row r="952" spans="1:9" s="182" customFormat="1" ht="63" x14ac:dyDescent="0.25">
      <c r="A952" s="157" t="str">
        <f>IF(B952&gt;0,VLOOKUP(B952,КВСР!A400:B1565,2),IF(C952&gt;0,VLOOKUP(C952,КФСР!A400:B1912,2),IF(D952&gt;0,VLOOKUP(D952,Программа!A$1:B$5100,2),IF(F952&gt;0,VLOOKUP(F952,КВР!A$1:B$5001,2),IF(E952&gt;0,VLOOKUP(E952,Направление!A$1:B$4830,2))))))</f>
        <v>Специальная оценка условий труда работающих в организациях расположенных на территории Тутаевского муниципального района</v>
      </c>
      <c r="B952" s="158"/>
      <c r="C952" s="153"/>
      <c r="D952" s="154" t="s">
        <v>698</v>
      </c>
      <c r="E952" s="153"/>
      <c r="F952" s="155"/>
      <c r="G952" s="611">
        <v>55000</v>
      </c>
      <c r="H952" s="161">
        <f>H953</f>
        <v>-45000</v>
      </c>
      <c r="I952" s="161">
        <f t="shared" si="18"/>
        <v>10000</v>
      </c>
    </row>
    <row r="953" spans="1:9" s="182" customFormat="1" ht="31.5" x14ac:dyDescent="0.25">
      <c r="A953" s="157" t="str">
        <f>IF(B953&gt;0,VLOOKUP(B953,КВСР!A401:B1566,2),IF(C953&gt;0,VLOOKUP(C953,КФСР!A401:B1913,2),IF(D953&gt;0,VLOOKUP(D953,Программа!A$1:B$5100,2),IF(F953&gt;0,VLOOKUP(F953,КВР!A$1:B$5001,2),IF(E953&gt;0,VLOOKUP(E953,Направление!A$1:B$4830,2))))))</f>
        <v>Расходы на реализацию МЦП "Улучшение условий и охраны труда"</v>
      </c>
      <c r="B953" s="158"/>
      <c r="C953" s="153"/>
      <c r="D953" s="154"/>
      <c r="E953" s="153">
        <v>16150</v>
      </c>
      <c r="F953" s="155"/>
      <c r="G953" s="611">
        <v>55000</v>
      </c>
      <c r="H953" s="161">
        <f>H954</f>
        <v>-45000</v>
      </c>
      <c r="I953" s="161">
        <f t="shared" si="18"/>
        <v>10000</v>
      </c>
    </row>
    <row r="954" spans="1:9" s="182" customFormat="1" ht="63" x14ac:dyDescent="0.25">
      <c r="A954" s="157" t="str">
        <f>IF(B954&gt;0,VLOOKUP(B954,КВСР!A402:B1567,2),IF(C954&gt;0,VLOOKUP(C954,КФСР!A402:B1914,2),IF(D954&gt;0,VLOOKUP(D954,Программа!A$1:B$5100,2),IF(F954&gt;0,VLOOKUP(F954,КВР!A$1:B$5001,2),IF(E954&gt;0,VLOOKUP(E954,Направление!A$1:B$4830,2))))))</f>
        <v>Предоставление субсидий бюджетным, автономным учреждениям и иным некоммерческим организациям</v>
      </c>
      <c r="B954" s="158"/>
      <c r="C954" s="153"/>
      <c r="D954" s="154"/>
      <c r="E954" s="153"/>
      <c r="F954" s="155">
        <v>600</v>
      </c>
      <c r="G954" s="162">
        <v>55000</v>
      </c>
      <c r="H954" s="162">
        <v>-45000</v>
      </c>
      <c r="I954" s="161">
        <f t="shared" ref="I954:I1017" si="21">SUM(G954:H954)</f>
        <v>10000</v>
      </c>
    </row>
    <row r="955" spans="1:9" s="182" customFormat="1" ht="47.25" hidden="1" x14ac:dyDescent="0.25">
      <c r="A955" s="157" t="str">
        <f>IF(B955&gt;0,VLOOKUP(B955,КВСР!A403:B1568,2),IF(C955&gt;0,VLOOKUP(C955,КФСР!A403:B1915,2),IF(D955&gt;0,VLOOKUP(D955,Программа!A$1:B$5100,2),IF(F955&gt;0,VLOOKUP(F955,КВР!A$1:B$5001,2),IF(E955&gt;0,VLOOKUP(E955,Направление!A$1:B$4830,2))))))</f>
        <v>Обучение по охране труда работников организаций Тутаевского муниципального района</v>
      </c>
      <c r="B955" s="158"/>
      <c r="C955" s="153"/>
      <c r="D955" s="154" t="s">
        <v>2927</v>
      </c>
      <c r="E955" s="153"/>
      <c r="F955" s="155"/>
      <c r="G955" s="611">
        <v>5000</v>
      </c>
      <c r="H955" s="491">
        <f>H956</f>
        <v>-5000</v>
      </c>
      <c r="I955" s="161">
        <f t="shared" si="21"/>
        <v>0</v>
      </c>
    </row>
    <row r="956" spans="1:9" s="182" customFormat="1" ht="31.5" hidden="1" x14ac:dyDescent="0.25">
      <c r="A956" s="157" t="str">
        <f>IF(B956&gt;0,VLOOKUP(B956,КВСР!A404:B1569,2),IF(C956&gt;0,VLOOKUP(C956,КФСР!A404:B1916,2),IF(D956&gt;0,VLOOKUP(D956,Программа!A$1:B$5100,2),IF(F956&gt;0,VLOOKUP(F956,КВР!A$1:B$5001,2),IF(E956&gt;0,VLOOKUP(E956,Направление!A$1:B$4830,2))))))</f>
        <v>Расходы на реализацию МЦП "Улучшение условий и охраны труда"</v>
      </c>
      <c r="B956" s="158"/>
      <c r="C956" s="153"/>
      <c r="D956" s="154"/>
      <c r="E956" s="153">
        <v>16150</v>
      </c>
      <c r="F956" s="155"/>
      <c r="G956" s="611">
        <v>5000</v>
      </c>
      <c r="H956" s="491">
        <f>H957</f>
        <v>-5000</v>
      </c>
      <c r="I956" s="161">
        <f t="shared" si="21"/>
        <v>0</v>
      </c>
    </row>
    <row r="957" spans="1:9" s="182" customFormat="1" ht="63" hidden="1" x14ac:dyDescent="0.25">
      <c r="A957" s="157" t="str">
        <f>IF(B957&gt;0,VLOOKUP(B957,КВСР!A405:B1570,2),IF(C957&gt;0,VLOOKUP(C957,КФСР!A405:B1917,2),IF(D957&gt;0,VLOOKUP(D957,Программа!A$1:B$5100,2),IF(F957&gt;0,VLOOKUP(F957,КВР!A$1:B$5001,2),IF(E957&gt;0,VLOOKUP(E957,Направление!A$1:B$4830,2))))))</f>
        <v>Предоставление субсидий бюджетным, автономным учреждениям и иным некоммерческим организациям</v>
      </c>
      <c r="B957" s="158"/>
      <c r="C957" s="153"/>
      <c r="D957" s="154"/>
      <c r="E957" s="153"/>
      <c r="F957" s="155">
        <v>600</v>
      </c>
      <c r="G957" s="521">
        <v>5000</v>
      </c>
      <c r="H957" s="162">
        <v>-5000</v>
      </c>
      <c r="I957" s="161">
        <f t="shared" si="21"/>
        <v>0</v>
      </c>
    </row>
    <row r="958" spans="1:9" s="182" customFormat="1" ht="31.5" hidden="1" x14ac:dyDescent="0.25">
      <c r="A958" s="157" t="str">
        <f>IF(B958&gt;0,VLOOKUP(B958,КВСР!A401:B1566,2),IF(C958&gt;0,VLOOKUP(C958,КФСР!A401:B1913,2),IF(D958&gt;0,VLOOKUP(D958,Программа!A$1:B$5100,2),IF(F958&gt;0,VLOOKUP(F958,КВР!A$1:B$5001,2),IF(E958&gt;0,VLOOKUP(E958,Направление!A$1:B$4830,2))))))</f>
        <v>Муниципальная программа "Доступная среда "</v>
      </c>
      <c r="B958" s="158"/>
      <c r="C958" s="153"/>
      <c r="D958" s="154" t="s">
        <v>833</v>
      </c>
      <c r="E958" s="153"/>
      <c r="F958" s="155"/>
      <c r="G958" s="611">
        <v>0</v>
      </c>
      <c r="H958" s="161">
        <f>H959</f>
        <v>0</v>
      </c>
      <c r="I958" s="161">
        <f t="shared" si="21"/>
        <v>0</v>
      </c>
    </row>
    <row r="959" spans="1:9" s="182" customFormat="1" ht="78.75" hidden="1" x14ac:dyDescent="0.25">
      <c r="A959" s="157" t="str">
        <f>IF(B959&gt;0,VLOOKUP(B959,КВСР!A396:B1561,2),IF(C959&gt;0,VLOOKUP(C959,КФСР!A396:B1908,2),IF(D959&gt;0,VLOOKUP(D959,Программа!A$1:B$5100,2),IF(F959&gt;0,VLOOKUP(F959,КВР!A$1:B$5001,2),IF(E959&gt;0,VLOOKUP(E959,Направление!A$1:B$4830,2))))))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59" s="158"/>
      <c r="C959" s="153"/>
      <c r="D959" s="154" t="s">
        <v>835</v>
      </c>
      <c r="E959" s="153"/>
      <c r="F959" s="155"/>
      <c r="G959" s="611">
        <v>0</v>
      </c>
      <c r="H959" s="161">
        <f>H960</f>
        <v>0</v>
      </c>
      <c r="I959" s="161">
        <f t="shared" si="21"/>
        <v>0</v>
      </c>
    </row>
    <row r="960" spans="1:9" s="182" customFormat="1" ht="63" hidden="1" x14ac:dyDescent="0.25">
      <c r="A960" s="157" t="str">
        <f>IF(B960&gt;0,VLOOKUP(B960,КВСР!A397:B1562,2),IF(C960&gt;0,VLOOKUP(C960,КФСР!A397:B1909,2),IF(D960&gt;0,VLOOKUP(D960,Программа!A$1:B$5100,2),IF(F960&gt;0,VLOOKUP(F960,КВР!A$1:B$5001,2),IF(E960&gt;0,VLOOKUP(E960,Направление!A$1:B$4830,2))))))</f>
        <v>Расходы на оборудование социально значимых объектов с целью обеспечения доступности для инвалидов</v>
      </c>
      <c r="B960" s="158"/>
      <c r="C960" s="153"/>
      <c r="D960" s="154"/>
      <c r="E960" s="153">
        <v>16250</v>
      </c>
      <c r="F960" s="155"/>
      <c r="G960" s="611">
        <v>0</v>
      </c>
      <c r="H960" s="161">
        <f>H961</f>
        <v>0</v>
      </c>
      <c r="I960" s="161">
        <f t="shared" si="21"/>
        <v>0</v>
      </c>
    </row>
    <row r="961" spans="1:9" s="182" customFormat="1" ht="63" hidden="1" x14ac:dyDescent="0.25">
      <c r="A961" s="157" t="str">
        <f>IF(B961&gt;0,VLOOKUP(B961,КВСР!A398:B1563,2),IF(C961&gt;0,VLOOKUP(C961,КФСР!A398:B1910,2),IF(D961&gt;0,VLOOKUP(D961,Программа!A$1:B$5100,2),IF(F961&gt;0,VLOOKUP(F961,КВР!A$1:B$5001,2),IF(E961&gt;0,VLOOKUP(E961,Направление!A$1:B$4830,2))))))</f>
        <v>Предоставление субсидий бюджетным, автономным учреждениям и иным некоммерческим организациям</v>
      </c>
      <c r="B961" s="158"/>
      <c r="C961" s="153"/>
      <c r="D961" s="155"/>
      <c r="E961" s="153"/>
      <c r="F961" s="155">
        <v>600</v>
      </c>
      <c r="G961" s="521">
        <v>0</v>
      </c>
      <c r="H961" s="162"/>
      <c r="I961" s="161">
        <f t="shared" si="21"/>
        <v>0</v>
      </c>
    </row>
    <row r="962" spans="1:9" s="182" customFormat="1" ht="31.5" x14ac:dyDescent="0.25">
      <c r="A962" s="157" t="str">
        <f>IF(B962&gt;0,VLOOKUP(B962,КВСР!A402:B1567,2),IF(C962&gt;0,VLOOKUP(C962,КФСР!A402:B1914,2),IF(D962&gt;0,VLOOKUP(D962,Программа!A$1:B$5100,2),IF(F962&gt;0,VLOOKUP(F962,КВР!A$1:B$5001,2),IF(E962&gt;0,VLOOKUP(E962,Направление!A$1:B$4830,2))))))</f>
        <v>Другие вопросы в области культуры, кинематографии</v>
      </c>
      <c r="B962" s="158"/>
      <c r="C962" s="153">
        <v>804</v>
      </c>
      <c r="D962" s="154"/>
      <c r="E962" s="153"/>
      <c r="F962" s="155"/>
      <c r="G962" s="611">
        <v>28993354</v>
      </c>
      <c r="H962" s="161">
        <f>H963+H1006+H988+H993+H998+H1002</f>
        <v>320000</v>
      </c>
      <c r="I962" s="161">
        <f t="shared" si="21"/>
        <v>29313354</v>
      </c>
    </row>
    <row r="963" spans="1:9" s="182" customFormat="1" ht="63" x14ac:dyDescent="0.25">
      <c r="A963" s="157" t="str">
        <f>IF(B963&gt;0,VLOOKUP(B963,КВСР!A403:B1568,2),IF(C963&gt;0,VLOOKUP(C963,КФСР!A403:B1915,2),IF(D963&gt;0,VLOOKUP(D963,Программа!A$1:B$5100,2),IF(F963&gt;0,VLOOKUP(F963,КВР!A$1:B$5001,2),IF(E963&gt;0,VLOOKUP(E963,Направление!A$1:B$4830,2))))))</f>
        <v>Муниципальная программа  "Развитие культуры, туризма и молодежной политики в Тутаевском муниципальном районе"</v>
      </c>
      <c r="B963" s="158"/>
      <c r="C963" s="153"/>
      <c r="D963" s="154" t="s">
        <v>716</v>
      </c>
      <c r="E963" s="153"/>
      <c r="F963" s="155"/>
      <c r="G963" s="611">
        <v>28961354</v>
      </c>
      <c r="H963" s="161">
        <f>H972+H968+H964</f>
        <v>320000</v>
      </c>
      <c r="I963" s="161">
        <f t="shared" si="21"/>
        <v>29281354</v>
      </c>
    </row>
    <row r="964" spans="1:9" s="182" customFormat="1" ht="94.5" hidden="1" x14ac:dyDescent="0.25">
      <c r="A964" s="157" t="str">
        <f>IF(B964&gt;0,VLOOKUP(B964,КВСР!A404:B1569,2),IF(C964&gt;0,VLOOKUP(C964,КФСР!A404:B1916,2),IF(D964&gt;0,VLOOKUP(D964,Программа!A$1:B$5100,2),IF(F964&gt;0,VLOOKUP(F964,КВР!A$1:B$5001,2),IF(E964&gt;0,VLOOKUP(E964,Направление!A$1:B$4830,2))))))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64" s="158"/>
      <c r="C964" s="153"/>
      <c r="D964" s="154" t="s">
        <v>718</v>
      </c>
      <c r="E964" s="153"/>
      <c r="F964" s="155"/>
      <c r="G964" s="611">
        <v>0</v>
      </c>
      <c r="H964" s="161">
        <f>H965</f>
        <v>0</v>
      </c>
      <c r="I964" s="161">
        <f t="shared" si="21"/>
        <v>0</v>
      </c>
    </row>
    <row r="965" spans="1:9" s="182" customFormat="1" ht="78.75" hidden="1" x14ac:dyDescent="0.25">
      <c r="A965" s="157" t="str">
        <f>IF(B965&gt;0,VLOOKUP(B965,КВСР!A405:B1570,2),IF(C965&gt;0,VLOOKUP(C965,КФСР!A405:B1917,2),IF(D965&gt;0,VLOOKUP(D965,Программа!A$1:B$5100,2),IF(F965&gt;0,VLOOKUP(F965,КВР!A$1:B$5001,2),IF(E965&gt;0,VLOOKUP(E965,Направление!A$1:B$4830,2))))))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65" s="158"/>
      <c r="C965" s="153"/>
      <c r="D965" s="154" t="s">
        <v>720</v>
      </c>
      <c r="E965" s="153"/>
      <c r="F965" s="155"/>
      <c r="G965" s="611">
        <v>0</v>
      </c>
      <c r="H965" s="161">
        <f>H966</f>
        <v>0</v>
      </c>
      <c r="I965" s="161">
        <f t="shared" si="21"/>
        <v>0</v>
      </c>
    </row>
    <row r="966" spans="1:9" s="182" customFormat="1" ht="47.25" hidden="1" x14ac:dyDescent="0.25">
      <c r="A966" s="157" t="str">
        <f>IF(B966&gt;0,VLOOKUP(B966,КВСР!A406:B1571,2),IF(C966&gt;0,VLOOKUP(C966,КФСР!A406:B1918,2),IF(D966&gt;0,VLOOKUP(D966,Программа!A$1:B$5100,2),IF(F966&gt;0,VLOOKUP(F966,КВР!A$1:B$5001,2),IF(E966&gt;0,VLOOKUP(E966,Направление!A$1:B$4830,2))))))</f>
        <v>Расходы на реализацию мероприятий патриотического воспитания молодежи</v>
      </c>
      <c r="B966" s="158"/>
      <c r="C966" s="153"/>
      <c r="D966" s="154"/>
      <c r="E966" s="153">
        <v>14560</v>
      </c>
      <c r="F966" s="155"/>
      <c r="G966" s="611">
        <v>0</v>
      </c>
      <c r="H966" s="161">
        <f>H967</f>
        <v>0</v>
      </c>
      <c r="I966" s="161">
        <f t="shared" si="21"/>
        <v>0</v>
      </c>
    </row>
    <row r="967" spans="1:9" s="182" customFormat="1" ht="63" hidden="1" x14ac:dyDescent="0.25">
      <c r="A967" s="157" t="str">
        <f>IF(B967&gt;0,VLOOKUP(B967,КВСР!A407:B1572,2),IF(C967&gt;0,VLOOKUP(C967,КФСР!A407:B1919,2),IF(D967&gt;0,VLOOKUP(D967,Программа!A$1:B$5100,2),IF(F967&gt;0,VLOOKUP(F967,КВР!A$1:B$5001,2),IF(E967&gt;0,VLOOKUP(E967,Направление!A$1:B$4830,2))))))</f>
        <v>Предоставление субсидий бюджетным, автономным учреждениям и иным некоммерческим организациям</v>
      </c>
      <c r="B967" s="158"/>
      <c r="C967" s="153"/>
      <c r="D967" s="154"/>
      <c r="E967" s="153"/>
      <c r="F967" s="155">
        <v>600</v>
      </c>
      <c r="G967" s="611">
        <v>0</v>
      </c>
      <c r="H967" s="554"/>
      <c r="I967" s="161">
        <f t="shared" si="21"/>
        <v>0</v>
      </c>
    </row>
    <row r="968" spans="1:9" s="182" customFormat="1" ht="63" hidden="1" x14ac:dyDescent="0.25">
      <c r="A968" s="157" t="str">
        <f>IF(B968&gt;0,VLOOKUP(B968,КВСР!A404:B1569,2),IF(C968&gt;0,VLOOKUP(C968,КФСР!A404:B1916,2),IF(D968&gt;0,VLOOKUP(D968,Программа!A$1:B$5100,2),IF(F968&gt;0,VLOOKUP(F968,КВР!A$1:B$5001,2),IF(E968&gt;0,VLOOKUP(E968,Направление!A$1:B$4830,2))))))</f>
        <v>Муниципальная целевая программа «Комплексные меры противодействия злоупотреблению наркотиками и их незаконному обороту»</v>
      </c>
      <c r="B968" s="158"/>
      <c r="C968" s="153"/>
      <c r="D968" s="154" t="s">
        <v>723</v>
      </c>
      <c r="E968" s="153"/>
      <c r="F968" s="155"/>
      <c r="G968" s="611">
        <v>0</v>
      </c>
      <c r="H968" s="161">
        <f>H969</f>
        <v>0</v>
      </c>
      <c r="I968" s="161">
        <f t="shared" si="21"/>
        <v>0</v>
      </c>
    </row>
    <row r="969" spans="1:9" s="182" customFormat="1" ht="47.25" hidden="1" x14ac:dyDescent="0.25">
      <c r="A969" s="157" t="str">
        <f>IF(B969&gt;0,VLOOKUP(B969,КВСР!A405:B1570,2),IF(C969&gt;0,VLOOKUP(C969,КФСР!A405:B1917,2),IF(D969&gt;0,VLOOKUP(D969,Программа!A$1:B$5100,2),IF(F969&gt;0,VLOOKUP(F969,КВР!A$1:B$5001,2),IF(E969&gt;0,VLOOKUP(E969,Направление!A$1:B$4830,2))))))</f>
        <v>Развитие системы профилактики немедицинского потребления наркотиков</v>
      </c>
      <c r="B969" s="158"/>
      <c r="C969" s="153"/>
      <c r="D969" s="154" t="s">
        <v>725</v>
      </c>
      <c r="E969" s="153"/>
      <c r="F969" s="155"/>
      <c r="G969" s="611">
        <v>0</v>
      </c>
      <c r="H969" s="161">
        <f>H970</f>
        <v>0</v>
      </c>
      <c r="I969" s="161">
        <f t="shared" si="21"/>
        <v>0</v>
      </c>
    </row>
    <row r="970" spans="1:9" s="182" customFormat="1" ht="63" hidden="1" x14ac:dyDescent="0.25">
      <c r="A970" s="157" t="str">
        <f>IF(B970&gt;0,VLOOKUP(B970,КВСР!A406:B1571,2),IF(C970&gt;0,VLOOKUP(C970,КФСР!A406:B1918,2),IF(D970&gt;0,VLOOKUP(D970,Программа!A$1:B$5100,2),IF(F970&gt;0,VLOOKUP(F970,КВР!A$1:B$5001,2),IF(E970&gt;0,VLOOKUP(E970,Направление!A$1:B$4830,2))))))</f>
        <v>Расходы на реализацию  МЦП "Комплексные меры противодействия злоупотреблению наркотиками и их незаконному обороту"</v>
      </c>
      <c r="B970" s="184"/>
      <c r="C970" s="179"/>
      <c r="D970" s="178"/>
      <c r="E970" s="179">
        <v>13820</v>
      </c>
      <c r="F970" s="181"/>
      <c r="G970" s="504">
        <v>0</v>
      </c>
      <c r="H970" s="159">
        <f>H971</f>
        <v>0</v>
      </c>
      <c r="I970" s="161">
        <f t="shared" si="21"/>
        <v>0</v>
      </c>
    </row>
    <row r="971" spans="1:9" s="182" customFormat="1" ht="63" hidden="1" x14ac:dyDescent="0.25">
      <c r="A971" s="157" t="str">
        <f>IF(B971&gt;0,VLOOKUP(B971,КВСР!A407:B1572,2),IF(C971&gt;0,VLOOKUP(C971,КФСР!A407:B1919,2),IF(D971&gt;0,VLOOKUP(D971,Программа!A$1:B$5100,2),IF(F971&gt;0,VLOOKUP(F971,КВР!A$1:B$5001,2),IF(E971&gt;0,VLOOKUP(E971,Направление!A$1:B$4830,2))))))</f>
        <v>Предоставление субсидий бюджетным, автономным учреждениям и иным некоммерческим организациям</v>
      </c>
      <c r="B971" s="158"/>
      <c r="C971" s="153"/>
      <c r="D971" s="154"/>
      <c r="E971" s="153"/>
      <c r="F971" s="155">
        <v>600</v>
      </c>
      <c r="G971" s="618">
        <v>0</v>
      </c>
      <c r="H971" s="185"/>
      <c r="I971" s="161">
        <f t="shared" si="21"/>
        <v>0</v>
      </c>
    </row>
    <row r="972" spans="1:9" s="182" customFormat="1" ht="47.25" x14ac:dyDescent="0.25">
      <c r="A972" s="157" t="str">
        <f>IF(B972&gt;0,VLOOKUP(B972,КВСР!A404:B1569,2),IF(C972&gt;0,VLOOKUP(C972,КФСР!A404:B1916,2),IF(D972&gt;0,VLOOKUP(D972,Программа!A$1:B$5100,2),IF(F972&gt;0,VLOOKUP(F972,КВР!A$1:B$5001,2),IF(E972&gt;0,VLOOKUP(E972,Направление!A$1:B$4830,2))))))</f>
        <v>Ведомственная целевая программа «Сохранение и развитие культуры Тутаевского муниципального района»</v>
      </c>
      <c r="B972" s="158"/>
      <c r="C972" s="153"/>
      <c r="D972" s="154" t="s">
        <v>819</v>
      </c>
      <c r="E972" s="153"/>
      <c r="F972" s="155"/>
      <c r="G972" s="611">
        <v>28961354</v>
      </c>
      <c r="H972" s="161">
        <f>H973</f>
        <v>320000</v>
      </c>
      <c r="I972" s="161">
        <f t="shared" si="21"/>
        <v>29281354</v>
      </c>
    </row>
    <row r="973" spans="1:9" s="182" customFormat="1" ht="31.5" x14ac:dyDescent="0.25">
      <c r="A973" s="157" t="str">
        <f>IF(B973&gt;0,VLOOKUP(B973,КВСР!A405:B1570,2),IF(C973&gt;0,VLOOKUP(C973,КФСР!A405:B1917,2),IF(D973&gt;0,VLOOKUP(D973,Программа!A$1:B$5100,2),IF(F973&gt;0,VLOOKUP(F973,КВР!A$1:B$5001,2),IF(E973&gt;0,VLOOKUP(E973,Направление!A$1:B$4830,2))))))</f>
        <v>Обеспечение эффективности управления системой культуры</v>
      </c>
      <c r="B973" s="158"/>
      <c r="C973" s="153"/>
      <c r="D973" s="154" t="s">
        <v>846</v>
      </c>
      <c r="E973" s="153"/>
      <c r="F973" s="155"/>
      <c r="G973" s="611">
        <v>28961354</v>
      </c>
      <c r="H973" s="161">
        <f>H974+H978+H982+H985</f>
        <v>320000</v>
      </c>
      <c r="I973" s="161">
        <f t="shared" si="21"/>
        <v>29281354</v>
      </c>
    </row>
    <row r="974" spans="1:9" s="182" customFormat="1" x14ac:dyDescent="0.25">
      <c r="A974" s="157" t="str">
        <f>IF(B974&gt;0,VLOOKUP(B974,КВСР!A405:B1570,2),IF(C974&gt;0,VLOOKUP(C974,КФСР!A405:B1917,2),IF(D974&gt;0,VLOOKUP(D974,Программа!A$1:B$5100,2),IF(F974&gt;0,VLOOKUP(F974,КВР!A$1:B$5001,2),IF(E974&gt;0,VLOOKUP(E974,Направление!A$1:B$4830,2))))))</f>
        <v>Содержание центрального аппарата</v>
      </c>
      <c r="B974" s="158"/>
      <c r="C974" s="153"/>
      <c r="D974" s="154"/>
      <c r="E974" s="153">
        <v>12010</v>
      </c>
      <c r="F974" s="155"/>
      <c r="G974" s="504">
        <v>3870015</v>
      </c>
      <c r="H974" s="159">
        <f>H975+H976+H977</f>
        <v>-30000</v>
      </c>
      <c r="I974" s="161">
        <f t="shared" si="21"/>
        <v>3840015</v>
      </c>
    </row>
    <row r="975" spans="1:9" s="182" customFormat="1" ht="126" x14ac:dyDescent="0.25">
      <c r="A975" s="157" t="str">
        <f>IF(B975&gt;0,VLOOKUP(B975,КВСР!A406:B1571,2),IF(C975&gt;0,VLOOKUP(C975,КФСР!A406:B1918,2),IF(D975&gt;0,VLOOKUP(D975,Программа!A$1:B$5100,2),IF(F975&gt;0,VLOOKUP(F975,КВР!A$1:B$5001,2),IF(E975&gt;0,VLOOKUP(E975,Направление!A$1:B$4830,2))))))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5" s="158"/>
      <c r="C975" s="153"/>
      <c r="D975" s="155"/>
      <c r="E975" s="153"/>
      <c r="F975" s="155">
        <v>100</v>
      </c>
      <c r="G975" s="160">
        <v>3421129</v>
      </c>
      <c r="H975" s="160">
        <f>186000-10000+40000</f>
        <v>216000</v>
      </c>
      <c r="I975" s="161">
        <f t="shared" si="21"/>
        <v>3637129</v>
      </c>
    </row>
    <row r="976" spans="1:9" s="182" customFormat="1" ht="63" x14ac:dyDescent="0.25">
      <c r="A976" s="157" t="str">
        <f>IF(B976&gt;0,VLOOKUP(B976,КВСР!A407:B1572,2),IF(C976&gt;0,VLOOKUP(C976,КФСР!A407:B1919,2),IF(D976&gt;0,VLOOKUP(D976,Программа!A$1:B$5100,2),IF(F976&gt;0,VLOOKUP(F976,КВР!A$1:B$5001,2),IF(E976&gt;0,VLOOKUP(E976,Направление!A$1:B$4830,2))))))</f>
        <v xml:space="preserve">Закупка товаров, работ и услуг для обеспечения государственных (муниципальных) нужд
</v>
      </c>
      <c r="B976" s="158"/>
      <c r="C976" s="153"/>
      <c r="D976" s="155"/>
      <c r="E976" s="153"/>
      <c r="F976" s="155">
        <v>200</v>
      </c>
      <c r="G976" s="160">
        <v>392886</v>
      </c>
      <c r="H976" s="160">
        <v>-246130</v>
      </c>
      <c r="I976" s="161">
        <f t="shared" si="21"/>
        <v>146756</v>
      </c>
    </row>
    <row r="977" spans="1:9" s="182" customFormat="1" x14ac:dyDescent="0.25">
      <c r="A977" s="157" t="str">
        <f>IF(B977&gt;0,VLOOKUP(B977,КВСР!A408:B1573,2),IF(C977&gt;0,VLOOKUP(C977,КФСР!A408:B1920,2),IF(D977&gt;0,VLOOKUP(D977,Программа!A$1:B$5100,2),IF(F977&gt;0,VLOOKUP(F977,КВР!A$1:B$5001,2),IF(E977&gt;0,VLOOKUP(E977,Направление!A$1:B$4830,2))))))</f>
        <v>Иные бюджетные ассигнования</v>
      </c>
      <c r="B977" s="158"/>
      <c r="C977" s="153"/>
      <c r="D977" s="155"/>
      <c r="E977" s="153"/>
      <c r="F977" s="155">
        <v>800</v>
      </c>
      <c r="G977" s="160">
        <v>56000</v>
      </c>
      <c r="H977" s="160">
        <v>130</v>
      </c>
      <c r="I977" s="161">
        <f t="shared" si="21"/>
        <v>56130</v>
      </c>
    </row>
    <row r="978" spans="1:9" s="182" customFormat="1" ht="31.5" x14ac:dyDescent="0.25">
      <c r="A978" s="157" t="str">
        <f>IF(B978&gt;0,VLOOKUP(B978,КВСР!A409:B1574,2),IF(C978&gt;0,VLOOKUP(C978,КФСР!A409:B1921,2),IF(D978&gt;0,VLOOKUP(D978,Программа!A$1:B$5100,2),IF(F978&gt;0,VLOOKUP(F978,КВР!A$1:B$5001,2),IF(E978&gt;0,VLOOKUP(E978,Направление!A$1:B$4830,2))))))</f>
        <v>Обеспечение деятельности прочих учреждений в сфере культуры</v>
      </c>
      <c r="B978" s="158"/>
      <c r="C978" s="153"/>
      <c r="D978" s="154"/>
      <c r="E978" s="153">
        <v>15210</v>
      </c>
      <c r="F978" s="155"/>
      <c r="G978" s="504">
        <v>24568945</v>
      </c>
      <c r="H978" s="159">
        <f>H979+H980+H981</f>
        <v>350000</v>
      </c>
      <c r="I978" s="161">
        <f t="shared" si="21"/>
        <v>24918945</v>
      </c>
    </row>
    <row r="979" spans="1:9" s="182" customFormat="1" ht="126" x14ac:dyDescent="0.25">
      <c r="A979" s="157" t="str">
        <f>IF(B979&gt;0,VLOOKUP(B979,КВСР!A410:B1575,2),IF(C979&gt;0,VLOOKUP(C979,КФСР!A410:B1922,2),IF(D979&gt;0,VLOOKUP(D979,Программа!A$1:B$5100,2),IF(F979&gt;0,VLOOKUP(F979,КВР!A$1:B$5001,2),IF(E979&gt;0,VLOOKUP(E979,Направление!A$1:B$4830,2))))))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9" s="158"/>
      <c r="C979" s="153"/>
      <c r="D979" s="155"/>
      <c r="E979" s="153"/>
      <c r="F979" s="155">
        <v>100</v>
      </c>
      <c r="G979" s="162">
        <v>23872685</v>
      </c>
      <c r="H979" s="162">
        <f>30000-26740+320000</f>
        <v>323260</v>
      </c>
      <c r="I979" s="161">
        <f t="shared" si="21"/>
        <v>24195945</v>
      </c>
    </row>
    <row r="980" spans="1:9" s="182" customFormat="1" ht="63" x14ac:dyDescent="0.25">
      <c r="A980" s="157" t="str">
        <f>IF(B980&gt;0,VLOOKUP(B980,КВСР!A411:B1576,2),IF(C980&gt;0,VLOOKUP(C980,КФСР!A411:B1923,2),IF(D980&gt;0,VLOOKUP(D980,Программа!A$1:B$5100,2),IF(F980&gt;0,VLOOKUP(F980,КВР!A$1:B$5001,2),IF(E980&gt;0,VLOOKUP(E980,Направление!A$1:B$4830,2))))))</f>
        <v xml:space="preserve">Закупка товаров, работ и услуг для обеспечения государственных (муниципальных) нужд
</v>
      </c>
      <c r="B980" s="158"/>
      <c r="C980" s="153"/>
      <c r="D980" s="155"/>
      <c r="E980" s="153"/>
      <c r="F980" s="155">
        <v>200</v>
      </c>
      <c r="G980" s="162">
        <v>664885</v>
      </c>
      <c r="H980" s="162">
        <v>26240</v>
      </c>
      <c r="I980" s="161">
        <f t="shared" si="21"/>
        <v>691125</v>
      </c>
    </row>
    <row r="981" spans="1:9" s="182" customFormat="1" x14ac:dyDescent="0.25">
      <c r="A981" s="157" t="str">
        <f>IF(B981&gt;0,VLOOKUP(B981,КВСР!A412:B1577,2),IF(C981&gt;0,VLOOKUP(C981,КФСР!A412:B1924,2),IF(D981&gt;0,VLOOKUP(D981,Программа!A$1:B$5100,2),IF(F981&gt;0,VLOOKUP(F981,КВР!A$1:B$5001,2),IF(E981&gt;0,VLOOKUP(E981,Направление!A$1:B$4830,2))))))</f>
        <v>Иные бюджетные ассигнования</v>
      </c>
      <c r="B981" s="158"/>
      <c r="C981" s="153"/>
      <c r="D981" s="155"/>
      <c r="E981" s="153"/>
      <c r="F981" s="155">
        <v>800</v>
      </c>
      <c r="G981" s="162">
        <v>31375</v>
      </c>
      <c r="H981" s="162">
        <v>500</v>
      </c>
      <c r="I981" s="161">
        <f t="shared" si="21"/>
        <v>31875</v>
      </c>
    </row>
    <row r="982" spans="1:9" s="182" customFormat="1" ht="47.25" x14ac:dyDescent="0.25">
      <c r="A982" s="157" t="str">
        <f>IF(B982&gt;0,VLOOKUP(B982,КВСР!A412:B1577,2),IF(C982&gt;0,VLOOKUP(C982,КФСР!A412:B1924,2),IF(D982&gt;0,VLOOKUP(D982,Программа!A$1:B$5100,2),IF(F982&gt;0,VLOOKUP(F982,КВР!A$1:B$5001,2),IF(E982&gt;0,VLOOKUP(E982,Направление!A$1:B$4830,2))))))</f>
        <v>Содержание органов местного самоуправления за счет средств поселений</v>
      </c>
      <c r="B982" s="158"/>
      <c r="C982" s="153"/>
      <c r="D982" s="154"/>
      <c r="E982" s="153">
        <v>29016</v>
      </c>
      <c r="F982" s="155"/>
      <c r="G982" s="611">
        <v>362394</v>
      </c>
      <c r="H982" s="161">
        <f>H983+H984</f>
        <v>0</v>
      </c>
      <c r="I982" s="161">
        <f t="shared" si="21"/>
        <v>362394</v>
      </c>
    </row>
    <row r="983" spans="1:9" s="182" customFormat="1" ht="126" x14ac:dyDescent="0.25">
      <c r="A983" s="157" t="str">
        <f>IF(B983&gt;0,VLOOKUP(B983,КВСР!A413:B1578,2),IF(C983&gt;0,VLOOKUP(C983,КФСР!A413:B1925,2),IF(D983&gt;0,VLOOKUP(D983,Программа!A$1:B$5100,2),IF(F983&gt;0,VLOOKUP(F983,КВР!A$1:B$5001,2),IF(E983&gt;0,VLOOKUP(E983,Направление!A$1:B$4830,2))))))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83" s="158"/>
      <c r="C983" s="153"/>
      <c r="D983" s="155"/>
      <c r="E983" s="153"/>
      <c r="F983" s="155">
        <v>100</v>
      </c>
      <c r="G983" s="521">
        <v>329449</v>
      </c>
      <c r="H983" s="162"/>
      <c r="I983" s="161">
        <f t="shared" si="21"/>
        <v>329449</v>
      </c>
    </row>
    <row r="984" spans="1:9" s="182" customFormat="1" ht="63" x14ac:dyDescent="0.25">
      <c r="A984" s="157" t="str">
        <f>IF(B984&gt;0,VLOOKUP(B984,КВСР!A414:B1579,2),IF(C984&gt;0,VLOOKUP(C984,КФСР!A414:B1926,2),IF(D984&gt;0,VLOOKUP(D984,Программа!A$1:B$5100,2),IF(F984&gt;0,VLOOKUP(F984,КВР!A$1:B$5001,2),IF(E984&gt;0,VLOOKUP(E984,Направление!A$1:B$4830,2))))))</f>
        <v xml:space="preserve">Закупка товаров, работ и услуг для обеспечения государственных (муниципальных) нужд
</v>
      </c>
      <c r="B984" s="158"/>
      <c r="C984" s="153"/>
      <c r="D984" s="155"/>
      <c r="E984" s="153"/>
      <c r="F984" s="155">
        <v>200</v>
      </c>
      <c r="G984" s="521">
        <v>32945</v>
      </c>
      <c r="H984" s="162"/>
      <c r="I984" s="161">
        <f t="shared" si="21"/>
        <v>32945</v>
      </c>
    </row>
    <row r="985" spans="1:9" s="182" customFormat="1" ht="47.25" x14ac:dyDescent="0.25">
      <c r="A985" s="157" t="str">
        <f>IF(B985&gt;0,VLOOKUP(B985,КВСР!A415:B1580,2),IF(C985&gt;0,VLOOKUP(C985,КФСР!A415:B1927,2),IF(D985&gt;0,VLOOKUP(D985,Программа!A$1:B$5100,2),IF(F985&gt;0,VLOOKUP(F985,КВР!A$1:B$5001,2),IF(E985&gt;0,VLOOKUP(E985,Направление!A$1:B$4830,2))))))</f>
        <v>Субсидия на ремонт дорожных объектов муниципальной собственности</v>
      </c>
      <c r="B985" s="158"/>
      <c r="C985" s="153"/>
      <c r="D985" s="155"/>
      <c r="E985" s="153">
        <v>26216</v>
      </c>
      <c r="F985" s="155"/>
      <c r="G985" s="521">
        <v>160000</v>
      </c>
      <c r="H985" s="162">
        <f>H986+H987</f>
        <v>0</v>
      </c>
      <c r="I985" s="161">
        <f t="shared" si="21"/>
        <v>160000</v>
      </c>
    </row>
    <row r="986" spans="1:9" s="182" customFormat="1" ht="63" x14ac:dyDescent="0.25">
      <c r="A986" s="157" t="str">
        <f>IF(B986&gt;0,VLOOKUP(B986,КВСР!A416:B1581,2),IF(C986&gt;0,VLOOKUP(C986,КФСР!A416:B1928,2),IF(D986&gt;0,VLOOKUP(D986,Программа!A$1:B$5100,2),IF(F986&gt;0,VLOOKUP(F986,КВР!A$1:B$5001,2),IF(E986&gt;0,VLOOKUP(E986,Направление!A$1:B$4830,2))))))</f>
        <v>Предоставление субсидий бюджетным, автономным учреждениям и иным некоммерческим организациям</v>
      </c>
      <c r="B986" s="158"/>
      <c r="C986" s="153"/>
      <c r="D986" s="155"/>
      <c r="E986" s="153"/>
      <c r="F986" s="155">
        <v>600</v>
      </c>
      <c r="G986" s="521">
        <v>60000</v>
      </c>
      <c r="H986" s="162"/>
      <c r="I986" s="161">
        <f t="shared" si="21"/>
        <v>60000</v>
      </c>
    </row>
    <row r="987" spans="1:9" s="182" customFormat="1" x14ac:dyDescent="0.25">
      <c r="A987" s="157" t="str">
        <f>IF(B987&gt;0,VLOOKUP(B987,КВСР!A417:B1582,2),IF(C987&gt;0,VLOOKUP(C987,КФСР!A417:B1929,2),IF(D987&gt;0,VLOOKUP(D987,Программа!A$1:B$5100,2),IF(F987&gt;0,VLOOKUP(F987,КВР!A$1:B$5001,2),IF(E987&gt;0,VLOOKUP(E987,Направление!A$1:B$4830,2))))))</f>
        <v>Иные бюджетные ассигнования</v>
      </c>
      <c r="B987" s="158"/>
      <c r="C987" s="153"/>
      <c r="D987" s="155"/>
      <c r="E987" s="153"/>
      <c r="F987" s="155">
        <v>800</v>
      </c>
      <c r="G987" s="521">
        <v>100000</v>
      </c>
      <c r="H987" s="162"/>
      <c r="I987" s="161">
        <f t="shared" si="21"/>
        <v>100000</v>
      </c>
    </row>
    <row r="988" spans="1:9" s="182" customFormat="1" ht="63" hidden="1" x14ac:dyDescent="0.25">
      <c r="A988" s="157" t="str">
        <f>IF(B988&gt;0,VLOOKUP(B988,КВСР!A415:B1580,2),IF(C988&gt;0,VLOOKUP(C988,КФСР!A415:B1927,2),IF(D988&gt;0,VLOOKUP(D988,Программа!A$1:B$5100,2),IF(F988&gt;0,VLOOKUP(F988,КВР!A$1:B$5001,2),IF(E988&gt;0,VLOOKUP(E988,Направление!A$1:B$4830,2))))))</f>
        <v>Муниципальная программа "Развитие образования, физической культуры и спорта в Тутаевском муниципальном районе"</v>
      </c>
      <c r="B988" s="158"/>
      <c r="C988" s="153"/>
      <c r="D988" s="154" t="s">
        <v>686</v>
      </c>
      <c r="E988" s="153"/>
      <c r="F988" s="155"/>
      <c r="G988" s="611">
        <v>0</v>
      </c>
      <c r="H988" s="161">
        <f>H989</f>
        <v>0</v>
      </c>
      <c r="I988" s="161">
        <f t="shared" si="21"/>
        <v>0</v>
      </c>
    </row>
    <row r="989" spans="1:9" s="182" customFormat="1" ht="63" hidden="1" x14ac:dyDescent="0.25">
      <c r="A989" s="157" t="str">
        <f>IF(B989&gt;0,VLOOKUP(B989,КВСР!A416:B1581,2),IF(C989&gt;0,VLOOKUP(C989,КФСР!A416:B1928,2),IF(D989&gt;0,VLOOKUP(D989,Программа!A$1:B$5100,2),IF(F989&gt;0,VLOOKUP(F989,КВР!A$1:B$5001,2),IF(E989&gt;0,VLOOKUP(E989,Направление!A$1:B$4830,2))))))</f>
        <v>Муниципальная целевая программа "Духовно-нравственное воспитание и просвещение населения Тутаевского муниципального района"</v>
      </c>
      <c r="B989" s="158"/>
      <c r="C989" s="153"/>
      <c r="D989" s="154" t="s">
        <v>740</v>
      </c>
      <c r="E989" s="153"/>
      <c r="F989" s="155"/>
      <c r="G989" s="611">
        <v>0</v>
      </c>
      <c r="H989" s="161">
        <f>H990</f>
        <v>0</v>
      </c>
      <c r="I989" s="161">
        <f t="shared" si="21"/>
        <v>0</v>
      </c>
    </row>
    <row r="990" spans="1:9" s="182" customFormat="1" ht="63" hidden="1" x14ac:dyDescent="0.25">
      <c r="A990" s="157" t="str">
        <f>IF(B990&gt;0,VLOOKUP(B990,КВСР!A417:B1582,2),IF(C990&gt;0,VLOOKUP(C990,КФСР!A417:B1929,2),IF(D990&gt;0,VLOOKUP(D990,Программа!A$1:B$5100,2),IF(F990&gt;0,VLOOKUP(F990,КВР!A$1:B$5001,2),IF(E990&gt;0,VLOOKUP(E990,Направление!A$1:B$4830,2))))))</f>
        <v>Реализация мер по созданию целостной системы духовно-нравственного воспитания и просвещения населения</v>
      </c>
      <c r="B990" s="158"/>
      <c r="C990" s="153"/>
      <c r="D990" s="154" t="s">
        <v>742</v>
      </c>
      <c r="E990" s="153"/>
      <c r="F990" s="155"/>
      <c r="G990" s="611">
        <v>0</v>
      </c>
      <c r="H990" s="161">
        <f>H991</f>
        <v>0</v>
      </c>
      <c r="I990" s="161">
        <f t="shared" si="21"/>
        <v>0</v>
      </c>
    </row>
    <row r="991" spans="1:9" s="182" customFormat="1" ht="47.25" hidden="1" x14ac:dyDescent="0.25">
      <c r="A991" s="157" t="str">
        <f>IF(B991&gt;0,VLOOKUP(B991,КВСР!A418:B1583,2),IF(C991&gt;0,VLOOKUP(C991,КФСР!A418:B1930,2),IF(D991&gt;0,VLOOKUP(D991,Программа!A$1:B$5100,2),IF(F991&gt;0,VLOOKUP(F991,КВР!A$1:B$5001,2),IF(E991&gt;0,VLOOKUP(E991,Направление!A$1:B$4830,2))))))</f>
        <v>Расходы на реализацию МЦП "Духовно - нравственное воспитание и просвещение населения ТМР"</v>
      </c>
      <c r="B991" s="158"/>
      <c r="C991" s="153"/>
      <c r="D991" s="154"/>
      <c r="E991" s="153">
        <v>13810</v>
      </c>
      <c r="F991" s="155"/>
      <c r="G991" s="611">
        <v>0</v>
      </c>
      <c r="H991" s="161">
        <f>H992</f>
        <v>0</v>
      </c>
      <c r="I991" s="161">
        <f t="shared" si="21"/>
        <v>0</v>
      </c>
    </row>
    <row r="992" spans="1:9" s="182" customFormat="1" ht="63" hidden="1" x14ac:dyDescent="0.25">
      <c r="A992" s="157" t="str">
        <f>IF(B992&gt;0,VLOOKUP(B992,КВСР!A418:B1583,2),IF(C992&gt;0,VLOOKUP(C992,КФСР!A418:B1930,2),IF(D992&gt;0,VLOOKUP(D992,Программа!A$1:B$5100,2),IF(F992&gt;0,VLOOKUP(F992,КВР!A$1:B$5001,2),IF(E992&gt;0,VLOOKUP(E992,Направление!A$1:B$4830,2))))))</f>
        <v xml:space="preserve">Закупка товаров, работ и услуг для обеспечения государственных (муниципальных) нужд
</v>
      </c>
      <c r="B992" s="158"/>
      <c r="C992" s="153"/>
      <c r="D992" s="155"/>
      <c r="E992" s="153"/>
      <c r="F992" s="155">
        <v>200</v>
      </c>
      <c r="G992" s="521">
        <v>0</v>
      </c>
      <c r="H992" s="162"/>
      <c r="I992" s="161">
        <f t="shared" si="21"/>
        <v>0</v>
      </c>
    </row>
    <row r="993" spans="1:9" s="182" customFormat="1" ht="47.25" hidden="1" x14ac:dyDescent="0.25">
      <c r="A993" s="157" t="str">
        <f>IF(B993&gt;0,VLOOKUP(B993,КВСР!A419:B1584,2),IF(C993&gt;0,VLOOKUP(C993,КФСР!A419:B1931,2),IF(D993&gt;0,VLOOKUP(D993,Программа!A$1:B$5100,2),IF(F993&gt;0,VLOOKUP(F993,КВР!A$1:B$5001,2),IF(E993&gt;0,VLOOKUP(E993,Направление!A$1:B$4830,2))))))</f>
        <v>Муниципальная программа "Социальная поддержка населения Тутаевского муниципального района"</v>
      </c>
      <c r="B993" s="158"/>
      <c r="C993" s="153"/>
      <c r="D993" s="154" t="s">
        <v>695</v>
      </c>
      <c r="E993" s="153"/>
      <c r="F993" s="155"/>
      <c r="G993" s="611">
        <v>0</v>
      </c>
      <c r="H993" s="161">
        <f>H994</f>
        <v>0</v>
      </c>
      <c r="I993" s="161">
        <f t="shared" si="21"/>
        <v>0</v>
      </c>
    </row>
    <row r="994" spans="1:9" s="182" customFormat="1" ht="63" hidden="1" x14ac:dyDescent="0.25">
      <c r="A994" s="157" t="str">
        <f>IF(B994&gt;0,VLOOKUP(B994,КВСР!A420:B1585,2),IF(C994&gt;0,VLOOKUP(C994,КФСР!A420:B1932,2),IF(D994&gt;0,VLOOKUP(D994,Программа!A$1:B$5100,2),IF(F994&gt;0,VLOOKUP(F994,КВР!A$1:B$5001,2),IF(E994&gt;0,VLOOKUP(E994,Направление!A$1:B$4830,2))))))</f>
        <v>Муниципальная целевая программа "Улучшение условий и охраны труда" по Тутаевскому муниципальному району</v>
      </c>
      <c r="B994" s="158"/>
      <c r="C994" s="153"/>
      <c r="D994" s="154" t="s">
        <v>697</v>
      </c>
      <c r="E994" s="153"/>
      <c r="F994" s="155"/>
      <c r="G994" s="611">
        <v>0</v>
      </c>
      <c r="H994" s="161">
        <f>H995</f>
        <v>0</v>
      </c>
      <c r="I994" s="161">
        <f t="shared" si="21"/>
        <v>0</v>
      </c>
    </row>
    <row r="995" spans="1:9" s="182" customFormat="1" ht="63" hidden="1" x14ac:dyDescent="0.25">
      <c r="A995" s="157" t="str">
        <f>IF(B995&gt;0,VLOOKUP(B995,КВСР!A421:B1586,2),IF(C995&gt;0,VLOOKUP(C995,КФСР!A421:B1933,2),IF(D995&gt;0,VLOOKUP(D995,Программа!A$1:B$5100,2),IF(F995&gt;0,VLOOKUP(F995,КВР!A$1:B$5001,2),IF(E995&gt;0,VLOOKUP(E995,Направление!A$1:B$4830,2))))))</f>
        <v>Специальная оценка условий труда работающих в организациях расположенных на территории Тутаевского муниципального района</v>
      </c>
      <c r="B995" s="158"/>
      <c r="C995" s="153"/>
      <c r="D995" s="154" t="s">
        <v>698</v>
      </c>
      <c r="E995" s="153"/>
      <c r="F995" s="155"/>
      <c r="G995" s="611">
        <v>0</v>
      </c>
      <c r="H995" s="161">
        <f>H996</f>
        <v>0</v>
      </c>
      <c r="I995" s="161">
        <f t="shared" si="21"/>
        <v>0</v>
      </c>
    </row>
    <row r="996" spans="1:9" s="182" customFormat="1" ht="31.5" hidden="1" x14ac:dyDescent="0.25">
      <c r="A996" s="157" t="str">
        <f>IF(B996&gt;0,VLOOKUP(B996,КВСР!A422:B1587,2),IF(C996&gt;0,VLOOKUP(C996,КФСР!A422:B1934,2),IF(D996&gt;0,VLOOKUP(D996,Программа!A$1:B$5100,2),IF(F996&gt;0,VLOOKUP(F996,КВР!A$1:B$5001,2),IF(E996&gt;0,VLOOKUP(E996,Направление!A$1:B$4830,2))))))</f>
        <v>Расходы на реализацию МЦП "Улучшение условий и охраны труда"</v>
      </c>
      <c r="B996" s="158"/>
      <c r="C996" s="153"/>
      <c r="D996" s="154"/>
      <c r="E996" s="153">
        <v>16150</v>
      </c>
      <c r="F996" s="155"/>
      <c r="G996" s="611">
        <v>0</v>
      </c>
      <c r="H996" s="161">
        <f>H997</f>
        <v>0</v>
      </c>
      <c r="I996" s="161">
        <f t="shared" si="21"/>
        <v>0</v>
      </c>
    </row>
    <row r="997" spans="1:9" s="182" customFormat="1" ht="63" hidden="1" x14ac:dyDescent="0.25">
      <c r="A997" s="157" t="str">
        <f>IF(B997&gt;0,VLOOKUP(B997,КВСР!A423:B1588,2),IF(C997&gt;0,VLOOKUP(C997,КФСР!A423:B1935,2),IF(D997&gt;0,VLOOKUP(D997,Программа!A$1:B$5100,2),IF(F997&gt;0,VLOOKUP(F997,КВР!A$1:B$5001,2),IF(E997&gt;0,VLOOKUP(E997,Направление!A$1:B$4830,2))))))</f>
        <v>Предоставление субсидий бюджетным, автономным учреждениям и иным некоммерческим организациям</v>
      </c>
      <c r="B997" s="158"/>
      <c r="C997" s="153"/>
      <c r="D997" s="154"/>
      <c r="E997" s="153"/>
      <c r="F997" s="155">
        <v>600</v>
      </c>
      <c r="G997" s="521">
        <v>0</v>
      </c>
      <c r="H997" s="162"/>
      <c r="I997" s="161">
        <f t="shared" si="21"/>
        <v>0</v>
      </c>
    </row>
    <row r="998" spans="1:9" s="182" customFormat="1" ht="78.75" hidden="1" x14ac:dyDescent="0.25">
      <c r="A998" s="157" t="str">
        <f>IF(B998&gt;0,VLOOKUP(B998,КВСР!A424:B1589,2),IF(C998&gt;0,VLOOKUP(C998,КФСР!A424:B1936,2),IF(D998&gt;0,VLOOKUP(D998,Программа!A$1:B$5100,2),IF(F998&gt;0,VLOOKUP(F998,КВР!A$1:B$5001,2),IF(E998&gt;0,VLOOKUP(E998,Направление!A$1:B$4830,2))))))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998" s="158"/>
      <c r="C998" s="153"/>
      <c r="D998" s="154" t="s">
        <v>638</v>
      </c>
      <c r="E998" s="153"/>
      <c r="F998" s="155"/>
      <c r="G998" s="611">
        <v>0</v>
      </c>
      <c r="H998" s="491">
        <f>H999</f>
        <v>0</v>
      </c>
      <c r="I998" s="161">
        <f t="shared" si="21"/>
        <v>0</v>
      </c>
    </row>
    <row r="999" spans="1:9" s="182" customFormat="1" ht="78.75" hidden="1" x14ac:dyDescent="0.25">
      <c r="A999" s="157" t="str">
        <f>IF(B999&gt;0,VLOOKUP(B999,КВСР!A425:B1590,2),IF(C999&gt;0,VLOOKUP(C999,КФСР!A425:B1937,2),IF(D999&gt;0,VLOOKUP(D999,Программа!A$1:B$5100,2),IF(F999&gt;0,VLOOKUP(F999,КВР!A$1:B$5001,2),IF(E999&gt;0,VLOOKUP(E999,Направление!A$1:B$4830,2))))))</f>
        <v xml:space="preserve">Профессиональное развитие  муниципальных служащих и повышение квалификации руководителей муниципальных учреждений </v>
      </c>
      <c r="B999" s="158"/>
      <c r="C999" s="153"/>
      <c r="D999" s="154" t="s">
        <v>639</v>
      </c>
      <c r="E999" s="153"/>
      <c r="F999" s="155"/>
      <c r="G999" s="611">
        <v>0</v>
      </c>
      <c r="H999" s="491">
        <f>H1000</f>
        <v>0</v>
      </c>
      <c r="I999" s="161">
        <f t="shared" si="21"/>
        <v>0</v>
      </c>
    </row>
    <row r="1000" spans="1:9" s="182" customFormat="1" ht="31.5" hidden="1" x14ac:dyDescent="0.25">
      <c r="A1000" s="157" t="str">
        <f>IF(B1000&gt;0,VLOOKUP(B1000,КВСР!A426:B1591,2),IF(C1000&gt;0,VLOOKUP(C1000,КФСР!A426:B1938,2),IF(D1000&gt;0,VLOOKUP(D1000,Программа!A$1:B$5100,2),IF(F1000&gt;0,VLOOKUP(F1000,КВР!A$1:B$5001,2),IF(E1000&gt;0,VLOOKUP(E1000,Направление!A$1:B$4830,2))))))</f>
        <v>Расходы на развитие муниципальной службы</v>
      </c>
      <c r="B1000" s="158"/>
      <c r="C1000" s="153"/>
      <c r="D1000" s="154"/>
      <c r="E1000" s="153">
        <v>12200</v>
      </c>
      <c r="F1000" s="155"/>
      <c r="G1000" s="611">
        <v>0</v>
      </c>
      <c r="H1000" s="491">
        <f>H1001</f>
        <v>0</v>
      </c>
      <c r="I1000" s="161">
        <f t="shared" si="21"/>
        <v>0</v>
      </c>
    </row>
    <row r="1001" spans="1:9" s="182" customFormat="1" ht="63" hidden="1" x14ac:dyDescent="0.25">
      <c r="A1001" s="157" t="str">
        <f>IF(B1001&gt;0,VLOOKUP(B1001,КВСР!A427:B1592,2),IF(C1001&gt;0,VLOOKUP(C1001,КФСР!A427:B1939,2),IF(D1001&gt;0,VLOOKUP(D1001,Программа!A$1:B$5100,2),IF(F1001&gt;0,VLOOKUP(F1001,КВР!A$1:B$5001,2),IF(E1001&gt;0,VLOOKUP(E1001,Направление!A$1:B$4830,2))))))</f>
        <v xml:space="preserve">Закупка товаров, работ и услуг для обеспечения государственных (муниципальных) нужд
</v>
      </c>
      <c r="B1001" s="158"/>
      <c r="C1001" s="153"/>
      <c r="D1001" s="154"/>
      <c r="E1001" s="153"/>
      <c r="F1001" s="155">
        <v>200</v>
      </c>
      <c r="G1001" s="521">
        <v>0</v>
      </c>
      <c r="H1001" s="162"/>
      <c r="I1001" s="161">
        <f t="shared" si="21"/>
        <v>0</v>
      </c>
    </row>
    <row r="1002" spans="1:9" s="182" customFormat="1" ht="63" hidden="1" x14ac:dyDescent="0.25">
      <c r="A1002" s="157" t="str">
        <f>IF(B1002&gt;0,VLOOKUP(B1002,КВСР!A428:B1593,2),IF(C1002&gt;0,VLOOKUP(C1002,КФСР!A428:B1940,2),IF(D1002&gt;0,VLOOKUP(D1002,Программа!A$1:B$5100,2),IF(F1002&gt;0,VLOOKUP(F1002,КВР!A$1:B$5001,2),IF(E1002&gt;0,VLOOKUP(E1002,Направление!A$1:B$4830,2))))))</f>
        <v>Муниципальная программа "Информатизация управленческой деятельности Администрации Тутаевского муниципального района"</v>
      </c>
      <c r="B1002" s="158"/>
      <c r="C1002" s="153"/>
      <c r="D1002" s="154" t="s">
        <v>642</v>
      </c>
      <c r="E1002" s="153"/>
      <c r="F1002" s="155"/>
      <c r="G1002" s="611">
        <v>0</v>
      </c>
      <c r="H1002" s="491">
        <f>H1003</f>
        <v>0</v>
      </c>
      <c r="I1002" s="161">
        <f t="shared" si="21"/>
        <v>0</v>
      </c>
    </row>
    <row r="1003" spans="1:9" s="182" customFormat="1" ht="31.5" hidden="1" x14ac:dyDescent="0.25">
      <c r="A1003" s="157" t="str">
        <f>IF(B1003&gt;0,VLOOKUP(B1003,КВСР!A429:B1594,2),IF(C1003&gt;0,VLOOKUP(C1003,КФСР!A429:B1941,2),IF(D1003&gt;0,VLOOKUP(D1003,Программа!A$1:B$5100,2),IF(F1003&gt;0,VLOOKUP(F1003,КВР!A$1:B$5001,2),IF(E1003&gt;0,VLOOKUP(E1003,Направление!A$1:B$4830,2))))))</f>
        <v>Бесперебойное функционирование информационных систем</v>
      </c>
      <c r="B1003" s="158"/>
      <c r="C1003" s="153"/>
      <c r="D1003" s="154" t="s">
        <v>679</v>
      </c>
      <c r="E1003" s="153"/>
      <c r="F1003" s="155"/>
      <c r="G1003" s="611">
        <v>0</v>
      </c>
      <c r="H1003" s="491">
        <f>H1004</f>
        <v>0</v>
      </c>
      <c r="I1003" s="161">
        <f t="shared" si="21"/>
        <v>0</v>
      </c>
    </row>
    <row r="1004" spans="1:9" s="182" customFormat="1" ht="31.5" hidden="1" x14ac:dyDescent="0.25">
      <c r="A1004" s="157" t="str">
        <f>IF(B1004&gt;0,VLOOKUP(B1004,КВСР!A430:B1595,2),IF(C1004&gt;0,VLOOKUP(C1004,КФСР!A430:B1942,2),IF(D1004&gt;0,VLOOKUP(D1004,Программа!A$1:B$5100,2),IF(F1004&gt;0,VLOOKUP(F1004,КВР!A$1:B$5001,2),IF(E1004&gt;0,VLOOKUP(E1004,Направление!A$1:B$4830,2))))))</f>
        <v>Расходы на проведение мероприятий по информатизации</v>
      </c>
      <c r="B1004" s="158"/>
      <c r="C1004" s="153"/>
      <c r="D1004" s="154"/>
      <c r="E1004" s="153">
        <v>12210</v>
      </c>
      <c r="F1004" s="155"/>
      <c r="G1004" s="611">
        <v>0</v>
      </c>
      <c r="H1004" s="491">
        <f>H1005</f>
        <v>0</v>
      </c>
      <c r="I1004" s="161">
        <f t="shared" si="21"/>
        <v>0</v>
      </c>
    </row>
    <row r="1005" spans="1:9" s="182" customFormat="1" ht="63" hidden="1" x14ac:dyDescent="0.25">
      <c r="A1005" s="157" t="str">
        <f>IF(B1005&gt;0,VLOOKUP(B1005,КВСР!A431:B1596,2),IF(C1005&gt;0,VLOOKUP(C1005,КФСР!A431:B1943,2),IF(D1005&gt;0,VLOOKUP(D1005,Программа!A$1:B$5100,2),IF(F1005&gt;0,VLOOKUP(F1005,КВР!A$1:B$5001,2),IF(E1005&gt;0,VLOOKUP(E1005,Направление!A$1:B$4830,2))))))</f>
        <v xml:space="preserve">Закупка товаров, работ и услуг для обеспечения государственных (муниципальных) нужд
</v>
      </c>
      <c r="B1005" s="158"/>
      <c r="C1005" s="153"/>
      <c r="D1005" s="154"/>
      <c r="E1005" s="153"/>
      <c r="F1005" s="155">
        <v>200</v>
      </c>
      <c r="G1005" s="521">
        <v>0</v>
      </c>
      <c r="H1005" s="162"/>
      <c r="I1005" s="161">
        <f t="shared" si="21"/>
        <v>0</v>
      </c>
    </row>
    <row r="1006" spans="1:9" ht="63" x14ac:dyDescent="0.25">
      <c r="A1006" s="157" t="str">
        <f>IF(B1006&gt;0,VLOOKUP(B1006,КВСР!A433:B1598,2),IF(C1006&gt;0,VLOOKUP(C1006,КФСР!A433:B1945,2),IF(D1006&gt;0,VLOOKUP(D1006,Программа!A$1:B$5100,2),IF(F1006&gt;0,VLOOKUP(F1006,КВР!A$1:B$5001,2),IF(E1006&gt;0,VLOOKUP(E1006,Направление!A$1:B$4830,2))))))</f>
        <v>Муниципальная программа "Профилактика правонарушений и усиление борьбы с преступностью в Тутаевском муниципальном районе"</v>
      </c>
      <c r="B1006" s="158"/>
      <c r="C1006" s="153"/>
      <c r="D1006" s="154" t="s">
        <v>748</v>
      </c>
      <c r="E1006" s="153"/>
      <c r="F1006" s="155"/>
      <c r="G1006" s="611">
        <v>32000</v>
      </c>
      <c r="H1006" s="161">
        <f>H1007</f>
        <v>0</v>
      </c>
      <c r="I1006" s="161">
        <f t="shared" si="21"/>
        <v>32000</v>
      </c>
    </row>
    <row r="1007" spans="1:9" ht="31.5" x14ac:dyDescent="0.25">
      <c r="A1007" s="157" t="str">
        <f>IF(B1007&gt;0,VLOOKUP(B1007,КВСР!A434:B1599,2),IF(C1007&gt;0,VLOOKUP(C1007,КФСР!A434:B1946,2),IF(D1007&gt;0,VLOOKUP(D1007,Программа!A$1:B$5100,2),IF(F1007&gt;0,VLOOKUP(F1007,КВР!A$1:B$5001,2),IF(E1007&gt;0,VLOOKUP(E1007,Направление!A$1:B$4830,2))))))</f>
        <v>Реализация мероприятий по профилактике правонарушений</v>
      </c>
      <c r="B1007" s="158"/>
      <c r="C1007" s="153"/>
      <c r="D1007" s="154" t="s">
        <v>750</v>
      </c>
      <c r="E1007" s="153"/>
      <c r="F1007" s="155"/>
      <c r="G1007" s="611">
        <v>32000</v>
      </c>
      <c r="H1007" s="161">
        <f>H1008</f>
        <v>0</v>
      </c>
      <c r="I1007" s="161">
        <f t="shared" si="21"/>
        <v>32000</v>
      </c>
    </row>
    <row r="1008" spans="1:9" ht="47.25" x14ac:dyDescent="0.25">
      <c r="A1008" s="157" t="str">
        <f>IF(B1008&gt;0,VLOOKUP(B1008,КВСР!A435:B1600,2),IF(C1008&gt;0,VLOOKUP(C1008,КФСР!A435:B1947,2),IF(D1008&gt;0,VLOOKUP(D1008,Программа!A$1:B$5100,2),IF(F1008&gt;0,VLOOKUP(F1008,КВР!A$1:B$5001,2),IF(E1008&gt;0,VLOOKUP(E1008,Направление!A$1:B$4830,2))))))</f>
        <v>Расходы на профилактику правонарушений и усиления борьбы с преступностью</v>
      </c>
      <c r="B1008" s="158"/>
      <c r="C1008" s="153"/>
      <c r="D1008" s="154"/>
      <c r="E1008" s="153">
        <v>12250</v>
      </c>
      <c r="F1008" s="155"/>
      <c r="G1008" s="611">
        <v>32000</v>
      </c>
      <c r="H1008" s="161">
        <f>H1009</f>
        <v>0</v>
      </c>
      <c r="I1008" s="161">
        <f t="shared" si="21"/>
        <v>32000</v>
      </c>
    </row>
    <row r="1009" spans="1:9" ht="63" x14ac:dyDescent="0.25">
      <c r="A1009" s="157" t="str">
        <f>IF(B1009&gt;0,VLOOKUP(B1009,КВСР!A436:B1601,2),IF(C1009&gt;0,VLOOKUP(C1009,КФСР!A436:B1948,2),IF(D1009&gt;0,VLOOKUP(D1009,Программа!A$1:B$5100,2),IF(F1009&gt;0,VLOOKUP(F1009,КВР!A$1:B$5001,2),IF(E1009&gt;0,VLOOKUP(E1009,Направление!A$1:B$4830,2))))))</f>
        <v>Предоставление субсидий бюджетным, автономным учреждениям и иным некоммерческим организациям</v>
      </c>
      <c r="B1009" s="158"/>
      <c r="C1009" s="153"/>
      <c r="D1009" s="155"/>
      <c r="E1009" s="153"/>
      <c r="F1009" s="155">
        <v>600</v>
      </c>
      <c r="G1009" s="162">
        <v>32000</v>
      </c>
      <c r="H1009" s="162"/>
      <c r="I1009" s="161">
        <f t="shared" si="21"/>
        <v>32000</v>
      </c>
    </row>
    <row r="1010" spans="1:9" x14ac:dyDescent="0.25">
      <c r="A1010" s="157" t="str">
        <f>IF(B1010&gt;0,VLOOKUP(B1010,КВСР!A436:B1601,2),IF(C1010&gt;0,VLOOKUP(C1010,КФСР!A436:B1948,2),IF(D1010&gt;0,VLOOKUP(D1010,Программа!A$1:B$5100,2),IF(F1010&gt;0,VLOOKUP(F1010,КВР!A$1:B$5001,2),IF(E1010&gt;0,VLOOKUP(E1010,Направление!A$1:B$4830,2))))))</f>
        <v>Периодическая печать и издательства</v>
      </c>
      <c r="B1010" s="158"/>
      <c r="C1010" s="153">
        <v>1202</v>
      </c>
      <c r="D1010" s="154"/>
      <c r="E1010" s="153"/>
      <c r="F1010" s="155"/>
      <c r="G1010" s="611">
        <v>4240713</v>
      </c>
      <c r="H1010" s="161">
        <f>H1011</f>
        <v>0</v>
      </c>
      <c r="I1010" s="161">
        <f t="shared" si="21"/>
        <v>4240713</v>
      </c>
    </row>
    <row r="1011" spans="1:9" x14ac:dyDescent="0.25">
      <c r="A1011" s="157" t="str">
        <f>IF(B1011&gt;0,VLOOKUP(B1011,КВСР!A437:B1602,2),IF(C1011&gt;0,VLOOKUP(C1011,КФСР!A437:B1949,2),IF(D1011&gt;0,VLOOKUP(D1011,Программа!A$1:B$5100,2),IF(F1011&gt;0,VLOOKUP(F1011,КВР!A$1:B$5001,2),IF(E1011&gt;0,VLOOKUP(E1011,Направление!A$1:B$4830,2))))))</f>
        <v>Непрограммные расходы бюджета</v>
      </c>
      <c r="B1011" s="158"/>
      <c r="C1011" s="153"/>
      <c r="D1011" s="154" t="s">
        <v>626</v>
      </c>
      <c r="E1011" s="153"/>
      <c r="F1011" s="155"/>
      <c r="G1011" s="611">
        <v>4240713</v>
      </c>
      <c r="H1011" s="161">
        <f>H1012</f>
        <v>0</v>
      </c>
      <c r="I1011" s="161">
        <f t="shared" si="21"/>
        <v>4240713</v>
      </c>
    </row>
    <row r="1012" spans="1:9" x14ac:dyDescent="0.25">
      <c r="A1012" s="157" t="str">
        <f>IF(B1012&gt;0,VLOOKUP(B1012,КВСР!A438:B1603,2),IF(C1012&gt;0,VLOOKUP(C1012,КФСР!A438:B1950,2),IF(D1012&gt;0,VLOOKUP(D1012,Программа!A$1:B$5100,2),IF(F1012&gt;0,VLOOKUP(F1012,КВР!A$1:B$5001,2),IF(E1012&gt;0,VLOOKUP(E1012,Направление!A$1:B$4830,2))))))</f>
        <v xml:space="preserve">Поддержка периодических изданий </v>
      </c>
      <c r="B1012" s="158"/>
      <c r="C1012" s="153"/>
      <c r="D1012" s="154"/>
      <c r="E1012" s="153">
        <v>12750</v>
      </c>
      <c r="F1012" s="155"/>
      <c r="G1012" s="611">
        <v>4240713</v>
      </c>
      <c r="H1012" s="161">
        <f>H1013</f>
        <v>0</v>
      </c>
      <c r="I1012" s="161">
        <f t="shared" si="21"/>
        <v>4240713</v>
      </c>
    </row>
    <row r="1013" spans="1:9" ht="63" x14ac:dyDescent="0.25">
      <c r="A1013" s="157" t="str">
        <f>IF(B1013&gt;0,VLOOKUP(B1013,КВСР!A439:B1604,2),IF(C1013&gt;0,VLOOKUP(C1013,КФСР!A439:B1951,2),IF(D1013&gt;0,VLOOKUP(D1013,Программа!A$1:B$5100,2),IF(F1013&gt;0,VLOOKUP(F1013,КВР!A$1:B$5001,2),IF(E1013&gt;0,VLOOKUP(E1013,Направление!A$1:B$4830,2))))))</f>
        <v>Предоставление субсидий бюджетным, автономным учреждениям и иным некоммерческим организациям</v>
      </c>
      <c r="B1013" s="158"/>
      <c r="C1013" s="153"/>
      <c r="D1013" s="155"/>
      <c r="E1013" s="153"/>
      <c r="F1013" s="155">
        <v>600</v>
      </c>
      <c r="G1013" s="160">
        <v>4240713</v>
      </c>
      <c r="H1013" s="160"/>
      <c r="I1013" s="161">
        <f t="shared" si="21"/>
        <v>4240713</v>
      </c>
    </row>
    <row r="1014" spans="1:9" ht="31.5" x14ac:dyDescent="0.25">
      <c r="A1014" s="151" t="str">
        <f>IF(B1014&gt;0,VLOOKUP(B1014,КВСР!A440:B1605,2),IF(C1014&gt;0,VLOOKUP(C1014,КФСР!A440:B1952,2),IF(D1014&gt;0,VLOOKUP(D1014,Программа!A$1:B$5100,2),IF(F1014&gt;0,VLOOKUP(F1014,КВР!A$1:B$5001,2),IF(E1014&gt;0,VLOOKUP(E1014,Направление!A$1:B$4830,2))))))</f>
        <v>Департамент ЖКХ и строительства Администрации ТМР</v>
      </c>
      <c r="B1014" s="152">
        <v>958</v>
      </c>
      <c r="C1014" s="153"/>
      <c r="D1014" s="154"/>
      <c r="E1014" s="153"/>
      <c r="F1014" s="155"/>
      <c r="G1014" s="610">
        <v>82683724.530000001</v>
      </c>
      <c r="H1014" s="610">
        <f>H1015+H1040+H1050+H1080+H1137+H1170+H1203+H1182+H1029+H1033+H1195+H1160+H1176+H1058</f>
        <v>463254</v>
      </c>
      <c r="I1014" s="625">
        <f t="shared" si="21"/>
        <v>83146978.530000001</v>
      </c>
    </row>
    <row r="1015" spans="1:9" x14ac:dyDescent="0.25">
      <c r="A1015" s="157" t="str">
        <f>IF(B1015&gt;0,VLOOKUP(B1015,КВСР!A445:B1610,2),IF(C1015&gt;0,VLOOKUP(C1015,КФСР!A445:B1957,2),IF(D1015&gt;0,VLOOKUP(D1015,Программа!A$1:B$5100,2),IF(F1015&gt;0,VLOOKUP(F1015,КВР!A$1:B$5001,2),IF(E1015&gt;0,VLOOKUP(E1015,Направление!A$1:B$4830,2))))))</f>
        <v>Топливно-энергетический комплекс</v>
      </c>
      <c r="B1015" s="152"/>
      <c r="C1015" s="153">
        <v>402</v>
      </c>
      <c r="D1015" s="154"/>
      <c r="E1015" s="153"/>
      <c r="F1015" s="155"/>
      <c r="G1015" s="504">
        <v>766964</v>
      </c>
      <c r="H1015" s="159">
        <f>H1016+H1021</f>
        <v>-100000</v>
      </c>
      <c r="I1015" s="161">
        <f t="shared" si="21"/>
        <v>666964</v>
      </c>
    </row>
    <row r="1016" spans="1:9" ht="63" x14ac:dyDescent="0.25">
      <c r="A1016" s="157" t="str">
        <f>IF(B1016&gt;0,VLOOKUP(B1016,КВСР!A446:B1611,2),IF(C1016&gt;0,VLOOKUP(C1016,КФСР!A446:B1958,2),IF(D1016&gt;0,VLOOKUP(D1016,Программа!A$1:B$5100,2),IF(F1016&gt;0,VLOOKUP(F1016,КВР!A$1:B$5001,2),IF(E1016&gt;0,VLOOKUP(E1016,Направление!A$1:B$4830,2))))))</f>
        <v>Муниципальная программа "Обеспечение качественными коммунальными услугами населения Тутаевского муниципального района"</v>
      </c>
      <c r="B1016" s="152"/>
      <c r="C1016" s="153"/>
      <c r="D1016" s="154" t="s">
        <v>851</v>
      </c>
      <c r="E1016" s="153"/>
      <c r="F1016" s="155"/>
      <c r="G1016" s="504">
        <v>500000</v>
      </c>
      <c r="H1016" s="159">
        <f>H1017</f>
        <v>-100000</v>
      </c>
      <c r="I1016" s="161">
        <f t="shared" si="21"/>
        <v>400000</v>
      </c>
    </row>
    <row r="1017" spans="1:9" ht="94.5" x14ac:dyDescent="0.25">
      <c r="A1017" s="157" t="str">
        <f>IF(B1017&gt;0,VLOOKUP(B1017,КВСР!A447:B1612,2),IF(C1017&gt;0,VLOOKUP(C1017,КФСР!A447:B1959,2),IF(D1017&gt;0,VLOOKUP(D1017,Программа!A$1:B$5100,2),IF(F1017&gt;0,VLOOKUP(F1017,КВР!A$1:B$5001,2),IF(E1017&gt;0,VLOOKUP(E1017,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17" s="152"/>
      <c r="C1017" s="153"/>
      <c r="D1017" s="154" t="s">
        <v>853</v>
      </c>
      <c r="E1017" s="153"/>
      <c r="F1017" s="155"/>
      <c r="G1017" s="504">
        <v>500000</v>
      </c>
      <c r="H1017" s="159">
        <f>H1018</f>
        <v>-100000</v>
      </c>
      <c r="I1017" s="161">
        <f t="shared" si="21"/>
        <v>400000</v>
      </c>
    </row>
    <row r="1018" spans="1:9" ht="63" x14ac:dyDescent="0.25">
      <c r="A1018" s="157" t="str">
        <f>IF(B1018&gt;0,VLOOKUP(B1018,КВСР!A448:B1613,2),IF(C1018&gt;0,VLOOKUP(C1018,КФСР!A448:B1960,2),IF(D1018&gt;0,VLOOKUP(D1018,Программа!A$1:B$5100,2),IF(F1018&gt;0,VLOOKUP(F1018,КВР!A$1:B$5001,2),IF(E1018&gt;0,VLOOKUP(E1018,Направление!A$1:B$4830,2))))))</f>
        <v>Обеспечение надежного снабжения  твердым топливом  сельского населения, путем частичного возмещения расходов</v>
      </c>
      <c r="B1018" s="152"/>
      <c r="C1018" s="153"/>
      <c r="D1018" s="154" t="s">
        <v>854</v>
      </c>
      <c r="E1018" s="153"/>
      <c r="F1018" s="155"/>
      <c r="G1018" s="504">
        <v>500000</v>
      </c>
      <c r="H1018" s="159">
        <f>H1019</f>
        <v>-100000</v>
      </c>
      <c r="I1018" s="161">
        <f t="shared" ref="I1018:I1093" si="22">SUM(G1018:H1018)</f>
        <v>400000</v>
      </c>
    </row>
    <row r="1019" spans="1:9" ht="47.25" x14ac:dyDescent="0.25">
      <c r="A1019" s="157" t="str">
        <f>IF(B1019&gt;0,VLOOKUP(B1019,КВСР!A447:B1612,2),IF(C1019&gt;0,VLOOKUP(C1019,КФСР!A447:B1959,2),IF(D1019&gt;0,VLOOKUP(D1019,Программа!A$1:B$5100,2),IF(F1019&gt;0,VLOOKUP(F1019,КВР!A$1:B$5001,2),IF(E1019&gt;0,VLOOKUP(E1019,Направление!A$1:B$4830,2))))))</f>
        <v>Субсидия  на возмещение части затрат по обеспечению населения твердым топливом</v>
      </c>
      <c r="B1019" s="152"/>
      <c r="C1019" s="153"/>
      <c r="D1019" s="154"/>
      <c r="E1019" s="153">
        <v>10110</v>
      </c>
      <c r="F1019" s="155"/>
      <c r="G1019" s="504">
        <v>500000</v>
      </c>
      <c r="H1019" s="159">
        <f>H1020</f>
        <v>-100000</v>
      </c>
      <c r="I1019" s="161">
        <f t="shared" si="22"/>
        <v>400000</v>
      </c>
    </row>
    <row r="1020" spans="1:9" x14ac:dyDescent="0.25">
      <c r="A1020" s="157" t="str">
        <f>IF(B1020&gt;0,VLOOKUP(B1020,КВСР!A448:B1613,2),IF(C1020&gt;0,VLOOKUP(C1020,КФСР!A448:B1960,2),IF(D1020&gt;0,VLOOKUP(D1020,Программа!A$1:B$5100,2),IF(F1020&gt;0,VLOOKUP(F1020,КВР!A$1:B$5001,2),IF(E1020&gt;0,VLOOKUP(E1020,Направление!A$1:B$4830,2))))))</f>
        <v>Иные бюджетные ассигнования</v>
      </c>
      <c r="B1020" s="152"/>
      <c r="C1020" s="153"/>
      <c r="D1020" s="155"/>
      <c r="E1020" s="153"/>
      <c r="F1020" s="155">
        <v>800</v>
      </c>
      <c r="G1020" s="502">
        <v>500000</v>
      </c>
      <c r="H1020" s="160">
        <v>-100000</v>
      </c>
      <c r="I1020" s="161">
        <f t="shared" si="22"/>
        <v>400000</v>
      </c>
    </row>
    <row r="1021" spans="1:9" ht="63" x14ac:dyDescent="0.25">
      <c r="A1021" s="157" t="str">
        <f>IF(B1021&gt;0,VLOOKUP(B1021,КВСР!A451:B1616,2),IF(C1021&gt;0,VLOOKUP(C1021,КФСР!A451:B1963,2),IF(D1021&gt;0,VLOOKUP(D1021,Программа!A$1:B$5100,2),IF(F1021&gt;0,VLOOKUP(F1021,КВР!A$1:B$5001,2),IF(E1021&gt;0,VLOOKUP(E1021,Направление!A$1:B$4830,2))))))</f>
        <v>Муниципальная  программа "Об энергосбережении и повышении энергетической эффективности Тутаевского муниципального района"</v>
      </c>
      <c r="B1021" s="152"/>
      <c r="C1021" s="153"/>
      <c r="D1021" s="155" t="s">
        <v>856</v>
      </c>
      <c r="E1021" s="153"/>
      <c r="F1021" s="155"/>
      <c r="G1021" s="168">
        <v>266964</v>
      </c>
      <c r="H1021" s="168">
        <f>H1022</f>
        <v>0</v>
      </c>
      <c r="I1021" s="161">
        <f t="shared" si="22"/>
        <v>266964</v>
      </c>
    </row>
    <row r="1022" spans="1:9" ht="110.25" x14ac:dyDescent="0.25">
      <c r="A1022" s="157" t="str">
        <f>IF(B1022&gt;0,VLOOKUP(B1022,КВСР!A452:B1617,2),IF(C1022&gt;0,VLOOKUP(C1022,КФСР!A452:B1964,2),IF(D1022&gt;0,VLOOKUP(D1022,Программа!A$1:B$5100,2),IF(F1022&gt;0,VLOOKUP(F1022,КВР!A$1:B$5001,2),IF(E1022&gt;0,VLOOKUP(E1022,Направление!A$1:B$4830,2)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1022" s="152"/>
      <c r="C1022" s="153"/>
      <c r="D1022" s="155" t="s">
        <v>858</v>
      </c>
      <c r="E1022" s="153"/>
      <c r="F1022" s="155"/>
      <c r="G1022" s="168">
        <v>266964</v>
      </c>
      <c r="H1022" s="168">
        <f>H1023+H1025+H1027</f>
        <v>0</v>
      </c>
      <c r="I1022" s="161">
        <f t="shared" si="22"/>
        <v>266964</v>
      </c>
    </row>
    <row r="1023" spans="1:9" ht="47.25" x14ac:dyDescent="0.25">
      <c r="A1023" s="157" t="str">
        <f>IF(B1023&gt;0,VLOOKUP(B1023,КВСР!A452:B1617,2),IF(C1023&gt;0,VLOOKUP(C1023,КФСР!A452:B1964,2),IF(D1023&gt;0,VLOOKUP(D1023,Программа!A$1:B$5100,2),IF(F1023&gt;0,VLOOKUP(F1023,КВР!A$1:B$5001,2),IF(E1023&gt;0,VLOOKUP(E1023,Направление!A$1:B$4830,2))))))</f>
        <v>Мероприятия по повышению энергоэффективности и энергосбережению</v>
      </c>
      <c r="B1023" s="152"/>
      <c r="C1023" s="153"/>
      <c r="D1023" s="155"/>
      <c r="E1023" s="153">
        <v>10400</v>
      </c>
      <c r="F1023" s="155"/>
      <c r="G1023" s="168">
        <v>98200</v>
      </c>
      <c r="H1023" s="168">
        <f>H1024</f>
        <v>0</v>
      </c>
      <c r="I1023" s="161">
        <f t="shared" si="22"/>
        <v>98200</v>
      </c>
    </row>
    <row r="1024" spans="1:9" ht="63" x14ac:dyDescent="0.25">
      <c r="A1024" s="157" t="str">
        <f>IF(B1024&gt;0,VLOOKUP(B1024,КВСР!A453:B1618,2),IF(C1024&gt;0,VLOOKUP(C1024,КФСР!A453:B1965,2),IF(D1024&gt;0,VLOOKUP(D1024,Программа!A$1:B$5100,2),IF(F1024&gt;0,VLOOKUP(F1024,КВР!A$1:B$5001,2),IF(E1024&gt;0,VLOOKUP(E1024,Направление!A$1:B$4830,2))))))</f>
        <v xml:space="preserve">Закупка товаров, работ и услуг для обеспечения государственных (муниципальных) нужд
</v>
      </c>
      <c r="B1024" s="152"/>
      <c r="C1024" s="153"/>
      <c r="D1024" s="155"/>
      <c r="E1024" s="153"/>
      <c r="F1024" s="155">
        <v>200</v>
      </c>
      <c r="G1024" s="502">
        <v>98200</v>
      </c>
      <c r="H1024" s="160"/>
      <c r="I1024" s="161">
        <f t="shared" si="22"/>
        <v>98200</v>
      </c>
    </row>
    <row r="1025" spans="1:9" ht="31.5" x14ac:dyDescent="0.25">
      <c r="A1025" s="157" t="str">
        <f>IF(B1025&gt;0,VLOOKUP(B1025,КВСР!A454:B1619,2),IF(C1025&gt;0,VLOOKUP(C1025,КФСР!A454:B1966,2),IF(D1025&gt;0,VLOOKUP(D1025,Программа!A$1:B$5100,2),IF(F1025&gt;0,VLOOKUP(F1025,КВР!A$1:B$5001,2),IF(E1025&gt;0,VLOOKUP(E1025,Направление!A$1:B$4830,2))))))</f>
        <v>Мероприятия по актуализации схем теплоснабжения</v>
      </c>
      <c r="B1025" s="152"/>
      <c r="C1025" s="153"/>
      <c r="D1025" s="155"/>
      <c r="E1025" s="153">
        <v>29536</v>
      </c>
      <c r="F1025" s="155"/>
      <c r="G1025" s="502">
        <v>109030</v>
      </c>
      <c r="H1025" s="502">
        <f>H1026</f>
        <v>0</v>
      </c>
      <c r="I1025" s="161">
        <f>SUM(G1025:H1025)</f>
        <v>109030</v>
      </c>
    </row>
    <row r="1026" spans="1:9" ht="63" x14ac:dyDescent="0.25">
      <c r="A1026" s="157" t="str">
        <f>IF(B1026&gt;0,VLOOKUP(B1026,КВСР!A455:B1620,2),IF(C1026&gt;0,VLOOKUP(C1026,КФСР!A455:B1967,2),IF(D1026&gt;0,VLOOKUP(D1026,Программа!A$1:B$5100,2),IF(F1026&gt;0,VLOOKUP(F1026,КВР!A$1:B$5001,2),IF(E1026&gt;0,VLOOKUP(E1026,Направление!A$1:B$4830,2))))))</f>
        <v xml:space="preserve">Закупка товаров, работ и услуг для обеспечения государственных (муниципальных) нужд
</v>
      </c>
      <c r="B1026" s="152"/>
      <c r="C1026" s="153"/>
      <c r="D1026" s="155"/>
      <c r="E1026" s="153"/>
      <c r="F1026" s="155">
        <v>200</v>
      </c>
      <c r="G1026" s="502">
        <v>109030</v>
      </c>
      <c r="H1026" s="160"/>
      <c r="I1026" s="161">
        <f>SUM(G1026:H1026)</f>
        <v>109030</v>
      </c>
    </row>
    <row r="1027" spans="1:9" ht="47.25" x14ac:dyDescent="0.25">
      <c r="A1027" s="157" t="str">
        <f>IF(B1027&gt;0,VLOOKUP(B1027,КВСР!A456:B1621,2),IF(C1027&gt;0,VLOOKUP(C1027,КФСР!A456:B1968,2),IF(D1027&gt;0,VLOOKUP(D1027,Программа!A$1:B$5100,2),IF(F1027&gt;0,VLOOKUP(F1027,КВР!A$1:B$5001,2),IF(E1027&gt;0,VLOOKUP(E1027,Направление!A$1:B$4830,2))))))</f>
        <v>Обеспечение мероприятий по актуализации схем водоснабжения и водоотведения</v>
      </c>
      <c r="B1027" s="152"/>
      <c r="C1027" s="153"/>
      <c r="D1027" s="155"/>
      <c r="E1027" s="153">
        <v>29636</v>
      </c>
      <c r="F1027" s="155"/>
      <c r="G1027" s="502">
        <v>59734</v>
      </c>
      <c r="H1027" s="502">
        <f>H1028</f>
        <v>0</v>
      </c>
      <c r="I1027" s="161">
        <f>SUM(G1027:H1027)</f>
        <v>59734</v>
      </c>
    </row>
    <row r="1028" spans="1:9" ht="63" x14ac:dyDescent="0.25">
      <c r="A1028" s="157" t="str">
        <f>IF(B1028&gt;0,VLOOKUP(B1028,КВСР!A457:B1622,2),IF(C1028&gt;0,VLOOKUP(C1028,КФСР!A457:B1969,2),IF(D1028&gt;0,VLOOKUP(D1028,Программа!A$1:B$5100,2),IF(F1028&gt;0,VLOOKUP(F1028,КВР!A$1:B$5001,2),IF(E1028&gt;0,VLOOKUP(E1028,Направление!A$1:B$4830,2))))))</f>
        <v xml:space="preserve">Закупка товаров, работ и услуг для обеспечения государственных (муниципальных) нужд
</v>
      </c>
      <c r="B1028" s="152"/>
      <c r="C1028" s="153"/>
      <c r="D1028" s="155"/>
      <c r="E1028" s="153"/>
      <c r="F1028" s="155">
        <v>200</v>
      </c>
      <c r="G1028" s="502">
        <v>59734</v>
      </c>
      <c r="H1028" s="160"/>
      <c r="I1028" s="161">
        <f>SUM(G1028:H1028)</f>
        <v>59734</v>
      </c>
    </row>
    <row r="1029" spans="1:9" x14ac:dyDescent="0.25">
      <c r="A1029" s="157" t="str">
        <f>IF(B1029&gt;0,VLOOKUP(B1029,КВСР!A454:B1619,2),IF(C1029&gt;0,VLOOKUP(C1029,КФСР!A454:B1966,2),IF(D1029&gt;0,VLOOKUP(D1029,Программа!A$1:B$5100,2),IF(F1029&gt;0,VLOOKUP(F1029,КВР!A$1:B$5001,2),IF(E1029&gt;0,VLOOKUP(E1029,Направление!A$1:B$4830,2))))))</f>
        <v>Сельское хозяйство и рыболовство</v>
      </c>
      <c r="B1029" s="152"/>
      <c r="C1029" s="153">
        <v>405</v>
      </c>
      <c r="D1029" s="155"/>
      <c r="E1029" s="153"/>
      <c r="F1029" s="155"/>
      <c r="G1029" s="168">
        <v>688375</v>
      </c>
      <c r="H1029" s="168">
        <f>H1030</f>
        <v>0</v>
      </c>
      <c r="I1029" s="161">
        <f t="shared" si="22"/>
        <v>688375</v>
      </c>
    </row>
    <row r="1030" spans="1:9" x14ac:dyDescent="0.25">
      <c r="A1030" s="157" t="str">
        <f>IF(B1030&gt;0,VLOOKUP(B1030,КВСР!A455:B1620,2),IF(C1030&gt;0,VLOOKUP(C1030,КФСР!A455:B1967,2),IF(D1030&gt;0,VLOOKUP(D1030,Программа!A$1:B$5100,2),IF(F1030&gt;0,VLOOKUP(F1030,КВР!A$1:B$5001,2),IF(E1030&gt;0,VLOOKUP(E1030,Направление!A$1:B$4830,2))))))</f>
        <v>Непрограммные расходы бюджета</v>
      </c>
      <c r="B1030" s="152"/>
      <c r="C1030" s="153"/>
      <c r="D1030" s="155" t="s">
        <v>626</v>
      </c>
      <c r="E1030" s="153"/>
      <c r="F1030" s="155"/>
      <c r="G1030" s="168">
        <v>688375</v>
      </c>
      <c r="H1030" s="168">
        <f>H1031</f>
        <v>0</v>
      </c>
      <c r="I1030" s="161">
        <f t="shared" si="22"/>
        <v>688375</v>
      </c>
    </row>
    <row r="1031" spans="1:9" ht="31.5" x14ac:dyDescent="0.25">
      <c r="A1031" s="157" t="str">
        <f>IF(B1031&gt;0,VLOOKUP(B1031,КВСР!A458:B1623,2),IF(C1031&gt;0,VLOOKUP(C1031,КФСР!A458:B1970,2),IF(D1031&gt;0,VLOOKUP(D1031,Программа!A$1:B$5100,2),IF(F1031&gt;0,VLOOKUP(F1031,КВР!A$1:B$5001,2),IF(E1031&gt;0,VLOOKUP(E1031,Направление!A$1:B$4830,2))))))</f>
        <v>Субвенция на отлов и содержание безнадзорных животных</v>
      </c>
      <c r="B1031" s="152"/>
      <c r="C1031" s="153"/>
      <c r="D1031" s="155"/>
      <c r="E1031" s="153">
        <v>74420</v>
      </c>
      <c r="F1031" s="155"/>
      <c r="G1031" s="502">
        <v>688375</v>
      </c>
      <c r="H1031" s="502">
        <f>H1032</f>
        <v>0</v>
      </c>
      <c r="I1031" s="161">
        <f t="shared" si="22"/>
        <v>688375</v>
      </c>
    </row>
    <row r="1032" spans="1:9" ht="63" x14ac:dyDescent="0.25">
      <c r="A1032" s="157" t="str">
        <f>IF(B1032&gt;0,VLOOKUP(B1032,КВСР!A459:B1624,2),IF(C1032&gt;0,VLOOKUP(C1032,КФСР!A459:B1971,2),IF(D1032&gt;0,VLOOKUP(D1032,Программа!A$1:B$5100,2),IF(F1032&gt;0,VLOOKUP(F1032,КВР!A$1:B$5001,2),IF(E1032&gt;0,VLOOKUP(E1032,Направление!A$1:B$4830,2))))))</f>
        <v xml:space="preserve">Закупка товаров, работ и услуг для обеспечения государственных (муниципальных) нужд
</v>
      </c>
      <c r="B1032" s="152"/>
      <c r="C1032" s="153"/>
      <c r="D1032" s="155"/>
      <c r="E1032" s="153"/>
      <c r="F1032" s="155">
        <v>200</v>
      </c>
      <c r="G1032" s="502">
        <v>688375</v>
      </c>
      <c r="H1032" s="160"/>
      <c r="I1032" s="161">
        <f t="shared" si="22"/>
        <v>688375</v>
      </c>
    </row>
    <row r="1033" spans="1:9" hidden="1" x14ac:dyDescent="0.25">
      <c r="A1033" s="157" t="str">
        <f>IF(B1033&gt;0,VLOOKUP(B1033,КВСР!A458:B1623,2),IF(C1033&gt;0,VLOOKUP(C1033,КФСР!A458:B1970,2),IF(D1033&gt;0,VLOOKUP(D1033,Программа!A$1:B$5100,2),IF(F1033&gt;0,VLOOKUP(F1033,КВР!A$1:B$5001,2),IF(E1033&gt;0,VLOOKUP(E1033,Направление!A$1:B$4830,2))))))</f>
        <v>Водные ресурсы</v>
      </c>
      <c r="B1033" s="152"/>
      <c r="C1033" s="153">
        <v>406</v>
      </c>
      <c r="D1033" s="155"/>
      <c r="E1033" s="153"/>
      <c r="F1033" s="155"/>
      <c r="G1033" s="502">
        <v>0</v>
      </c>
      <c r="H1033" s="502">
        <f>H1034</f>
        <v>0</v>
      </c>
      <c r="I1033" s="161">
        <f t="shared" si="22"/>
        <v>0</v>
      </c>
    </row>
    <row r="1034" spans="1:9" ht="63" hidden="1" x14ac:dyDescent="0.25">
      <c r="A1034" s="157" t="str">
        <f>IF(B1034&gt;0,VLOOKUP(B1034,КВСР!A459:B1624,2),IF(C1034&gt;0,VLOOKUP(C1034,КФСР!A459:B1971,2),IF(D1034&gt;0,VLOOKUP(D1034,Программа!A$1:B$5100,2),IF(F1034&gt;0,VLOOKUP(F1034,КВР!A$1:B$5001,2),IF(E1034&gt;0,VLOOKUP(E1034,Направление!A$1:B$4830,2))))))</f>
        <v>Муниципальная программа "Охрана окружающей среды и рациональное природопользование в Тутаевском муниципальном районе"</v>
      </c>
      <c r="B1034" s="152"/>
      <c r="C1034" s="153"/>
      <c r="D1034" s="155" t="s">
        <v>2914</v>
      </c>
      <c r="E1034" s="153"/>
      <c r="F1034" s="155"/>
      <c r="G1034" s="502">
        <v>0</v>
      </c>
      <c r="H1034" s="502">
        <f>H1035</f>
        <v>0</v>
      </c>
      <c r="I1034" s="161">
        <f t="shared" si="22"/>
        <v>0</v>
      </c>
    </row>
    <row r="1035" spans="1:9" ht="47.25" hidden="1" x14ac:dyDescent="0.25">
      <c r="A1035" s="157" t="str">
        <f>IF(B1035&gt;0,VLOOKUP(B1035,КВСР!A460:B1625,2),IF(C1035&gt;0,VLOOKUP(C1035,КФСР!A460:B1972,2),IF(D1035&gt;0,VLOOKUP(D1035,Программа!A$1:B$5100,2),IF(F1035&gt;0,VLOOKUP(F1035,КВР!A$1:B$5001,2),IF(E1035&gt;0,VLOOKUP(E1035,Направление!A$1:B$4830,2))))))</f>
        <v>Развитие водохозяйственного комплекса Тутаевского муниципального района</v>
      </c>
      <c r="B1035" s="152"/>
      <c r="C1035" s="153"/>
      <c r="D1035" s="155" t="s">
        <v>2915</v>
      </c>
      <c r="E1035" s="153"/>
      <c r="F1035" s="155"/>
      <c r="G1035" s="502">
        <v>0</v>
      </c>
      <c r="H1035" s="502">
        <f>H1036+H1038</f>
        <v>0</v>
      </c>
      <c r="I1035" s="161">
        <f t="shared" si="22"/>
        <v>0</v>
      </c>
    </row>
    <row r="1036" spans="1:9" ht="31.5" hidden="1" x14ac:dyDescent="0.25">
      <c r="A1036" s="157" t="str">
        <f>IF(B1036&gt;0,VLOOKUP(B1036,КВСР!A461:B1626,2),IF(C1036&gt;0,VLOOKUP(C1036,КФСР!A461:B1973,2),IF(D1036&gt;0,VLOOKUP(D1036,Программа!A$1:B$5100,2),IF(F1036&gt;0,VLOOKUP(F1036,КВР!A$1:B$5001,2),IF(E1036&gt;0,VLOOKUP(E1036,Направление!A$1:B$4830,2))))))</f>
        <v>Расходы на капитальный ремонт плотины на р.Костромка</v>
      </c>
      <c r="B1036" s="152"/>
      <c r="C1036" s="153"/>
      <c r="D1036" s="155"/>
      <c r="E1036" s="153" t="s">
        <v>2920</v>
      </c>
      <c r="F1036" s="155"/>
      <c r="G1036" s="502">
        <v>0</v>
      </c>
      <c r="H1036" s="502">
        <f>H1037</f>
        <v>0</v>
      </c>
      <c r="I1036" s="161">
        <f t="shared" si="22"/>
        <v>0</v>
      </c>
    </row>
    <row r="1037" spans="1:9" ht="63" hidden="1" x14ac:dyDescent="0.25">
      <c r="A1037" s="157" t="str">
        <f>IF(B1037&gt;0,VLOOKUP(B1037,КВСР!A462:B1627,2),IF(C1037&gt;0,VLOOKUP(C1037,КФСР!A462:B1974,2),IF(D1037&gt;0,VLOOKUP(D1037,Программа!A$1:B$5100,2),IF(F1037&gt;0,VLOOKUP(F1037,КВР!A$1:B$5001,2),IF(E1037&gt;0,VLOOKUP(E1037,Направление!A$1:B$4830,2))))))</f>
        <v>Предоставление субсидий бюджетным, автономным учреждениям и иным некоммерческим организациям</v>
      </c>
      <c r="B1037" s="152"/>
      <c r="C1037" s="153"/>
      <c r="D1037" s="155"/>
      <c r="E1037" s="153"/>
      <c r="F1037" s="155">
        <v>600</v>
      </c>
      <c r="G1037" s="502">
        <v>0</v>
      </c>
      <c r="H1037" s="160"/>
      <c r="I1037" s="161">
        <f t="shared" si="22"/>
        <v>0</v>
      </c>
    </row>
    <row r="1038" spans="1:9" ht="63" hidden="1" x14ac:dyDescent="0.25">
      <c r="A1038" s="157" t="str">
        <f>IF(B1038&gt;0,VLOOKUP(B1038,КВСР!A463:B1628,2),IF(C1038&gt;0,VLOOKUP(C1038,КФСР!A463:B1975,2),IF(D1038&gt;0,VLOOKUP(D1038,Программа!A$1:B$5100,2),IF(F1038&gt;0,VLOOKUP(F1038,КВР!A$1:B$5001,2),IF(E1038&gt;0,VLOOKUP(E1038,Направление!A$1:B$4830,2))))))</f>
        <v>Субсидия на реализацию мероприятий, направленных на капитальный ремонт гидротехнических сооружений</v>
      </c>
      <c r="B1038" s="152"/>
      <c r="C1038" s="153"/>
      <c r="D1038" s="155"/>
      <c r="E1038" s="153" t="s">
        <v>2919</v>
      </c>
      <c r="F1038" s="155"/>
      <c r="G1038" s="502">
        <v>0</v>
      </c>
      <c r="H1038" s="502">
        <f>H1039</f>
        <v>0</v>
      </c>
      <c r="I1038" s="161">
        <f t="shared" si="22"/>
        <v>0</v>
      </c>
    </row>
    <row r="1039" spans="1:9" ht="63" hidden="1" x14ac:dyDescent="0.25">
      <c r="A1039" s="157" t="str">
        <f>IF(B1039&gt;0,VLOOKUP(B1039,КВСР!A464:B1629,2),IF(C1039&gt;0,VLOOKUP(C1039,КФСР!A464:B1976,2),IF(D1039&gt;0,VLOOKUP(D1039,Программа!A$1:B$5100,2),IF(F1039&gt;0,VLOOKUP(F1039,КВР!A$1:B$5001,2),IF(E1039&gt;0,VLOOKUP(E1039,Направление!A$1:B$4830,2))))))</f>
        <v>Предоставление субсидий бюджетным, автономным учреждениям и иным некоммерческим организациям</v>
      </c>
      <c r="B1039" s="152"/>
      <c r="C1039" s="153"/>
      <c r="D1039" s="155"/>
      <c r="E1039" s="153"/>
      <c r="F1039" s="155">
        <v>600</v>
      </c>
      <c r="G1039" s="502">
        <v>0</v>
      </c>
      <c r="H1039" s="160"/>
      <c r="I1039" s="161">
        <f t="shared" si="22"/>
        <v>0</v>
      </c>
    </row>
    <row r="1040" spans="1:9" x14ac:dyDescent="0.25">
      <c r="A1040" s="157" t="str">
        <f>IF(B1040&gt;0,VLOOKUP(B1040,КВСР!A456:B1621,2),IF(C1040&gt;0,VLOOKUP(C1040,КФСР!A456:B1968,2),IF(D1040&gt;0,VLOOKUP(D1040,Программа!A$1:B$5100,2),IF(F1040&gt;0,VLOOKUP(F1040,КВР!A$1:B$5001,2),IF(E1040&gt;0,VLOOKUP(E1040,Направление!A$1:B$4830,2))))))</f>
        <v>Транспорт</v>
      </c>
      <c r="B1040" s="152"/>
      <c r="C1040" s="153">
        <v>408</v>
      </c>
      <c r="D1040" s="154"/>
      <c r="E1040" s="153"/>
      <c r="F1040" s="155"/>
      <c r="G1040" s="504">
        <v>27961853</v>
      </c>
      <c r="H1040" s="159">
        <f>H1041</f>
        <v>0</v>
      </c>
      <c r="I1040" s="161">
        <f t="shared" si="22"/>
        <v>27961853</v>
      </c>
    </row>
    <row r="1041" spans="1:9" ht="78.75" x14ac:dyDescent="0.25">
      <c r="A1041" s="157" t="str">
        <f>IF(B1041&gt;0,VLOOKUP(B1041,КВСР!A457:B1622,2),IF(C1041&gt;0,VLOOKUP(C1041,КФСР!A457:B1969,2),IF(D1041&gt;0,VLOOKUP(D1041,Программа!A$1:B$5100,2),IF(F1041&gt;0,VLOOKUP(F1041,КВР!A$1:B$5001,2),IF(E1041&gt;0,VLOOKUP(E1041,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041" s="158"/>
      <c r="C1041" s="153"/>
      <c r="D1041" s="154" t="s">
        <v>861</v>
      </c>
      <c r="E1041" s="153"/>
      <c r="F1041" s="155"/>
      <c r="G1041" s="504">
        <v>27961853</v>
      </c>
      <c r="H1041" s="159">
        <f>H1042+H1047</f>
        <v>0</v>
      </c>
      <c r="I1041" s="161">
        <f t="shared" si="22"/>
        <v>27961853</v>
      </c>
    </row>
    <row r="1042" spans="1:9" ht="78.75" x14ac:dyDescent="0.25">
      <c r="A1042" s="157" t="str">
        <f>IF(B1042&gt;0,VLOOKUP(B1042,КВСР!A467:B1632,2),IF(C1042&gt;0,VLOOKUP(C1042,КФСР!A467:B1979,2),IF(D1042&gt;0,VLOOKUP(D1042,Программа!A$1:B$5100,2),IF(F1042&gt;0,VLOOKUP(F1042,КВР!A$1:B$5001,2),IF(E1042&gt;0,VLOOKUP(E1042,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1042" s="152"/>
      <c r="C1042" s="153"/>
      <c r="D1042" s="154" t="s">
        <v>867</v>
      </c>
      <c r="E1042" s="153"/>
      <c r="F1042" s="155"/>
      <c r="G1042" s="168">
        <v>22007853</v>
      </c>
      <c r="H1042" s="168">
        <f>H1043+H1045</f>
        <v>0</v>
      </c>
      <c r="I1042" s="161">
        <f t="shared" si="22"/>
        <v>22007853</v>
      </c>
    </row>
    <row r="1043" spans="1:9" ht="63" x14ac:dyDescent="0.25">
      <c r="A1043" s="157" t="str">
        <f>IF(B1043&gt;0,VLOOKUP(B1043,КВСР!A468:B1633,2),IF(C1043&gt;0,VLOOKUP(C1043,КФСР!A468:B1980,2),IF(D1043&gt;0,VLOOKUP(D1043,Программа!A$1:B$5100,2),IF(F1043&gt;0,VLOOKUP(F1043,КВР!A$1:B$5001,2),IF(E1043&gt;0,VLOOKUP(E1043,Направление!A$1:B$4830,2))))))</f>
        <v>Субсидия на возмещение затрат по пассажирским перевозкам внутримуниципальным транспортом общего пользования</v>
      </c>
      <c r="B1043" s="152"/>
      <c r="C1043" s="153"/>
      <c r="D1043" s="154"/>
      <c r="E1043" s="153">
        <v>10100</v>
      </c>
      <c r="F1043" s="155"/>
      <c r="G1043" s="168">
        <v>21383300</v>
      </c>
      <c r="H1043" s="168">
        <f>H1044</f>
        <v>0</v>
      </c>
      <c r="I1043" s="161">
        <f t="shared" si="22"/>
        <v>21383300</v>
      </c>
    </row>
    <row r="1044" spans="1:9" x14ac:dyDescent="0.25">
      <c r="A1044" s="157" t="str">
        <f>IF(B1044&gt;0,VLOOKUP(B1044,КВСР!A469:B1634,2),IF(C1044&gt;0,VLOOKUP(C1044,КФСР!A469:B1981,2),IF(D1044&gt;0,VLOOKUP(D1044,Программа!A$1:B$5100,2),IF(F1044&gt;0,VLOOKUP(F1044,КВР!A$1:B$5001,2),IF(E1044&gt;0,VLOOKUP(E1044,Направление!A$1:B$4830,2))))))</f>
        <v>Иные бюджетные ассигнования</v>
      </c>
      <c r="B1044" s="152"/>
      <c r="C1044" s="153"/>
      <c r="D1044" s="154"/>
      <c r="E1044" s="153"/>
      <c r="F1044" s="155">
        <v>800</v>
      </c>
      <c r="G1044" s="502">
        <v>21383300</v>
      </c>
      <c r="H1044" s="160"/>
      <c r="I1044" s="161">
        <f t="shared" si="22"/>
        <v>21383300</v>
      </c>
    </row>
    <row r="1045" spans="1:9" ht="63" x14ac:dyDescent="0.25">
      <c r="A1045" s="157" t="str">
        <f>IF(B1045&gt;0,VLOOKUP(B1045,КВСР!A470:B1635,2),IF(C1045&gt;0,VLOOKUP(C1045,КФСР!A470:B1982,2),IF(D1045&gt;0,VLOOKUP(D1045,Программа!A$1:B$5100,2),IF(F1045&gt;0,VLOOKUP(F1045,КВР!A$1:B$5001,2),IF(E1045&gt;0,VLOOKUP(E1045,Направление!A$1:B$4830,2))))))</f>
        <v>Обеспечение мероприятий по осуществлению межсезонных пассажирских  перевозок на автомобильном  транспорте</v>
      </c>
      <c r="B1045" s="152"/>
      <c r="C1045" s="153"/>
      <c r="D1045" s="154"/>
      <c r="E1045" s="153">
        <v>29176</v>
      </c>
      <c r="F1045" s="155"/>
      <c r="G1045" s="502">
        <v>624553</v>
      </c>
      <c r="H1045" s="502">
        <f>H1046</f>
        <v>0</v>
      </c>
      <c r="I1045" s="161">
        <f t="shared" si="22"/>
        <v>624553</v>
      </c>
    </row>
    <row r="1046" spans="1:9" x14ac:dyDescent="0.25">
      <c r="A1046" s="157" t="str">
        <f>IF(B1046&gt;0,VLOOKUP(B1046,КВСР!A471:B1636,2),IF(C1046&gt;0,VLOOKUP(C1046,КФСР!A471:B1983,2),IF(D1046&gt;0,VLOOKUP(D1046,Программа!A$1:B$5100,2),IF(F1046&gt;0,VLOOKUP(F1046,КВР!A$1:B$5001,2),IF(E1046&gt;0,VLOOKUP(E1046,Направление!A$1:B$4830,2))))))</f>
        <v>Иные бюджетные ассигнования</v>
      </c>
      <c r="B1046" s="152"/>
      <c r="C1046" s="153"/>
      <c r="D1046" s="154"/>
      <c r="E1046" s="153"/>
      <c r="F1046" s="155">
        <v>800</v>
      </c>
      <c r="G1046" s="502">
        <v>624553</v>
      </c>
      <c r="H1046" s="160"/>
      <c r="I1046" s="161">
        <f t="shared" si="22"/>
        <v>624553</v>
      </c>
    </row>
    <row r="1047" spans="1:9" ht="47.25" x14ac:dyDescent="0.25">
      <c r="A1047" s="157" t="str">
        <f>IF(B1047&gt;0,VLOOKUP(B1047,КВСР!A472:B1637,2),IF(C1047&gt;0,VLOOKUP(C1047,КФСР!A472:B1984,2),IF(D1047&gt;0,VLOOKUP(D1047,Программа!A$1:B$5100,2),IF(F1047&gt;0,VLOOKUP(F1047,КВР!A$1:B$5001,2),IF(E1047&gt;0,VLOOKUP(E1047,Направление!A$1:B$4830,2))))))</f>
        <v>Организация предоставления транспортных услуг по перевозке пассажиров речным транспортом</v>
      </c>
      <c r="B1047" s="152"/>
      <c r="C1047" s="153"/>
      <c r="D1047" s="154" t="s">
        <v>3306</v>
      </c>
      <c r="E1047" s="153"/>
      <c r="F1047" s="155"/>
      <c r="G1047" s="502">
        <v>5954000</v>
      </c>
      <c r="H1047" s="502">
        <f>H1048</f>
        <v>0</v>
      </c>
      <c r="I1047" s="161">
        <f t="shared" si="22"/>
        <v>5954000</v>
      </c>
    </row>
    <row r="1048" spans="1:9" ht="47.25" x14ac:dyDescent="0.25">
      <c r="A1048" s="157" t="str">
        <f>IF(B1048&gt;0,VLOOKUP(B1048,КВСР!A473:B1638,2),IF(C1048&gt;0,VLOOKUP(C1048,КФСР!A473:B1985,2),IF(D1048&gt;0,VLOOKUP(D1048,Программа!A$1:B$5100,2),IF(F1048&gt;0,VLOOKUP(F1048,КВР!A$1:B$5001,2),IF(E1048&gt;0,VLOOKUP(E1048,Направление!A$1:B$4830,2))))))</f>
        <v>Обеспечение мероприятий по осуществлению грузопассажирских  перевозок на речном транспорте</v>
      </c>
      <c r="B1048" s="152"/>
      <c r="C1048" s="153"/>
      <c r="D1048" s="154"/>
      <c r="E1048" s="153">
        <v>29166</v>
      </c>
      <c r="F1048" s="155"/>
      <c r="G1048" s="502">
        <v>5954000</v>
      </c>
      <c r="H1048" s="502">
        <f>H1049</f>
        <v>0</v>
      </c>
      <c r="I1048" s="161">
        <f t="shared" si="22"/>
        <v>5954000</v>
      </c>
    </row>
    <row r="1049" spans="1:9" x14ac:dyDescent="0.25">
      <c r="A1049" s="157" t="str">
        <f>IF(B1049&gt;0,VLOOKUP(B1049,КВСР!A474:B1639,2),IF(C1049&gt;0,VLOOKUP(C1049,КФСР!A474:B1986,2),IF(D1049&gt;0,VLOOKUP(D1049,Программа!A$1:B$5100,2),IF(F1049&gt;0,VLOOKUP(F1049,КВР!A$1:B$5001,2),IF(E1049&gt;0,VLOOKUP(E1049,Направление!A$1:B$4830,2))))))</f>
        <v>Иные бюджетные ассигнования</v>
      </c>
      <c r="B1049" s="152"/>
      <c r="C1049" s="153"/>
      <c r="D1049" s="154"/>
      <c r="E1049" s="153"/>
      <c r="F1049" s="155">
        <v>800</v>
      </c>
      <c r="G1049" s="502">
        <v>5954000</v>
      </c>
      <c r="H1049" s="160"/>
      <c r="I1049" s="161">
        <f t="shared" si="22"/>
        <v>5954000</v>
      </c>
    </row>
    <row r="1050" spans="1:9" ht="31.5" x14ac:dyDescent="0.25">
      <c r="A1050" s="157" t="str">
        <f>IF(B1050&gt;0,VLOOKUP(B1050,КВСР!A475:B1640,2),IF(C1050&gt;0,VLOOKUP(C1050,КФСР!A475:B1987,2),IF(D1050&gt;0,VLOOKUP(D1050,Программа!A$1:B$5100,2),IF(F1050&gt;0,VLOOKUP(F1050,КВР!A$1:B$5001,2),IF(E1050&gt;0,VLOOKUP(E1050,Направление!A$1:B$4830,2))))))</f>
        <v>Другие вопросы в области национальной экономики</v>
      </c>
      <c r="B1050" s="152"/>
      <c r="C1050" s="153">
        <v>412</v>
      </c>
      <c r="D1050" s="154"/>
      <c r="E1050" s="153"/>
      <c r="F1050" s="155"/>
      <c r="G1050" s="504">
        <v>184576</v>
      </c>
      <c r="H1050" s="159">
        <f>H1051</f>
        <v>0</v>
      </c>
      <c r="I1050" s="161">
        <f t="shared" si="22"/>
        <v>184576</v>
      </c>
    </row>
    <row r="1051" spans="1:9" x14ac:dyDescent="0.25">
      <c r="A1051" s="157" t="str">
        <f>IF(B1051&gt;0,VLOOKUP(B1051,КВСР!A476:B1641,2),IF(C1051&gt;0,VLOOKUP(C1051,КФСР!A476:B1988,2),IF(D1051&gt;0,VLOOKUP(D1051,Программа!A$1:B$5100,2),IF(F1051&gt;0,VLOOKUP(F1051,КВР!A$1:B$5001,2),IF(E1051&gt;0,VLOOKUP(E1051,Направление!A$1:B$4830,2))))))</f>
        <v>Непрограммные расходы бюджета</v>
      </c>
      <c r="B1051" s="152"/>
      <c r="C1051" s="153"/>
      <c r="D1051" s="154" t="s">
        <v>626</v>
      </c>
      <c r="E1051" s="153"/>
      <c r="F1051" s="155"/>
      <c r="G1051" s="504">
        <v>184576</v>
      </c>
      <c r="H1051" s="159">
        <f>H1052+H1054+H1056</f>
        <v>0</v>
      </c>
      <c r="I1051" s="161">
        <f t="shared" si="22"/>
        <v>184576</v>
      </c>
    </row>
    <row r="1052" spans="1:9" ht="47.25" x14ac:dyDescent="0.25">
      <c r="A1052" s="157" t="str">
        <f>IF(B1052&gt;0,VLOOKUP(B1052,КВСР!A477:B1642,2),IF(C1052&gt;0,VLOOKUP(C1052,КФСР!A477:B1989,2),IF(D1052&gt;0,VLOOKUP(D1052,Программа!A$1:B$5100,2),IF(F1052&gt;0,VLOOKUP(F1052,КВР!A$1:B$5001,2),IF(E1052&gt;0,VLOOKUP(E1052,Направление!A$1:B$4830,2))))))</f>
        <v>Обеспечение мероприятий по разработке программ транспортной инфраструктуры сельских поселений</v>
      </c>
      <c r="B1052" s="187"/>
      <c r="C1052" s="153"/>
      <c r="D1052" s="153"/>
      <c r="E1052" s="153">
        <v>10530</v>
      </c>
      <c r="F1052" s="693"/>
      <c r="G1052" s="504">
        <v>62689</v>
      </c>
      <c r="H1052" s="159">
        <f>H1053</f>
        <v>0</v>
      </c>
      <c r="I1052" s="161">
        <f t="shared" si="22"/>
        <v>62689</v>
      </c>
    </row>
    <row r="1053" spans="1:9" ht="63" x14ac:dyDescent="0.25">
      <c r="A1053" s="186" t="str">
        <f>IF(B1053&gt;0,VLOOKUP(B1053,КВСР!A468:B1633,2),IF(C1053&gt;0,VLOOKUP(C1053,КФСР!A468:B1980,2),IF(D1053&gt;0,VLOOKUP(D1053,Программа!A$1:B$5100,2),IF(F1053&gt;0,VLOOKUP(F1053,КВР!A$1:B$5001,2),IF(E1053&gt;0,VLOOKUP(E1053,Направление!A$1:B$4830,2))))))</f>
        <v xml:space="preserve">Закупка товаров, работ и услуг для обеспечения государственных (муниципальных) нужд
</v>
      </c>
      <c r="B1053" s="152"/>
      <c r="C1053" s="153"/>
      <c r="D1053" s="155"/>
      <c r="E1053" s="153"/>
      <c r="F1053" s="155">
        <v>200</v>
      </c>
      <c r="G1053" s="502">
        <v>62689</v>
      </c>
      <c r="H1053" s="160"/>
      <c r="I1053" s="161">
        <f t="shared" si="22"/>
        <v>62689</v>
      </c>
    </row>
    <row r="1054" spans="1:9" ht="47.25" x14ac:dyDescent="0.25">
      <c r="A1054" s="186" t="str">
        <f>IF(B1054&gt;0,VLOOKUP(B1054,КВСР!A469:B1634,2),IF(C1054&gt;0,VLOOKUP(C1054,КФСР!A469:B1981,2),IF(D1054&gt;0,VLOOKUP(D1054,Программа!A$1:B$5100,2),IF(F1054&gt;0,VLOOKUP(F1054,КВР!A$1:B$5001,2),IF(E1054&gt;0,VLOOKUP(E1054,Направление!A$1:B$4830,2))))))</f>
        <v>Обеспечение мероприятий  по разработке программы транспортной инфраструктуры</v>
      </c>
      <c r="B1054" s="152"/>
      <c r="C1054" s="153"/>
      <c r="D1054" s="155"/>
      <c r="E1054" s="153">
        <v>29626</v>
      </c>
      <c r="F1054" s="155"/>
      <c r="G1054" s="502">
        <v>22987</v>
      </c>
      <c r="H1054" s="502">
        <f>H1055</f>
        <v>0</v>
      </c>
      <c r="I1054" s="161">
        <f t="shared" si="22"/>
        <v>22987</v>
      </c>
    </row>
    <row r="1055" spans="1:9" ht="63" x14ac:dyDescent="0.25">
      <c r="A1055" s="186" t="str">
        <f>IF(B1055&gt;0,VLOOKUP(B1055,КВСР!A470:B1635,2),IF(C1055&gt;0,VLOOKUP(C1055,КФСР!A470:B1982,2),IF(D1055&gt;0,VLOOKUP(D1055,Программа!A$1:B$5100,2),IF(F1055&gt;0,VLOOKUP(F1055,КВР!A$1:B$5001,2),IF(E1055&gt;0,VLOOKUP(E1055,Направление!A$1:B$4830,2))))))</f>
        <v xml:space="preserve">Закупка товаров, работ и услуг для обеспечения государственных (муниципальных) нужд
</v>
      </c>
      <c r="B1055" s="152"/>
      <c r="C1055" s="153"/>
      <c r="D1055" s="155"/>
      <c r="E1055" s="153"/>
      <c r="F1055" s="155">
        <v>200</v>
      </c>
      <c r="G1055" s="502">
        <v>22987</v>
      </c>
      <c r="H1055" s="160"/>
      <c r="I1055" s="161">
        <f t="shared" si="22"/>
        <v>22987</v>
      </c>
    </row>
    <row r="1056" spans="1:9" ht="47.25" x14ac:dyDescent="0.25">
      <c r="A1056" s="186" t="str">
        <f>IF(B1056&gt;0,VLOOKUP(B1056,КВСР!A471:B1636,2),IF(C1056&gt;0,VLOOKUP(C1056,КФСР!A471:B1983,2),IF(D1056&gt;0,VLOOKUP(D1056,Программа!A$1:B$5100,2),IF(F1056&gt;0,VLOOKUP(F1056,КВР!A$1:B$5001,2),IF(E1056&gt;0,VLOOKUP(E1056,Направление!A$1:B$4830,2))))))</f>
        <v>Обеспечение мероприятий по разработке программы коммунальной инфраструктуры</v>
      </c>
      <c r="B1056" s="152"/>
      <c r="C1056" s="153"/>
      <c r="D1056" s="155"/>
      <c r="E1056" s="418">
        <v>29716</v>
      </c>
      <c r="F1056" s="155"/>
      <c r="G1056" s="502">
        <v>98900</v>
      </c>
      <c r="H1056" s="502">
        <f>H1057</f>
        <v>0</v>
      </c>
      <c r="I1056" s="161">
        <f t="shared" si="22"/>
        <v>98900</v>
      </c>
    </row>
    <row r="1057" spans="1:9" ht="63" x14ac:dyDescent="0.25">
      <c r="A1057" s="186" t="str">
        <f>IF(B1057&gt;0,VLOOKUP(B1057,КВСР!A472:B1637,2),IF(C1057&gt;0,VLOOKUP(C1057,КФСР!A472:B1984,2),IF(D1057&gt;0,VLOOKUP(D1057,Программа!A$1:B$5100,2),IF(F1057&gt;0,VLOOKUP(F1057,КВР!A$1:B$5001,2),IF(E1057&gt;0,VLOOKUP(E1057,Направление!A$1:B$4830,2))))))</f>
        <v xml:space="preserve">Закупка товаров, работ и услуг для обеспечения государственных (муниципальных) нужд
</v>
      </c>
      <c r="B1057" s="152"/>
      <c r="C1057" s="153"/>
      <c r="D1057" s="155"/>
      <c r="E1057" s="153"/>
      <c r="F1057" s="155">
        <v>200</v>
      </c>
      <c r="G1057" s="502">
        <v>98900</v>
      </c>
      <c r="H1057" s="160"/>
      <c r="I1057" s="161">
        <f t="shared" si="22"/>
        <v>98900</v>
      </c>
    </row>
    <row r="1058" spans="1:9" x14ac:dyDescent="0.25">
      <c r="A1058" s="157" t="str">
        <f>IF(B1058&gt;0,VLOOKUP(B1058,КВСР!A475:B1640,2),IF(C1058&gt;0,VLOOKUP(C1058,КФСР!A475:B1987,2),IF(D1058&gt;0,VLOOKUP(D1058,Программа!A$1:B$5100,2),IF(F1058&gt;0,VLOOKUP(F1058,КВР!A$1:B$5001,2),IF(E1058&gt;0,VLOOKUP(E1058,Направление!A$1:B$4830,2))))))</f>
        <v>Жилищное хозяйство</v>
      </c>
      <c r="B1058" s="152"/>
      <c r="C1058" s="153">
        <v>501</v>
      </c>
      <c r="D1058" s="155"/>
      <c r="E1058" s="153"/>
      <c r="F1058" s="155"/>
      <c r="G1058" s="502">
        <v>3514709</v>
      </c>
      <c r="H1058" s="502">
        <f>H1059+H1077</f>
        <v>-167000</v>
      </c>
      <c r="I1058" s="161">
        <f t="shared" si="22"/>
        <v>3347709</v>
      </c>
    </row>
    <row r="1059" spans="1:9" ht="47.25" x14ac:dyDescent="0.25">
      <c r="A1059" s="157" t="str">
        <f>IF(B1059&gt;0,VLOOKUP(B1059,КВСР!A476:B1641,2),IF(C1059&gt;0,VLOOKUP(C1059,КФСР!A476:B1988,2),IF(D1059&gt;0,VLOOKUP(D1059,Программа!A$1:B$5100,2),IF(F1059&gt;0,VLOOKUP(F1059,КВР!A$1:B$5001,2),IF(E1059&gt;0,VLOOKUP(E1059,Направление!A$1:B$4830,2))))))</f>
        <v>Муниципальная программа  "Развитие жилищного хозяйства Тутаевского муниципального района"</v>
      </c>
      <c r="B1059" s="152"/>
      <c r="C1059" s="153"/>
      <c r="D1059" s="154" t="s">
        <v>956</v>
      </c>
      <c r="E1059" s="153"/>
      <c r="F1059" s="155"/>
      <c r="G1059" s="502">
        <v>3492209</v>
      </c>
      <c r="H1059" s="502">
        <f>H1060+H1064</f>
        <v>-167000</v>
      </c>
      <c r="I1059" s="161">
        <f t="shared" si="22"/>
        <v>3325209</v>
      </c>
    </row>
    <row r="1060" spans="1:9" ht="78.75" x14ac:dyDescent="0.25">
      <c r="A1060" s="157" t="str">
        <f>IF(B1060&gt;0,VLOOKUP(B1060,КВСР!A477:B1642,2),IF(C1060&gt;0,VLOOKUP(C1060,КФСР!A477:B1989,2),IF(D1060&gt;0,VLOOKUP(D1060,Программа!A$1:B$5100,2),IF(F1060&gt;0,VLOOKUP(F1060,КВР!A$1:B$5001,2),IF(E1060&gt;0,VLOOKUP(E1060,Направление!A$1:B$4830,2))))))</f>
        <v>Муниципальная целевая программа "Развитие  лифтового хозяйства на территории городского поселения Тутаев Тутаевского муниципального района"</v>
      </c>
      <c r="B1060" s="152"/>
      <c r="C1060" s="153"/>
      <c r="D1060" s="154" t="s">
        <v>959</v>
      </c>
      <c r="E1060" s="153"/>
      <c r="F1060" s="155"/>
      <c r="G1060" s="502">
        <v>1349209</v>
      </c>
      <c r="H1060" s="502">
        <f>H1061</f>
        <v>0</v>
      </c>
      <c r="I1060" s="161">
        <f t="shared" si="22"/>
        <v>1349209</v>
      </c>
    </row>
    <row r="1061" spans="1:9" ht="47.25" x14ac:dyDescent="0.25">
      <c r="A1061" s="157" t="str">
        <f>IF(B1061&gt;0,VLOOKUP(B1061,КВСР!A478:B1643,2),IF(C1061&gt;0,VLOOKUP(C1061,КФСР!A478:B1990,2),IF(D1061&gt;0,VLOOKUP(D1061,Программа!A$1:B$5100,2),IF(F1061&gt;0,VLOOKUP(F1061,КВР!A$1:B$5001,2),IF(E1061&gt;0,VLOOKUP(E1061,Направление!A$1:B$4830,2))))))</f>
        <v>Обеспечение мероприятий по восстановлению лифтового хозяйства многоквартирных домов</v>
      </c>
      <c r="B1061" s="152"/>
      <c r="C1061" s="153"/>
      <c r="D1061" s="154" t="s">
        <v>962</v>
      </c>
      <c r="E1061" s="153"/>
      <c r="F1061" s="155"/>
      <c r="G1061" s="502">
        <v>1349209</v>
      </c>
      <c r="H1061" s="502">
        <f>H1062</f>
        <v>0</v>
      </c>
      <c r="I1061" s="161">
        <f t="shared" si="22"/>
        <v>1349209</v>
      </c>
    </row>
    <row r="1062" spans="1:9" ht="63" x14ac:dyDescent="0.25">
      <c r="A1062" s="157" t="str">
        <f>IF(B1062&gt;0,VLOOKUP(B1062,КВСР!A479:B1644,2),IF(C1062&gt;0,VLOOKUP(C1062,КФСР!A479:B1991,2),IF(D1062&gt;0,VLOOKUP(D1062,Программа!A$1:B$5100,2),IF(F1062&gt;0,VLOOKUP(F1062,КВР!A$1:B$5001,2),IF(E1062&gt;0,VLOOKUP(E1062,Направление!A$1:B$4830,2))))))</f>
        <v>Обеспечение мероприятий посодержанию,  реконструкции и капитальному ремонту муниципального жилищного фонда</v>
      </c>
      <c r="B1062" s="152"/>
      <c r="C1062" s="153"/>
      <c r="D1062" s="154"/>
      <c r="E1062" s="153">
        <v>29376</v>
      </c>
      <c r="F1062" s="155"/>
      <c r="G1062" s="502">
        <v>1349209</v>
      </c>
      <c r="H1062" s="502">
        <f>H1063</f>
        <v>0</v>
      </c>
      <c r="I1062" s="161">
        <f t="shared" si="22"/>
        <v>1349209</v>
      </c>
    </row>
    <row r="1063" spans="1:9" ht="47.25" x14ac:dyDescent="0.25">
      <c r="A1063" s="157" t="str">
        <f>IF(B1063&gt;0,VLOOKUP(B1063,КВСР!A480:B1645,2),IF(C1063&gt;0,VLOOKUP(C1063,КФСР!A480:B1992,2),IF(D1063&gt;0,VLOOKUP(D1063,Программа!A$1:B$5100,2),IF(F1063&gt;0,VLOOKUP(F1063,КВР!A$1:B$5001,2),IF(E1063&gt;0,VLOOKUP(E1063,Направление!A$1:B$4830,2))))))</f>
        <v>Капитальные вложения в объекты государственной (муниципальной) собственности</v>
      </c>
      <c r="B1063" s="152"/>
      <c r="C1063" s="153"/>
      <c r="D1063" s="154"/>
      <c r="E1063" s="153"/>
      <c r="F1063" s="155">
        <v>400</v>
      </c>
      <c r="G1063" s="502">
        <v>1349209</v>
      </c>
      <c r="H1063" s="160"/>
      <c r="I1063" s="161">
        <f t="shared" si="22"/>
        <v>1349209</v>
      </c>
    </row>
    <row r="1064" spans="1:9" ht="63" x14ac:dyDescent="0.25">
      <c r="A1064" s="157" t="str">
        <f>IF(B1064&gt;0,VLOOKUP(B1064,КВСР!A481:B1646,2),IF(C1064&gt;0,VLOOKUP(C1064,КФСР!A481:B1993,2),IF(D1064&gt;0,VLOOKUP(D1064,Программа!A$1:B$5100,2),IF(F1064&gt;0,VLOOKUP(F1064,КВР!A$1:B$5001,2),IF(E1064&gt;0,VLOOKUP(E1064,Направление!A$1:B$4830,2))))))</f>
        <v>Муниципальная целевая программа "Ремонт и содержание муниципального жилищного фонда   Тутаевского муниципального района"</v>
      </c>
      <c r="B1064" s="152"/>
      <c r="C1064" s="153"/>
      <c r="D1064" s="154" t="s">
        <v>965</v>
      </c>
      <c r="E1064" s="153"/>
      <c r="F1064" s="155"/>
      <c r="G1064" s="502">
        <v>2143000</v>
      </c>
      <c r="H1064" s="502">
        <f>H1065+H1068+H1071+H1074</f>
        <v>-167000</v>
      </c>
      <c r="I1064" s="161">
        <f t="shared" si="22"/>
        <v>1976000</v>
      </c>
    </row>
    <row r="1065" spans="1:9" ht="47.25" hidden="1" x14ac:dyDescent="0.25">
      <c r="A1065" s="157" t="str">
        <f>IF(B1065&gt;0,VLOOKUP(B1065,КВСР!A482:B1647,2),IF(C1065&gt;0,VLOOKUP(C1065,КФСР!A482:B1994,2),IF(D1065&gt;0,VLOOKUP(D1065,Программа!A$1:B$5100,2),IF(F1065&gt;0,VLOOKUP(F1065,КВР!A$1:B$5001,2),IF(E1065&gt;0,VLOOKUP(E1065,Направление!A$1:B$4830,2))))))</f>
        <v>Обеспечение мероприятий по замене приборов учета в муниципальном жилищном фонде</v>
      </c>
      <c r="B1065" s="152"/>
      <c r="C1065" s="153"/>
      <c r="D1065" s="154" t="s">
        <v>967</v>
      </c>
      <c r="E1065" s="153"/>
      <c r="F1065" s="155"/>
      <c r="G1065" s="502">
        <v>100000</v>
      </c>
      <c r="H1065" s="502">
        <f>H1066</f>
        <v>-100000</v>
      </c>
      <c r="I1065" s="161">
        <f t="shared" si="22"/>
        <v>0</v>
      </c>
    </row>
    <row r="1066" spans="1:9" ht="47.25" hidden="1" x14ac:dyDescent="0.25">
      <c r="A1066" s="157" t="str">
        <f>IF(B1066&gt;0,VLOOKUP(B1066,КВСР!A483:B1648,2),IF(C1066&gt;0,VLOOKUP(C1066,КФСР!A483:B1995,2),IF(D1066&gt;0,VLOOKUP(D1066,Программа!A$1:B$5100,2),IF(F1066&gt;0,VLOOKUP(F1066,КВР!A$1:B$5001,2),IF(E1066&gt;0,VLOOKUP(E1066,Направление!A$1:B$4830,2))))))</f>
        <v>Обеспечение мероприятий по установке приборов учета потребляемых ресурсов</v>
      </c>
      <c r="B1066" s="152"/>
      <c r="C1066" s="153"/>
      <c r="D1066" s="154"/>
      <c r="E1066" s="153">
        <v>29306</v>
      </c>
      <c r="F1066" s="155"/>
      <c r="G1066" s="502">
        <v>100000</v>
      </c>
      <c r="H1066" s="502">
        <f>H1067</f>
        <v>-100000</v>
      </c>
      <c r="I1066" s="161">
        <f t="shared" si="22"/>
        <v>0</v>
      </c>
    </row>
    <row r="1067" spans="1:9" ht="63" hidden="1" x14ac:dyDescent="0.25">
      <c r="A1067" s="157" t="str">
        <f>IF(B1067&gt;0,VLOOKUP(B1067,КВСР!A484:B1649,2),IF(C1067&gt;0,VLOOKUP(C1067,КФСР!A484:B1996,2),IF(D1067&gt;0,VLOOKUP(D1067,Программа!A$1:B$5100,2),IF(F1067&gt;0,VLOOKUP(F1067,КВР!A$1:B$5001,2),IF(E1067&gt;0,VLOOKUP(E1067,Направление!A$1:B$4830,2))))))</f>
        <v xml:space="preserve">Закупка товаров, работ и услуг для обеспечения государственных (муниципальных) нужд
</v>
      </c>
      <c r="B1067" s="152"/>
      <c r="C1067" s="153"/>
      <c r="D1067" s="154"/>
      <c r="E1067" s="153"/>
      <c r="F1067" s="155">
        <v>200</v>
      </c>
      <c r="G1067" s="502">
        <v>100000</v>
      </c>
      <c r="H1067" s="160">
        <v>-100000</v>
      </c>
      <c r="I1067" s="161">
        <f t="shared" si="22"/>
        <v>0</v>
      </c>
    </row>
    <row r="1068" spans="1:9" ht="31.5" x14ac:dyDescent="0.25">
      <c r="A1068" s="157" t="str">
        <f>IF(B1068&gt;0,VLOOKUP(B1068,КВСР!A485:B1650,2),IF(C1068&gt;0,VLOOKUP(C1068,КФСР!A485:B1997,2),IF(D1068&gt;0,VLOOKUP(D1068,Программа!A$1:B$5100,2),IF(F1068&gt;0,VLOOKUP(F1068,КВР!A$1:B$5001,2),IF(E1068&gt;0,VLOOKUP(E1068,Направление!A$1:B$4830,2))))))</f>
        <v>Обеспечение мероприятий по ремонту общедомового имущества</v>
      </c>
      <c r="B1068" s="152"/>
      <c r="C1068" s="153"/>
      <c r="D1068" s="154" t="s">
        <v>970</v>
      </c>
      <c r="E1068" s="153"/>
      <c r="F1068" s="155"/>
      <c r="G1068" s="502">
        <v>1243000</v>
      </c>
      <c r="H1068" s="502">
        <f>H1069</f>
        <v>130000</v>
      </c>
      <c r="I1068" s="161">
        <f t="shared" si="22"/>
        <v>1373000</v>
      </c>
    </row>
    <row r="1069" spans="1:9" ht="63" x14ac:dyDescent="0.25">
      <c r="A1069" s="157" t="str">
        <f>IF(B1069&gt;0,VLOOKUP(B1069,КВСР!A486:B1651,2),IF(C1069&gt;0,VLOOKUP(C1069,КФСР!A486:B1998,2),IF(D1069&gt;0,VLOOKUP(D1069,Программа!A$1:B$5100,2),IF(F1069&gt;0,VLOOKUP(F1069,КВР!A$1:B$5001,2),IF(E1069&gt;0,VLOOKUP(E1069,Направление!A$1:B$4830,2))))))</f>
        <v>Обеспечение мероприятий посодержанию,  реконструкции и капитальному ремонту муниципального жилищного фонда</v>
      </c>
      <c r="B1069" s="152"/>
      <c r="C1069" s="153"/>
      <c r="D1069" s="154"/>
      <c r="E1069" s="153">
        <v>29376</v>
      </c>
      <c r="F1069" s="155"/>
      <c r="G1069" s="502">
        <v>1243000</v>
      </c>
      <c r="H1069" s="502">
        <f>H1070</f>
        <v>130000</v>
      </c>
      <c r="I1069" s="161">
        <f t="shared" si="22"/>
        <v>1373000</v>
      </c>
    </row>
    <row r="1070" spans="1:9" ht="63" x14ac:dyDescent="0.25">
      <c r="A1070" s="157" t="str">
        <f>IF(B1070&gt;0,VLOOKUP(B1070,КВСР!A487:B1652,2),IF(C1070&gt;0,VLOOKUP(C1070,КФСР!A487:B1999,2),IF(D1070&gt;0,VLOOKUP(D1070,Программа!A$1:B$5100,2),IF(F1070&gt;0,VLOOKUP(F1070,КВР!A$1:B$5001,2),IF(E1070&gt;0,VLOOKUP(E1070,Направление!A$1:B$4830,2))))))</f>
        <v xml:space="preserve">Закупка товаров, работ и услуг для обеспечения государственных (муниципальных) нужд
</v>
      </c>
      <c r="B1070" s="152"/>
      <c r="C1070" s="153"/>
      <c r="D1070" s="154"/>
      <c r="E1070" s="153"/>
      <c r="F1070" s="155">
        <v>200</v>
      </c>
      <c r="G1070" s="502">
        <v>1243000</v>
      </c>
      <c r="H1070" s="160">
        <v>130000</v>
      </c>
      <c r="I1070" s="161">
        <f t="shared" si="22"/>
        <v>1373000</v>
      </c>
    </row>
    <row r="1071" spans="1:9" ht="31.5" x14ac:dyDescent="0.25">
      <c r="A1071" s="157" t="str">
        <f>IF(B1071&gt;0,VLOOKUP(B1071,КВСР!A488:B1653,2),IF(C1071&gt;0,VLOOKUP(C1071,КФСР!A488:B2000,2),IF(D1071&gt;0,VLOOKUP(D1071,Программа!A$1:B$5100,2),IF(F1071&gt;0,VLOOKUP(F1071,КВР!A$1:B$5001,2),IF(E1071&gt;0,VLOOKUP(E1071,Направление!A$1:B$4830,2))))))</f>
        <v>Обеспечение мероприятий по ремонту муниципальных квартир</v>
      </c>
      <c r="B1071" s="152"/>
      <c r="C1071" s="153"/>
      <c r="D1071" s="154" t="s">
        <v>971</v>
      </c>
      <c r="E1071" s="153"/>
      <c r="F1071" s="155"/>
      <c r="G1071" s="502">
        <v>623000</v>
      </c>
      <c r="H1071" s="502">
        <f>H1072</f>
        <v>-140000</v>
      </c>
      <c r="I1071" s="161">
        <f t="shared" si="22"/>
        <v>483000</v>
      </c>
    </row>
    <row r="1072" spans="1:9" ht="63" x14ac:dyDescent="0.25">
      <c r="A1072" s="157" t="str">
        <f>IF(B1072&gt;0,VLOOKUP(B1072,КВСР!A489:B1654,2),IF(C1072&gt;0,VLOOKUP(C1072,КФСР!A489:B2001,2),IF(D1072&gt;0,VLOOKUP(D1072,Программа!A$1:B$5100,2),IF(F1072&gt;0,VLOOKUP(F1072,КВР!A$1:B$5001,2),IF(E1072&gt;0,VLOOKUP(E1072,Направление!A$1:B$4830,2))))))</f>
        <v>Обеспечение мероприятий посодержанию,  реконструкции и капитальному ремонту муниципального жилищного фонда</v>
      </c>
      <c r="B1072" s="152"/>
      <c r="C1072" s="153"/>
      <c r="D1072" s="154"/>
      <c r="E1072" s="153">
        <v>29376</v>
      </c>
      <c r="F1072" s="155"/>
      <c r="G1072" s="502">
        <v>623000</v>
      </c>
      <c r="H1072" s="502">
        <f>H1073</f>
        <v>-140000</v>
      </c>
      <c r="I1072" s="161">
        <f t="shared" si="22"/>
        <v>483000</v>
      </c>
    </row>
    <row r="1073" spans="1:9" ht="63" x14ac:dyDescent="0.25">
      <c r="A1073" s="157" t="str">
        <f>IF(B1073&gt;0,VLOOKUP(B1073,КВСР!A490:B1655,2),IF(C1073&gt;0,VLOOKUP(C1073,КФСР!A490:B2002,2),IF(D1073&gt;0,VLOOKUP(D1073,Программа!A$1:B$5100,2),IF(F1073&gt;0,VLOOKUP(F1073,КВР!A$1:B$5001,2),IF(E1073&gt;0,VLOOKUP(E1073,Направление!A$1:B$4830,2))))))</f>
        <v xml:space="preserve">Закупка товаров, работ и услуг для обеспечения государственных (муниципальных) нужд
</v>
      </c>
      <c r="B1073" s="152"/>
      <c r="C1073" s="153"/>
      <c r="D1073" s="154"/>
      <c r="E1073" s="153"/>
      <c r="F1073" s="155">
        <v>200</v>
      </c>
      <c r="G1073" s="502">
        <v>623000</v>
      </c>
      <c r="H1073" s="160">
        <f>-40000-100000</f>
        <v>-140000</v>
      </c>
      <c r="I1073" s="161">
        <f t="shared" si="22"/>
        <v>483000</v>
      </c>
    </row>
    <row r="1074" spans="1:9" ht="31.5" x14ac:dyDescent="0.25">
      <c r="A1074" s="157" t="str">
        <f>IF(B1074&gt;0,VLOOKUP(B1074,КВСР!A491:B1656,2),IF(C1074&gt;0,VLOOKUP(C1074,КФСР!A491:B2003,2),IF(D1074&gt;0,VLOOKUP(D1074,Программа!A$1:B$5100,2),IF(F1074&gt;0,VLOOKUP(F1074,КВР!A$1:B$5001,2),IF(E1074&gt;0,VLOOKUP(E1074,Направление!A$1:B$4830,2))))))</f>
        <v>Обеспечение мероприятий по обследованию жилых домов</v>
      </c>
      <c r="B1074" s="152"/>
      <c r="C1074" s="153"/>
      <c r="D1074" s="154" t="s">
        <v>3293</v>
      </c>
      <c r="E1074" s="153"/>
      <c r="F1074" s="155"/>
      <c r="G1074" s="502">
        <v>177000</v>
      </c>
      <c r="H1074" s="502">
        <f>H1075</f>
        <v>-57000</v>
      </c>
      <c r="I1074" s="161">
        <f t="shared" si="22"/>
        <v>120000</v>
      </c>
    </row>
    <row r="1075" spans="1:9" ht="63" x14ac:dyDescent="0.25">
      <c r="A1075" s="157" t="str">
        <f>IF(B1075&gt;0,VLOOKUP(B1075,КВСР!A492:B1657,2),IF(C1075&gt;0,VLOOKUP(C1075,КФСР!A492:B2004,2),IF(D1075&gt;0,VLOOKUP(D1075,Программа!A$1:B$5100,2),IF(F1075&gt;0,VLOOKUP(F1075,КВР!A$1:B$5001,2),IF(E1075&gt;0,VLOOKUP(E1075,Направление!A$1:B$4830,2))))))</f>
        <v>Обеспечение мероприятий посодержанию,  реконструкции и капитальному ремонту муниципального жилищного фонда</v>
      </c>
      <c r="B1075" s="152"/>
      <c r="C1075" s="153"/>
      <c r="D1075" s="154"/>
      <c r="E1075" s="153">
        <v>29376</v>
      </c>
      <c r="F1075" s="155"/>
      <c r="G1075" s="502">
        <v>177000</v>
      </c>
      <c r="H1075" s="502">
        <f>H1076</f>
        <v>-57000</v>
      </c>
      <c r="I1075" s="161">
        <f t="shared" si="22"/>
        <v>120000</v>
      </c>
    </row>
    <row r="1076" spans="1:9" ht="63" x14ac:dyDescent="0.25">
      <c r="A1076" s="157" t="str">
        <f>IF(B1076&gt;0,VLOOKUP(B1076,КВСР!A493:B1658,2),IF(C1076&gt;0,VLOOKUP(C1076,КФСР!A493:B2005,2),IF(D1076&gt;0,VLOOKUP(D1076,Программа!A$1:B$5100,2),IF(F1076&gt;0,VLOOKUP(F1076,КВР!A$1:B$5001,2),IF(E1076&gt;0,VLOOKUP(E1076,Направление!A$1:B$4830,2))))))</f>
        <v xml:space="preserve">Закупка товаров, работ и услуг для обеспечения государственных (муниципальных) нужд
</v>
      </c>
      <c r="B1076" s="152"/>
      <c r="C1076" s="153"/>
      <c r="D1076" s="154"/>
      <c r="E1076" s="153"/>
      <c r="F1076" s="155">
        <v>200</v>
      </c>
      <c r="G1076" s="502">
        <v>177000</v>
      </c>
      <c r="H1076" s="160">
        <f>-27000-30000</f>
        <v>-57000</v>
      </c>
      <c r="I1076" s="161">
        <f t="shared" si="22"/>
        <v>120000</v>
      </c>
    </row>
    <row r="1077" spans="1:9" x14ac:dyDescent="0.25">
      <c r="A1077" s="157" t="str">
        <f>IF(B1077&gt;0,VLOOKUP(B1077,КВСР!A494:B1659,2),IF(C1077&gt;0,VLOOKUP(C1077,КФСР!A494:B2006,2),IF(D1077&gt;0,VLOOKUP(D1077,Программа!A$1:B$5100,2),IF(F1077&gt;0,VLOOKUP(F1077,КВР!A$1:B$5001,2),IF(E1077&gt;0,VLOOKUP(E1077,Направление!A$1:B$4830,2))))))</f>
        <v>Непрограммные расходы бюджета</v>
      </c>
      <c r="B1077" s="152"/>
      <c r="C1077" s="153"/>
      <c r="D1077" s="154" t="s">
        <v>626</v>
      </c>
      <c r="E1077" s="153"/>
      <c r="F1077" s="155"/>
      <c r="G1077" s="502">
        <v>22500</v>
      </c>
      <c r="H1077" s="502">
        <f>H1078</f>
        <v>0</v>
      </c>
      <c r="I1077" s="502">
        <f>I1078</f>
        <v>22500</v>
      </c>
    </row>
    <row r="1078" spans="1:9" ht="78.75" x14ac:dyDescent="0.25">
      <c r="A1078" s="157" t="str">
        <f>IF(B1078&gt;0,VLOOKUP(B1078,КВСР!A495:B1660,2),IF(C1078&gt;0,VLOOKUP(C1078,КФСР!A495:B2007,2),IF(D1078&gt;0,VLOOKUP(D1078,Программа!A$1:B$5100,2),IF(F1078&gt;0,VLOOKUP(F1078,КВР!A$1:B$5001,2),IF(E1078&gt;0,VLOOKUP(E1078,Направление!A$1:B$4830,2))))))</f>
        <v>Обеспечение мероприятий  по капитальному ремонту лифтов в МКД, в части жилых помещений находящихся в муниципальной собственности</v>
      </c>
      <c r="B1078" s="152"/>
      <c r="C1078" s="153"/>
      <c r="D1078" s="154"/>
      <c r="E1078" s="153">
        <v>29446</v>
      </c>
      <c r="F1078" s="155"/>
      <c r="G1078" s="502">
        <v>22500</v>
      </c>
      <c r="H1078" s="502">
        <f>H1079</f>
        <v>0</v>
      </c>
      <c r="I1078" s="502">
        <f>I1079</f>
        <v>22500</v>
      </c>
    </row>
    <row r="1079" spans="1:9" ht="63" x14ac:dyDescent="0.25">
      <c r="A1079" s="157" t="str">
        <f>IF(B1079&gt;0,VLOOKUP(B1079,КВСР!A496:B1661,2),IF(C1079&gt;0,VLOOKUP(C1079,КФСР!A496:B2008,2),IF(D1079&gt;0,VLOOKUP(D1079,Программа!A$1:B$5100,2),IF(F1079&gt;0,VLOOKUP(F1079,КВР!A$1:B$5001,2),IF(E1079&gt;0,VLOOKUP(E1079,Направление!A$1:B$4830,2))))))</f>
        <v xml:space="preserve">Закупка товаров, работ и услуг для обеспечения государственных (муниципальных) нужд
</v>
      </c>
      <c r="B1079" s="152"/>
      <c r="C1079" s="153"/>
      <c r="D1079" s="154"/>
      <c r="E1079" s="153"/>
      <c r="F1079" s="155">
        <v>200</v>
      </c>
      <c r="G1079" s="502">
        <v>22500</v>
      </c>
      <c r="H1079" s="160"/>
      <c r="I1079" s="161">
        <f>SUM(G1079:H1079)</f>
        <v>22500</v>
      </c>
    </row>
    <row r="1080" spans="1:9" x14ac:dyDescent="0.25">
      <c r="A1080" s="157" t="str">
        <f>IF(B1080&gt;0,VLOOKUP(B1080,КВСР!A472:B1637,2),IF(C1080&gt;0,VLOOKUP(C1080,КФСР!A472:B1984,2),IF(D1080&gt;0,VLOOKUP(D1080,Программа!A$1:B$5100,2),IF(F1080&gt;0,VLOOKUP(F1080,КВР!A$1:B$5001,2),IF(E1080&gt;0,VLOOKUP(E1080,Направление!A$1:B$4830,2))))))</f>
        <v>Коммунальное хозяйство</v>
      </c>
      <c r="B1080" s="152"/>
      <c r="C1080" s="153">
        <v>502</v>
      </c>
      <c r="D1080" s="154"/>
      <c r="E1080" s="153"/>
      <c r="F1080" s="155"/>
      <c r="G1080" s="504">
        <v>34950952.530000001</v>
      </c>
      <c r="H1080" s="159">
        <f>H1081+H1128+H1132</f>
        <v>-250656</v>
      </c>
      <c r="I1080" s="161">
        <f t="shared" si="22"/>
        <v>34700296.530000001</v>
      </c>
    </row>
    <row r="1081" spans="1:9" ht="63" x14ac:dyDescent="0.25">
      <c r="A1081" s="157" t="str">
        <f>IF(B1081&gt;0,VLOOKUP(B1081,КВСР!A473:B1638,2),IF(C1081&gt;0,VLOOKUP(C1081,КФСР!A473:B1985,2),IF(D1081&gt;0,VLOOKUP(D1081,Программа!A$1:B$5100,2),IF(F1081&gt;0,VLOOKUP(F1081,КВР!A$1:B$5001,2),IF(E1081&gt;0,VLOOKUP(E1081,Направление!A$1:B$4830,2))))))</f>
        <v>Муниципальная программа "Обеспечение качественными коммунальными услугами населения Тутаевского муниципального района"</v>
      </c>
      <c r="B1081" s="152"/>
      <c r="C1081" s="153"/>
      <c r="D1081" s="154" t="s">
        <v>851</v>
      </c>
      <c r="E1081" s="153"/>
      <c r="F1081" s="155"/>
      <c r="G1081" s="504">
        <v>26393098.530000001</v>
      </c>
      <c r="H1081" s="159">
        <f>H1082+H1088+H1099+H1106</f>
        <v>-496100</v>
      </c>
      <c r="I1081" s="161">
        <f t="shared" si="22"/>
        <v>25896998.530000001</v>
      </c>
    </row>
    <row r="1082" spans="1:9" ht="94.5" x14ac:dyDescent="0.25">
      <c r="A1082" s="157" t="str">
        <f>IF(B1082&gt;0,VLOOKUP(B1082,КВСР!A474:B1639,2),IF(C1082&gt;0,VLOOKUP(C1082,КФСР!A474:B1986,2),IF(D1082&gt;0,VLOOKUP(D1082,Программа!A$1:B$5100,2),IF(F1082&gt;0,VLOOKUP(F1082,КВР!A$1:B$5001,2),IF(E1082&gt;0,VLOOKUP(E1082,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82" s="152"/>
      <c r="C1082" s="153"/>
      <c r="D1082" s="154" t="s">
        <v>853</v>
      </c>
      <c r="E1082" s="153"/>
      <c r="F1082" s="155"/>
      <c r="G1082" s="504">
        <v>11331753</v>
      </c>
      <c r="H1082" s="159">
        <f>H1083</f>
        <v>0</v>
      </c>
      <c r="I1082" s="161">
        <f t="shared" si="22"/>
        <v>11331753</v>
      </c>
    </row>
    <row r="1083" spans="1:9" ht="94.5" x14ac:dyDescent="0.25">
      <c r="A1083" s="157" t="str">
        <f>IF(B1083&gt;0,VLOOKUP(B1083,КВСР!A475:B1640,2),IF(C1083&gt;0,VLOOKUP(C1083,КФСР!A475:B1987,2),IF(D1083&gt;0,VLOOKUP(D1083,Программа!A$1:B$5100,2),IF(F1083&gt;0,VLOOKUP(F1083,КВР!A$1:B$5001,2),IF(E1083&gt;0,VLOOKUP(E1083,Направление!A$1:B$4830,2)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83" s="152"/>
      <c r="C1083" s="153"/>
      <c r="D1083" s="154" t="s">
        <v>880</v>
      </c>
      <c r="E1083" s="153"/>
      <c r="F1083" s="155"/>
      <c r="G1083" s="504">
        <v>11331753</v>
      </c>
      <c r="H1083" s="159">
        <f>H1084+H1086</f>
        <v>0</v>
      </c>
      <c r="I1083" s="161">
        <f t="shared" si="22"/>
        <v>11331753</v>
      </c>
    </row>
    <row r="1084" spans="1:9" ht="47.25" x14ac:dyDescent="0.25">
      <c r="A1084" s="157" t="str">
        <f>IF(B1084&gt;0,VLOOKUP(B1084,КВСР!A475:B1640,2),IF(C1084&gt;0,VLOOKUP(C1084,КФСР!A475:B1987,2),IF(D1084&gt;0,VLOOKUP(D1084,Программа!A$1:B$5100,2),IF(F1084&gt;0,VLOOKUP(F1084,КВР!A$1:B$5001,2),IF(E1084&gt;0,VLOOKUP(E1084,Направление!A$1:B$4830,2))))))</f>
        <v>Субсидия на выполнение ОМС Тутаевского МР полномочий по организации теплоснабжения</v>
      </c>
      <c r="B1084" s="152"/>
      <c r="C1084" s="153"/>
      <c r="D1084" s="154"/>
      <c r="E1084" s="153">
        <v>10880</v>
      </c>
      <c r="F1084" s="155"/>
      <c r="G1084" s="504">
        <v>7487000</v>
      </c>
      <c r="H1084" s="159">
        <f>H1085</f>
        <v>0</v>
      </c>
      <c r="I1084" s="161">
        <f t="shared" si="22"/>
        <v>7487000</v>
      </c>
    </row>
    <row r="1085" spans="1:9" x14ac:dyDescent="0.25">
      <c r="A1085" s="157" t="str">
        <f>IF(B1085&gt;0,VLOOKUP(B1085,КВСР!A476:B1641,2),IF(C1085&gt;0,VLOOKUP(C1085,КФСР!A476:B1988,2),IF(D1085&gt;0,VLOOKUP(D1085,Программа!A$1:B$5100,2),IF(F1085&gt;0,VLOOKUP(F1085,КВР!A$1:B$5001,2),IF(E1085&gt;0,VLOOKUP(E1085,Направление!A$1:B$4830,2))))))</f>
        <v>Иные бюджетные ассигнования</v>
      </c>
      <c r="B1085" s="152"/>
      <c r="C1085" s="153"/>
      <c r="D1085" s="155"/>
      <c r="E1085" s="153"/>
      <c r="F1085" s="155">
        <v>800</v>
      </c>
      <c r="G1085" s="502">
        <v>7487000</v>
      </c>
      <c r="H1085" s="160"/>
      <c r="I1085" s="161">
        <f t="shared" si="22"/>
        <v>7487000</v>
      </c>
    </row>
    <row r="1086" spans="1:9" ht="47.25" x14ac:dyDescent="0.25">
      <c r="A1086" s="157" t="str">
        <f>IF(B1086&gt;0,VLOOKUP(B1086,КВСР!A477:B1642,2),IF(C1086&gt;0,VLOOKUP(C1086,КФСР!A477:B1989,2),IF(D1086&gt;0,VLOOKUP(D1086,Программа!A$1:B$5100,2),IF(F1086&gt;0,VLOOKUP(F1086,КВР!A$1:B$5001,2),IF(E1086&gt;0,VLOOKUP(E1086,Направление!A$1:B$4830,2))))))</f>
        <v>Обеспечение надежного теплоснабжения жилищного фонда городского поселения Тутаев</v>
      </c>
      <c r="B1086" s="152"/>
      <c r="C1086" s="153"/>
      <c r="D1086" s="155"/>
      <c r="E1086" s="153">
        <v>29706</v>
      </c>
      <c r="F1086" s="155"/>
      <c r="G1086" s="502">
        <v>3844753</v>
      </c>
      <c r="H1086" s="502">
        <f>H1087</f>
        <v>0</v>
      </c>
      <c r="I1086" s="161">
        <f>SUM(G1086:H1086)</f>
        <v>3844753</v>
      </c>
    </row>
    <row r="1087" spans="1:9" x14ac:dyDescent="0.25">
      <c r="A1087" s="157" t="str">
        <f>IF(B1087&gt;0,VLOOKUP(B1087,КВСР!A478:B1643,2),IF(C1087&gt;0,VLOOKUP(C1087,КФСР!A478:B1990,2),IF(D1087&gt;0,VLOOKUP(D1087,Программа!A$1:B$5100,2),IF(F1087&gt;0,VLOOKUP(F1087,КВР!A$1:B$5001,2),IF(E1087&gt;0,VLOOKUP(E1087,Направление!A$1:B$4830,2))))))</f>
        <v>Иные бюджетные ассигнования</v>
      </c>
      <c r="B1087" s="152"/>
      <c r="C1087" s="153"/>
      <c r="D1087" s="155"/>
      <c r="E1087" s="153"/>
      <c r="F1087" s="155">
        <v>800</v>
      </c>
      <c r="G1087" s="502">
        <v>3844753</v>
      </c>
      <c r="H1087" s="160"/>
      <c r="I1087" s="161">
        <f>SUM(G1087:H1087)</f>
        <v>3844753</v>
      </c>
    </row>
    <row r="1088" spans="1:9" ht="78.75" x14ac:dyDescent="0.25">
      <c r="A1088" s="157" t="str">
        <f>IF(B1088&gt;0,VLOOKUP(B1088,КВСР!A479:B1644,2),IF(C1088&gt;0,VLOOKUP(C1088,КФСР!A479:B1991,2),IF(D1088&gt;0,VLOOKUP(D1088,Программа!A$1:B$5100,2),IF(F1088&gt;0,VLOOKUP(F1088,КВР!A$1:B$5001,2),IF(E1088&gt;0,VLOOKUP(E1088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88" s="152"/>
      <c r="C1088" s="153"/>
      <c r="D1088" s="154" t="s">
        <v>883</v>
      </c>
      <c r="E1088" s="153"/>
      <c r="F1088" s="155"/>
      <c r="G1088" s="168">
        <v>7972099</v>
      </c>
      <c r="H1088" s="168">
        <f>H1089</f>
        <v>-72400</v>
      </c>
      <c r="I1088" s="161">
        <f t="shared" si="22"/>
        <v>7899699</v>
      </c>
    </row>
    <row r="1089" spans="1:9" ht="78.75" x14ac:dyDescent="0.25">
      <c r="A1089" s="157" t="str">
        <f>IF(B1089&gt;0,VLOOKUP(B1089,КВСР!A480:B1645,2),IF(C1089&gt;0,VLOOKUP(C1089,КФСР!A480:B1992,2),IF(D1089&gt;0,VLOOKUP(D1089,Программа!A$1:B$5100,2),IF(F1089&gt;0,VLOOKUP(F1089,КВР!A$1:B$5001,2),IF(E1089&gt;0,VLOOKUP(E1089,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1089" s="152"/>
      <c r="C1089" s="153"/>
      <c r="D1089" s="154" t="s">
        <v>927</v>
      </c>
      <c r="E1089" s="153"/>
      <c r="F1089" s="155"/>
      <c r="G1089" s="168">
        <v>7972099</v>
      </c>
      <c r="H1089" s="168">
        <f>H1090+H1093+H1095+H1097</f>
        <v>-72400</v>
      </c>
      <c r="I1089" s="161">
        <f t="shared" si="22"/>
        <v>7899699</v>
      </c>
    </row>
    <row r="1090" spans="1:9" ht="47.25" x14ac:dyDescent="0.25">
      <c r="A1090" s="157" t="str">
        <f>IF(B1090&gt;0,VLOOKUP(B1090,КВСР!A480:B1645,2),IF(C1090&gt;0,VLOOKUP(C1090,КФСР!A480:B1992,2),IF(D1090&gt;0,VLOOKUP(D1090,Программа!A$1:B$5100,2),IF(F1090&gt;0,VLOOKUP(F1090,КВР!A$1:B$5001,2),IF(E1090&gt;0,VLOOKUP(E1090,Направление!A$1:B$4830,2))))))</f>
        <v>Бюджетные инвестиции в объекты капитального строительства муниципальной собственности</v>
      </c>
      <c r="B1090" s="152"/>
      <c r="C1090" s="153"/>
      <c r="D1090" s="155"/>
      <c r="E1090" s="153">
        <v>10010</v>
      </c>
      <c r="F1090" s="155"/>
      <c r="G1090" s="168">
        <v>2401500</v>
      </c>
      <c r="H1090" s="168">
        <f>SUM(H1091:H1092)</f>
        <v>-69900</v>
      </c>
      <c r="I1090" s="161">
        <f t="shared" si="22"/>
        <v>2331600</v>
      </c>
    </row>
    <row r="1091" spans="1:9" ht="63" x14ac:dyDescent="0.25">
      <c r="A1091" s="157" t="str">
        <f>IF(B1091&gt;0,VLOOKUP(B1091,КВСР!A481:B1646,2),IF(C1091&gt;0,VLOOKUP(C1091,КФСР!A481:B1993,2),IF(D1091&gt;0,VLOOKUP(D1091,Программа!A$1:B$5100,2),IF(F1091&gt;0,VLOOKUP(F1091,КВР!A$1:B$5001,2),IF(E1091&gt;0,VLOOKUP(E1091,Направление!A$1:B$4830,2))))))</f>
        <v xml:space="preserve">Закупка товаров, работ и услуг для обеспечения государственных (муниципальных) нужд
</v>
      </c>
      <c r="B1091" s="152"/>
      <c r="C1091" s="153"/>
      <c r="D1091" s="155"/>
      <c r="E1091" s="153"/>
      <c r="F1091" s="155">
        <v>200</v>
      </c>
      <c r="G1091" s="168">
        <v>78500</v>
      </c>
      <c r="H1091" s="503"/>
      <c r="I1091" s="161">
        <f>SUM(G1091:H1091)</f>
        <v>78500</v>
      </c>
    </row>
    <row r="1092" spans="1:9" ht="47.25" x14ac:dyDescent="0.25">
      <c r="A1092" s="157" t="str">
        <f>IF(B1092&gt;0,VLOOKUP(B1092,КВСР!A481:B1646,2),IF(C1092&gt;0,VLOOKUP(C1092,КФСР!A481:B1993,2),IF(D1092&gt;0,VLOOKUP(D1092,Программа!A$1:B$5100,2),IF(F1092&gt;0,VLOOKUP(F1092,КВР!A$1:B$5001,2),IF(E1092&gt;0,VLOOKUP(E1092,Направление!A$1:B$4830,2))))))</f>
        <v>Капитальные вложения в объекты государственной (муниципальной) собственности</v>
      </c>
      <c r="B1092" s="152"/>
      <c r="C1092" s="153"/>
      <c r="D1092" s="155"/>
      <c r="E1092" s="153"/>
      <c r="F1092" s="155">
        <v>400</v>
      </c>
      <c r="G1092" s="502">
        <v>2323000</v>
      </c>
      <c r="H1092" s="160">
        <f>-37900-32000</f>
        <v>-69900</v>
      </c>
      <c r="I1092" s="161">
        <f t="shared" si="22"/>
        <v>2253100</v>
      </c>
    </row>
    <row r="1093" spans="1:9" ht="31.5" x14ac:dyDescent="0.25">
      <c r="A1093" s="157" t="str">
        <f>IF(B1093&gt;0,VLOOKUP(B1093,КВСР!A482:B1647,2),IF(C1093&gt;0,VLOOKUP(C1093,КФСР!A482:B1994,2),IF(D1093&gt;0,VLOOKUP(D1093,Программа!A$1:B$5100,2),IF(F1093&gt;0,VLOOKUP(F1093,КВР!A$1:B$5001,2),IF(E1093&gt;0,VLOOKUP(E1093,Направление!A$1:B$4830,2))))))</f>
        <v xml:space="preserve">Строительство и реконструкция  объектов  газификации </v>
      </c>
      <c r="B1093" s="152"/>
      <c r="C1093" s="153"/>
      <c r="D1093" s="155"/>
      <c r="E1093" s="153">
        <v>29066</v>
      </c>
      <c r="F1093" s="155"/>
      <c r="G1093" s="502">
        <v>1117700</v>
      </c>
      <c r="H1093" s="502">
        <f>H1094</f>
        <v>-2500</v>
      </c>
      <c r="I1093" s="161">
        <f t="shared" si="22"/>
        <v>1115200</v>
      </c>
    </row>
    <row r="1094" spans="1:9" ht="63" x14ac:dyDescent="0.25">
      <c r="A1094" s="157" t="str">
        <f>IF(B1094&gt;0,VLOOKUP(B1094,КВСР!A483:B1648,2),IF(C1094&gt;0,VLOOKUP(C1094,КФСР!A483:B1995,2),IF(D1094&gt;0,VLOOKUP(D1094,Программа!A$1:B$5100,2),IF(F1094&gt;0,VLOOKUP(F1094,КВР!A$1:B$5001,2),IF(E1094&gt;0,VLOOKUP(E1094,Направление!A$1:B$4830,2))))))</f>
        <v xml:space="preserve">Закупка товаров, работ и услуг для обеспечения государственных (муниципальных) нужд
</v>
      </c>
      <c r="B1094" s="152"/>
      <c r="C1094" s="153"/>
      <c r="D1094" s="155"/>
      <c r="E1094" s="153"/>
      <c r="F1094" s="155">
        <v>200</v>
      </c>
      <c r="G1094" s="502">
        <v>1117700</v>
      </c>
      <c r="H1094" s="160">
        <v>-2500</v>
      </c>
      <c r="I1094" s="161">
        <f t="shared" ref="I1094:I1167" si="23">SUM(G1094:H1094)</f>
        <v>1115200</v>
      </c>
    </row>
    <row r="1095" spans="1:9" ht="47.25" x14ac:dyDescent="0.25">
      <c r="A1095" s="157" t="str">
        <f>IF(B1095&gt;0,VLOOKUP(B1095,КВСР!A484:B1649,2),IF(C1095&gt;0,VLOOKUP(C1095,КФСР!A484:B1996,2),IF(D1095&gt;0,VLOOKUP(D1095,Программа!A$1:B$5100,2),IF(F1095&gt;0,VLOOKUP(F1095,КВР!A$1:B$5001,2),IF(E1095&gt;0,VLOOKUP(E1095,Направление!A$1:B$4830,2))))))</f>
        <v>Субсидия на мероприятия по строительству межпоселеченских газопроводов</v>
      </c>
      <c r="B1095" s="152"/>
      <c r="C1095" s="153"/>
      <c r="D1095" s="155"/>
      <c r="E1095" s="153">
        <v>75260</v>
      </c>
      <c r="F1095" s="155"/>
      <c r="G1095" s="502">
        <v>4452899</v>
      </c>
      <c r="H1095" s="502">
        <f>H1096</f>
        <v>0</v>
      </c>
      <c r="I1095" s="161">
        <f t="shared" si="23"/>
        <v>4452899</v>
      </c>
    </row>
    <row r="1096" spans="1:9" ht="47.25" x14ac:dyDescent="0.25">
      <c r="A1096" s="157" t="str">
        <f>IF(B1096&gt;0,VLOOKUP(B1096,КВСР!A485:B1650,2),IF(C1096&gt;0,VLOOKUP(C1096,КФСР!A485:B1997,2),IF(D1096&gt;0,VLOOKUP(D1096,Программа!A$1:B$5100,2),IF(F1096&gt;0,VLOOKUP(F1096,КВР!A$1:B$5001,2),IF(E1096&gt;0,VLOOKUP(E1096,Направление!A$1:B$4830,2))))))</f>
        <v>Капитальные вложения в объекты государственной (муниципальной) собственности</v>
      </c>
      <c r="B1096" s="152"/>
      <c r="C1096" s="153"/>
      <c r="D1096" s="155"/>
      <c r="E1096" s="153"/>
      <c r="F1096" s="155">
        <v>400</v>
      </c>
      <c r="G1096" s="502">
        <v>4452899</v>
      </c>
      <c r="H1096" s="160"/>
      <c r="I1096" s="161">
        <f t="shared" si="23"/>
        <v>4452899</v>
      </c>
    </row>
    <row r="1097" spans="1:9" ht="47.25" hidden="1" x14ac:dyDescent="0.25">
      <c r="A1097" s="157" t="str">
        <f>IF(B1097&gt;0,VLOOKUP(B1097,КВСР!A486:B1651,2),IF(C1097&gt;0,VLOOKUP(C1097,КФСР!A486:B1998,2),IF(D1097&gt;0,VLOOKUP(D1097,Программа!A$1:B$5100,2),IF(F1097&gt;0,VLOOKUP(F1097,КВР!A$1:B$5001,2),IF(E1097&gt;0,VLOOKUP(E1097,Направление!A$1:B$4830,2))))))</f>
        <v>Бюджетные инвестиции на строительство межпоселенческих газопроводов</v>
      </c>
      <c r="B1097" s="152"/>
      <c r="C1097" s="153"/>
      <c r="D1097" s="155"/>
      <c r="E1097" s="153">
        <v>15260</v>
      </c>
      <c r="F1097" s="155"/>
      <c r="G1097" s="502">
        <v>0</v>
      </c>
      <c r="H1097" s="502">
        <f>H1098</f>
        <v>0</v>
      </c>
      <c r="I1097" s="161">
        <f t="shared" si="23"/>
        <v>0</v>
      </c>
    </row>
    <row r="1098" spans="1:9" ht="47.25" hidden="1" x14ac:dyDescent="0.25">
      <c r="A1098" s="157" t="str">
        <f>IF(B1098&gt;0,VLOOKUP(B1098,КВСР!A485:B1650,2),IF(C1098&gt;0,VLOOKUP(C1098,КФСР!A485:B1997,2),IF(D1098&gt;0,VLOOKUP(D1098,Программа!A$1:B$5100,2),IF(F1098&gt;0,VLOOKUP(F1098,КВР!A$1:B$5001,2),IF(E1098&gt;0,VLOOKUP(E1098,Направление!A$1:B$4830,2))))))</f>
        <v>Капитальные вложения в объекты государственной (муниципальной) собственности</v>
      </c>
      <c r="B1098" s="152"/>
      <c r="C1098" s="153"/>
      <c r="D1098" s="155"/>
      <c r="E1098" s="153"/>
      <c r="F1098" s="155">
        <v>400</v>
      </c>
      <c r="G1098" s="502">
        <v>0</v>
      </c>
      <c r="H1098" s="160"/>
      <c r="I1098" s="161">
        <f t="shared" si="23"/>
        <v>0</v>
      </c>
    </row>
    <row r="1099" spans="1:9" ht="78.75" x14ac:dyDescent="0.25">
      <c r="A1099" s="157" t="str">
        <f>IF(B1099&gt;0,VLOOKUP(B1099,КВСР!A482:B1647,2),IF(C1099&gt;0,VLOOKUP(C1099,КФСР!A482:B1994,2),IF(D1099&gt;0,VLOOKUP(D1099,Программа!A$1:B$5100,2),IF(F1099&gt;0,VLOOKUP(F1099,КВР!A$1:B$5001,2),IF(E1099&gt;0,VLOOKUP(E1099,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99" s="152"/>
      <c r="C1099" s="153"/>
      <c r="D1099" s="154" t="s">
        <v>887</v>
      </c>
      <c r="E1099" s="153"/>
      <c r="F1099" s="155"/>
      <c r="G1099" s="168">
        <v>3055000</v>
      </c>
      <c r="H1099" s="168">
        <f>H1100</f>
        <v>-407700</v>
      </c>
      <c r="I1099" s="161">
        <f t="shared" si="23"/>
        <v>2647300</v>
      </c>
    </row>
    <row r="1100" spans="1:9" ht="78.75" x14ac:dyDescent="0.25">
      <c r="A1100" s="157" t="str">
        <f>IF(B1100&gt;0,VLOOKUP(B1100,КВСР!A483:B1648,2),IF(C1100&gt;0,VLOOKUP(C1100,КФСР!A483:B1995,2),IF(D1100&gt;0,VLOOKUP(D1100,Программа!A$1:B$5100,2),IF(F1100&gt;0,VLOOKUP(F1100,КВР!A$1:B$5001,2),IF(E1100&gt;0,VLOOKUP(E1100,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00" s="152"/>
      <c r="C1100" s="153"/>
      <c r="D1100" s="154" t="s">
        <v>888</v>
      </c>
      <c r="E1100" s="153"/>
      <c r="F1100" s="155"/>
      <c r="G1100" s="168">
        <v>3055000</v>
      </c>
      <c r="H1100" s="168">
        <f>H1101+H1104</f>
        <v>-407700</v>
      </c>
      <c r="I1100" s="161">
        <f t="shared" si="23"/>
        <v>2647300</v>
      </c>
    </row>
    <row r="1101" spans="1:9" ht="47.25" x14ac:dyDescent="0.25">
      <c r="A1101" s="157" t="str">
        <f>IF(B1101&gt;0,VLOOKUP(B1101,КВСР!A483:B1648,2),IF(C1101&gt;0,VLOOKUP(C1101,КФСР!A483:B1995,2),IF(D1101&gt;0,VLOOKUP(D1101,Программа!A$1:B$5100,2),IF(F1101&gt;0,VLOOKUP(F1101,КВР!A$1:B$5001,2),IF(E1101&gt;0,VLOOKUP(E1101,Направление!A$1:B$4830,2))))))</f>
        <v>Бюджетные инвестиции в объекты капитального строительства муниципальной собственности</v>
      </c>
      <c r="B1101" s="152"/>
      <c r="C1101" s="153"/>
      <c r="D1101" s="154"/>
      <c r="E1101" s="153">
        <v>10010</v>
      </c>
      <c r="F1101" s="155"/>
      <c r="G1101" s="168">
        <v>1555000</v>
      </c>
      <c r="H1101" s="168">
        <f>H1103+H1102</f>
        <v>0</v>
      </c>
      <c r="I1101" s="161">
        <f t="shared" si="23"/>
        <v>1555000</v>
      </c>
    </row>
    <row r="1102" spans="1:9" ht="47.25" x14ac:dyDescent="0.25">
      <c r="A1102" s="157" t="str">
        <f>IF(B1102&gt;0,VLOOKUP(B1102,КВСР!A484:B1649,2),IF(C1102&gt;0,VLOOKUP(C1102,КФСР!A484:B1996,2),IF(D1102&gt;0,VLOOKUP(D1102,Программа!A$1:B$5100,2),IF(F1102&gt;0,VLOOKUP(F1102,КВР!A$1:B$5001,2),IF(E1102&gt;0,VLOOKUP(E1102,Направление!A$1:B$4830,2))))))</f>
        <v>Капитальные вложения в объекты государственной (муниципальной) собственности</v>
      </c>
      <c r="B1102" s="152"/>
      <c r="C1102" s="153"/>
      <c r="D1102" s="154"/>
      <c r="E1102" s="153"/>
      <c r="F1102" s="155">
        <v>400</v>
      </c>
      <c r="G1102" s="168">
        <v>355000</v>
      </c>
      <c r="H1102" s="503"/>
      <c r="I1102" s="161">
        <f t="shared" si="23"/>
        <v>355000</v>
      </c>
    </row>
    <row r="1103" spans="1:9" x14ac:dyDescent="0.25">
      <c r="A1103" s="157" t="str">
        <f>IF(B1103&gt;0,VLOOKUP(B1103,КВСР!A484:B1649,2),IF(C1103&gt;0,VLOOKUP(C1103,КФСР!A484:B1996,2),IF(D1103&gt;0,VLOOKUP(D1103,Программа!A$1:B$5100,2),IF(F1103&gt;0,VLOOKUP(F1103,КВР!A$1:B$5001,2),IF(E1103&gt;0,VLOOKUP(E1103,Направление!A$1:B$4830,2))))))</f>
        <v xml:space="preserve"> Межбюджетные трансферты</v>
      </c>
      <c r="B1103" s="152"/>
      <c r="C1103" s="153"/>
      <c r="D1103" s="154"/>
      <c r="E1103" s="153"/>
      <c r="F1103" s="155">
        <v>500</v>
      </c>
      <c r="G1103" s="502">
        <v>1200000</v>
      </c>
      <c r="H1103" s="160"/>
      <c r="I1103" s="161">
        <f t="shared" si="23"/>
        <v>1200000</v>
      </c>
    </row>
    <row r="1104" spans="1:9" ht="63" x14ac:dyDescent="0.25">
      <c r="A1104" s="157" t="str">
        <f>IF(B1104&gt;0,VLOOKUP(B1104,КВСР!A485:B1650,2),IF(C1104&gt;0,VLOOKUP(C1104,КФСР!A485:B1997,2),IF(D1104&gt;0,VLOOKUP(D1104,Программа!A$1:B$5100,2),IF(F1104&gt;0,VLOOKUP(F1104,КВР!A$1:B$5001,2),IF(E1104&gt;0,VLOOKUP(E1104,Направление!A$1:B$4830,2))))))</f>
        <v xml:space="preserve">Обеспечение мероприятий по строительству,  реконструкции и ремонту  объектов водоснабжения и водоотведения </v>
      </c>
      <c r="B1104" s="152"/>
      <c r="C1104" s="153"/>
      <c r="D1104" s="154"/>
      <c r="E1104" s="153">
        <v>29046</v>
      </c>
      <c r="F1104" s="155"/>
      <c r="G1104" s="502">
        <v>1500000</v>
      </c>
      <c r="H1104" s="502">
        <f>H1105</f>
        <v>-407700</v>
      </c>
      <c r="I1104" s="161">
        <f t="shared" si="23"/>
        <v>1092300</v>
      </c>
    </row>
    <row r="1105" spans="1:9" ht="47.25" x14ac:dyDescent="0.25">
      <c r="A1105" s="157" t="str">
        <f>IF(B1105&gt;0,VLOOKUP(B1105,КВСР!A486:B1651,2),IF(C1105&gt;0,VLOOKUP(C1105,КФСР!A486:B1998,2),IF(D1105&gt;0,VLOOKUP(D1105,Программа!A$1:B$5100,2),IF(F1105&gt;0,VLOOKUP(F1105,КВР!A$1:B$5001,2),IF(E1105&gt;0,VLOOKUP(E1105,Направление!A$1:B$4830,2))))))</f>
        <v>Капитальные вложения в объекты государственной (муниципальной) собственности</v>
      </c>
      <c r="B1105" s="152"/>
      <c r="C1105" s="153"/>
      <c r="D1105" s="154"/>
      <c r="E1105" s="153"/>
      <c r="F1105" s="155">
        <v>400</v>
      </c>
      <c r="G1105" s="502">
        <v>1500000</v>
      </c>
      <c r="H1105" s="160">
        <f>-250000-125000-32700</f>
        <v>-407700</v>
      </c>
      <c r="I1105" s="161">
        <f t="shared" si="23"/>
        <v>1092300</v>
      </c>
    </row>
    <row r="1106" spans="1:9" ht="78.75" x14ac:dyDescent="0.25">
      <c r="A1106" s="157" t="str">
        <f>IF(B1106&gt;0,VLOOKUP(B1106,КВСР!A485:B1650,2),IF(C1106&gt;0,VLOOKUP(C1106,КФСР!A485:B1997,2),IF(D1106&gt;0,VLOOKUP(D1106,Программа!A$1:B$5100,2),IF(F1106&gt;0,VLOOKUP(F1106,КВР!A$1:B$5001,2),IF(E1106&gt;0,VLOOKUP(E1106,Направление!A$1:B$4830,2)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106" s="152"/>
      <c r="C1106" s="153"/>
      <c r="D1106" s="154" t="s">
        <v>890</v>
      </c>
      <c r="E1106" s="153"/>
      <c r="F1106" s="155"/>
      <c r="G1106" s="168">
        <v>4034246.5300000003</v>
      </c>
      <c r="H1106" s="168">
        <f>H1107+H1116+H1125</f>
        <v>-16000</v>
      </c>
      <c r="I1106" s="161">
        <f t="shared" si="23"/>
        <v>4018246.5300000003</v>
      </c>
    </row>
    <row r="1107" spans="1:9" ht="47.25" x14ac:dyDescent="0.25">
      <c r="A1107" s="157" t="str">
        <f>IF(B1107&gt;0,VLOOKUP(B1107,КВСР!A486:B1651,2),IF(C1107&gt;0,VLOOKUP(C1107,КФСР!A486:B1998,2),IF(D1107&gt;0,VLOOKUP(D1107,Программа!A$1:B$5100,2),IF(F1107&gt;0,VLOOKUP(F1107,КВР!A$1:B$5001,2),IF(E1107&gt;0,VLOOKUP(E1107,Направление!A$1:B$4830,2))))))</f>
        <v>Проведение комплекса работ по ремонту, замене и реконструкции объектов теплоснабжения</v>
      </c>
      <c r="B1107" s="152"/>
      <c r="C1107" s="153"/>
      <c r="D1107" s="154" t="s">
        <v>892</v>
      </c>
      <c r="E1107" s="153"/>
      <c r="F1107" s="155"/>
      <c r="G1107" s="168">
        <v>4016358.5300000003</v>
      </c>
      <c r="H1107" s="168">
        <f>H1108+H1111+H1114</f>
        <v>0</v>
      </c>
      <c r="I1107" s="161">
        <f t="shared" si="23"/>
        <v>4016358.5300000003</v>
      </c>
    </row>
    <row r="1108" spans="1:9" ht="63" x14ac:dyDescent="0.25">
      <c r="A1108" s="157" t="str">
        <f>IF(B1108&gt;0,VLOOKUP(B1108,КВСР!A487:B1652,2),IF(C1108&gt;0,VLOOKUP(C1108,КФСР!A487:B1999,2),IF(D1108&gt;0,VLOOKUP(D1108,Программа!A$1:B$5100,2),IF(F1108&gt;0,VLOOKUP(F1108,КВР!A$1:B$5001,2),IF(E1108&gt;0,VLOOKUP(E1108,Направление!A$1:B$4830,2))))))</f>
        <v>Субсидия на возмещение затрат по содержанию и ремонту  объектов находящихся в муниципальной собственности</v>
      </c>
      <c r="B1108" s="152"/>
      <c r="C1108" s="153"/>
      <c r="D1108" s="154"/>
      <c r="E1108" s="153">
        <v>10030</v>
      </c>
      <c r="F1108" s="155"/>
      <c r="G1108" s="168">
        <v>1777939</v>
      </c>
      <c r="H1108" s="168">
        <f>SUM(H1109:H1110)</f>
        <v>0</v>
      </c>
      <c r="I1108" s="161">
        <f t="shared" si="23"/>
        <v>1777939</v>
      </c>
    </row>
    <row r="1109" spans="1:9" ht="63" x14ac:dyDescent="0.25">
      <c r="A1109" s="157" t="str">
        <f>IF(B1109&gt;0,VLOOKUP(B1109,КВСР!A488:B1653,2),IF(C1109&gt;0,VLOOKUP(C1109,КФСР!A488:B2000,2),IF(D1109&gt;0,VLOOKUP(D1109,Программа!A$1:B$5100,2),IF(F1109&gt;0,VLOOKUP(F1109,КВР!A$1:B$5001,2),IF(E1109&gt;0,VLOOKUP(E1109,Направление!A$1:B$4830,2))))))</f>
        <v xml:space="preserve">Закупка товаров, работ и услуг для обеспечения государственных (муниципальных) нужд
</v>
      </c>
      <c r="B1109" s="152"/>
      <c r="C1109" s="153"/>
      <c r="D1109" s="154"/>
      <c r="E1109" s="153"/>
      <c r="F1109" s="155">
        <v>200</v>
      </c>
      <c r="G1109" s="502">
        <v>83626</v>
      </c>
      <c r="H1109" s="160"/>
      <c r="I1109" s="161">
        <f t="shared" si="23"/>
        <v>83626</v>
      </c>
    </row>
    <row r="1110" spans="1:9" x14ac:dyDescent="0.25">
      <c r="A1110" s="157" t="str">
        <f>IF(B1110&gt;0,VLOOKUP(B1110,КВСР!A489:B1654,2),IF(C1110&gt;0,VLOOKUP(C1110,КФСР!A489:B2001,2),IF(D1110&gt;0,VLOOKUP(D1110,Программа!A$1:B$5100,2),IF(F1110&gt;0,VLOOKUP(F1110,КВР!A$1:B$5001,2),IF(E1110&gt;0,VLOOKUP(E1110,Направление!A$1:B$4830,2))))))</f>
        <v>Иные бюджетные ассигнования</v>
      </c>
      <c r="B1110" s="152"/>
      <c r="C1110" s="153"/>
      <c r="D1110" s="154"/>
      <c r="E1110" s="153"/>
      <c r="F1110" s="155">
        <v>800</v>
      </c>
      <c r="G1110" s="502">
        <v>1694313</v>
      </c>
      <c r="H1110" s="160"/>
      <c r="I1110" s="161">
        <f>SUM(G1110:H1110)</f>
        <v>1694313</v>
      </c>
    </row>
    <row r="1111" spans="1:9" ht="47.25" x14ac:dyDescent="0.25">
      <c r="A1111" s="157" t="str">
        <f>IF(B1111&gt;0,VLOOKUP(B1111,КВСР!A485:B1650,2),IF(C1111&gt;0,VLOOKUP(C1111,КФСР!A485:B1997,2),IF(D1111&gt;0,VLOOKUP(D1111,Программа!A$1:B$5100,2),IF(F1111&gt;0,VLOOKUP(F1111,КВР!A$1:B$5001,2),IF(E1111&gt;0,VLOOKUP(E1111,Направление!A$1:B$4830,2))))))</f>
        <v>Субсидия на возмещение затрат по содержанию и  ремонту муниципальных коммунальных сетей</v>
      </c>
      <c r="B1111" s="152"/>
      <c r="C1111" s="153"/>
      <c r="D1111" s="154"/>
      <c r="E1111" s="153">
        <v>10040</v>
      </c>
      <c r="F1111" s="155"/>
      <c r="G1111" s="168">
        <v>1376025.53</v>
      </c>
      <c r="H1111" s="168">
        <f>SUM(H1112:H1113)</f>
        <v>0</v>
      </c>
      <c r="I1111" s="161">
        <f t="shared" si="23"/>
        <v>1376025.53</v>
      </c>
    </row>
    <row r="1112" spans="1:9" ht="63" hidden="1" x14ac:dyDescent="0.25">
      <c r="A1112" s="157" t="str">
        <f>IF(B1112&gt;0,VLOOKUP(B1112,КВСР!A486:B1651,2),IF(C1112&gt;0,VLOOKUP(C1112,КФСР!A486:B1998,2),IF(D1112&gt;0,VLOOKUP(D1112,Программа!A$1:B$5100,2),IF(F1112&gt;0,VLOOKUP(F1112,КВР!A$1:B$5001,2),IF(E1112&gt;0,VLOOKUP(E1112,Направление!A$1:B$4830,2))))))</f>
        <v xml:space="preserve">Закупка товаров, работ и услуг для обеспечения государственных (муниципальных) нужд
</v>
      </c>
      <c r="B1112" s="152"/>
      <c r="C1112" s="153"/>
      <c r="D1112" s="154"/>
      <c r="E1112" s="153"/>
      <c r="F1112" s="155">
        <v>200</v>
      </c>
      <c r="G1112" s="502">
        <v>0</v>
      </c>
      <c r="H1112" s="160"/>
      <c r="I1112" s="161">
        <f t="shared" si="23"/>
        <v>0</v>
      </c>
    </row>
    <row r="1113" spans="1:9" x14ac:dyDescent="0.25">
      <c r="A1113" s="157" t="str">
        <f>IF(B1113&gt;0,VLOOKUP(B1113,КВСР!A487:B1652,2),IF(C1113&gt;0,VLOOKUP(C1113,КФСР!A487:B1999,2),IF(D1113&gt;0,VLOOKUP(D1113,Программа!A$1:B$5100,2),IF(F1113&gt;0,VLOOKUP(F1113,КВР!A$1:B$5001,2),IF(E1113&gt;0,VLOOKUP(E1113,Направление!A$1:B$4830,2))))))</f>
        <v>Иные бюджетные ассигнования</v>
      </c>
      <c r="B1113" s="152"/>
      <c r="C1113" s="153"/>
      <c r="D1113" s="154"/>
      <c r="E1113" s="153"/>
      <c r="F1113" s="155">
        <v>800</v>
      </c>
      <c r="G1113" s="502">
        <v>1376025.53</v>
      </c>
      <c r="H1113" s="160"/>
      <c r="I1113" s="161">
        <f t="shared" si="23"/>
        <v>1376025.53</v>
      </c>
    </row>
    <row r="1114" spans="1:9" ht="47.25" x14ac:dyDescent="0.25">
      <c r="A1114" s="157" t="str">
        <f>IF(B1114&gt;0,VLOOKUP(B1114,КВСР!A488:B1653,2),IF(C1114&gt;0,VLOOKUP(C1114,КФСР!A488:B2000,2),IF(D1114&gt;0,VLOOKUP(D1114,Программа!A$1:B$5100,2),IF(F1114&gt;0,VLOOKUP(F1114,КВР!A$1:B$5001,2),IF(E1114&gt;0,VLOOKUP(E1114,Направление!A$1:B$4830,2))))))</f>
        <v xml:space="preserve">Обеспечение мероприятий по строительству и реконструкции объектов теплоснабжения </v>
      </c>
      <c r="B1114" s="152"/>
      <c r="C1114" s="153"/>
      <c r="D1114" s="154"/>
      <c r="E1114" s="153">
        <v>29056</v>
      </c>
      <c r="F1114" s="155"/>
      <c r="G1114" s="502">
        <v>862394</v>
      </c>
      <c r="H1114" s="502">
        <f>H1115</f>
        <v>0</v>
      </c>
      <c r="I1114" s="161">
        <f>SUM(G1114:H1114)</f>
        <v>862394</v>
      </c>
    </row>
    <row r="1115" spans="1:9" x14ac:dyDescent="0.25">
      <c r="A1115" s="157" t="str">
        <f>IF(B1115&gt;0,VLOOKUP(B1115,КВСР!A489:B1654,2),IF(C1115&gt;0,VLOOKUP(C1115,КФСР!A489:B2001,2),IF(D1115&gt;0,VLOOKUP(D1115,Программа!A$1:B$5100,2),IF(F1115&gt;0,VLOOKUP(F1115,КВР!A$1:B$5001,2),IF(E1115&gt;0,VLOOKUP(E1115,Направление!A$1:B$4830,2))))))</f>
        <v>Иные бюджетные ассигнования</v>
      </c>
      <c r="B1115" s="152"/>
      <c r="C1115" s="153"/>
      <c r="D1115" s="154"/>
      <c r="E1115" s="153"/>
      <c r="F1115" s="155">
        <v>800</v>
      </c>
      <c r="G1115" s="502">
        <v>862394</v>
      </c>
      <c r="H1115" s="160"/>
      <c r="I1115" s="161">
        <f>SUM(G1115:H1115)</f>
        <v>862394</v>
      </c>
    </row>
    <row r="1116" spans="1:9" ht="63" hidden="1" x14ac:dyDescent="0.25">
      <c r="A1116" s="157" t="str">
        <f>IF(B1116&gt;0,VLOOKUP(B1116,КВСР!A477:B1642,2),IF(C1116&gt;0,VLOOKUP(C1116,КФСР!A477:B1989,2),IF(D1116&gt;0,VLOOKUP(D1116,Программа!A$1:B$5100,2),IF(F1116&gt;0,VLOOKUP(F1116,КВР!A$1:B$5001,2),IF(E1116&gt;0,VLOOKUP(E1116,Направление!A$1:B$4830,2))))))</f>
        <v>Проведение комплекса работ по ремонту, замене и реконструкции объектов водоснабжения, водоотведения и очистки сточных вод</v>
      </c>
      <c r="B1116" s="152"/>
      <c r="C1116" s="153"/>
      <c r="D1116" s="154" t="s">
        <v>895</v>
      </c>
      <c r="E1116" s="153"/>
      <c r="F1116" s="155"/>
      <c r="G1116" s="168">
        <v>16000</v>
      </c>
      <c r="H1116" s="168">
        <f>H1117+H1119+H1122</f>
        <v>-16000</v>
      </c>
      <c r="I1116" s="161">
        <f t="shared" si="23"/>
        <v>0</v>
      </c>
    </row>
    <row r="1117" spans="1:9" ht="63" hidden="1" x14ac:dyDescent="0.25">
      <c r="A1117" s="157" t="str">
        <f>IF(B1117&gt;0,VLOOKUP(B1117,КВСР!A478:B1643,2),IF(C1117&gt;0,VLOOKUP(C1117,КФСР!A478:B1990,2),IF(D1117&gt;0,VLOOKUP(D1117,Программа!A$1:B$5100,2),IF(F1117&gt;0,VLOOKUP(F1117,КВР!A$1:B$5001,2),IF(E1117&gt;0,VLOOKUP(E1117,Направление!A$1:B$4830,2))))))</f>
        <v>Субсидия на возмещение затрат по содержанию и ремонту  объектов находящихся в муниципальной собственности</v>
      </c>
      <c r="B1117" s="152"/>
      <c r="C1117" s="153"/>
      <c r="D1117" s="154"/>
      <c r="E1117" s="153">
        <v>10030</v>
      </c>
      <c r="F1117" s="155"/>
      <c r="G1117" s="168">
        <v>0</v>
      </c>
      <c r="H1117" s="168">
        <f>H1118</f>
        <v>0</v>
      </c>
      <c r="I1117" s="161">
        <f t="shared" si="23"/>
        <v>0</v>
      </c>
    </row>
    <row r="1118" spans="1:9" ht="63" hidden="1" x14ac:dyDescent="0.25">
      <c r="A1118" s="157" t="str">
        <f>IF(B1118&gt;0,VLOOKUP(B1118,КВСР!A479:B1644,2),IF(C1118&gt;0,VLOOKUP(C1118,КФСР!A479:B1991,2),IF(D1118&gt;0,VLOOKUP(D1118,Программа!A$1:B$5100,2),IF(F1118&gt;0,VLOOKUP(F1118,КВР!A$1:B$5001,2),IF(E1118&gt;0,VLOOKUP(E1118,Направление!A$1:B$4830,2))))))</f>
        <v xml:space="preserve">Закупка товаров, работ и услуг для обеспечения государственных (муниципальных) нужд
</v>
      </c>
      <c r="B1118" s="152"/>
      <c r="C1118" s="153"/>
      <c r="D1118" s="154"/>
      <c r="E1118" s="153"/>
      <c r="F1118" s="155">
        <v>200</v>
      </c>
      <c r="G1118" s="502">
        <v>0</v>
      </c>
      <c r="H1118" s="160"/>
      <c r="I1118" s="161">
        <f t="shared" si="23"/>
        <v>0</v>
      </c>
    </row>
    <row r="1119" spans="1:9" ht="47.25" hidden="1" x14ac:dyDescent="0.25">
      <c r="A1119" s="157" t="str">
        <f>IF(B1119&gt;0,VLOOKUP(B1119,КВСР!A480:B1645,2),IF(C1119&gt;0,VLOOKUP(C1119,КФСР!A480:B1992,2),IF(D1119&gt;0,VLOOKUP(D1119,Программа!A$1:B$5100,2),IF(F1119&gt;0,VLOOKUP(F1119,КВР!A$1:B$5001,2),IF(E1119&gt;0,VLOOKUP(E1119,Направление!A$1:B$4830,2))))))</f>
        <v>Субсидия на возмещение затрат по содержанию и  ремонту муниципальных коммунальных сетей</v>
      </c>
      <c r="B1119" s="152"/>
      <c r="C1119" s="153"/>
      <c r="D1119" s="154"/>
      <c r="E1119" s="153">
        <v>10040</v>
      </c>
      <c r="F1119" s="155"/>
      <c r="G1119" s="168">
        <v>0</v>
      </c>
      <c r="H1119" s="168">
        <f>SUM(H1120:H1121)</f>
        <v>0</v>
      </c>
      <c r="I1119" s="161">
        <f t="shared" si="23"/>
        <v>0</v>
      </c>
    </row>
    <row r="1120" spans="1:9" ht="63" hidden="1" x14ac:dyDescent="0.25">
      <c r="A1120" s="157" t="str">
        <f>IF(B1120&gt;0,VLOOKUP(B1120,КВСР!A481:B1646,2),IF(C1120&gt;0,VLOOKUP(C1120,КФСР!A481:B1993,2),IF(D1120&gt;0,VLOOKUP(D1120,Программа!A$1:B$5100,2),IF(F1120&gt;0,VLOOKUP(F1120,КВР!A$1:B$5001,2),IF(E1120&gt;0,VLOOKUP(E1120,Направление!A$1:B$4830,2))))))</f>
        <v xml:space="preserve">Закупка товаров, работ и услуг для обеспечения государственных (муниципальных) нужд
</v>
      </c>
      <c r="B1120" s="152"/>
      <c r="C1120" s="153"/>
      <c r="D1120" s="154"/>
      <c r="E1120" s="153"/>
      <c r="F1120" s="155">
        <v>200</v>
      </c>
      <c r="G1120" s="502">
        <v>0</v>
      </c>
      <c r="H1120" s="160"/>
      <c r="I1120" s="161">
        <f t="shared" si="23"/>
        <v>0</v>
      </c>
    </row>
    <row r="1121" spans="1:9" hidden="1" x14ac:dyDescent="0.25">
      <c r="A1121" s="157" t="str">
        <f>IF(B1121&gt;0,VLOOKUP(B1121,КВСР!A482:B1647,2),IF(C1121&gt;0,VLOOKUP(C1121,КФСР!A482:B1994,2),IF(D1121&gt;0,VLOOKUP(D1121,Программа!A$1:B$5100,2),IF(F1121&gt;0,VLOOKUP(F1121,КВР!A$1:B$5001,2),IF(E1121&gt;0,VLOOKUP(E1121,Направление!A$1:B$4830,2))))))</f>
        <v>Иные бюджетные ассигнования</v>
      </c>
      <c r="B1121" s="152"/>
      <c r="C1121" s="153"/>
      <c r="D1121" s="154"/>
      <c r="E1121" s="153"/>
      <c r="F1121" s="155">
        <v>800</v>
      </c>
      <c r="G1121" s="502">
        <v>0</v>
      </c>
      <c r="H1121" s="160"/>
      <c r="I1121" s="161">
        <f>SUM(G1121:H1121)</f>
        <v>0</v>
      </c>
    </row>
    <row r="1122" spans="1:9" ht="31.5" hidden="1" x14ac:dyDescent="0.25">
      <c r="A1122" s="157" t="str">
        <f>IF(B1122&gt;0,VLOOKUP(B1122,КВСР!A478:B1643,2),IF(C1122&gt;0,VLOOKUP(C1122,КФСР!A478:B1990,2),IF(D1122&gt;0,VLOOKUP(D1122,Программа!A$1:B$5100,2),IF(F1122&gt;0,VLOOKUP(F1122,КВР!A$1:B$5001,2),IF(E1122&gt;0,VLOOKUP(E1122,Направление!A$1:B$4830,2))))))</f>
        <v>Содержание и ремонт бесхозяйных стационарных объектов и сетей</v>
      </c>
      <c r="B1122" s="152"/>
      <c r="C1122" s="153"/>
      <c r="D1122" s="154"/>
      <c r="E1122" s="153">
        <v>10080</v>
      </c>
      <c r="F1122" s="155"/>
      <c r="G1122" s="168">
        <v>16000</v>
      </c>
      <c r="H1122" s="168">
        <f>SUM(H1123:H1124)</f>
        <v>-16000</v>
      </c>
      <c r="I1122" s="161">
        <f t="shared" si="23"/>
        <v>0</v>
      </c>
    </row>
    <row r="1123" spans="1:9" ht="63" hidden="1" x14ac:dyDescent="0.25">
      <c r="A1123" s="157" t="str">
        <f>IF(B1123&gt;0,VLOOKUP(B1123,КВСР!A479:B1644,2),IF(C1123&gt;0,VLOOKUP(C1123,КФСР!A479:B1991,2),IF(D1123&gt;0,VLOOKUP(D1123,Программа!A$1:B$5100,2),IF(F1123&gt;0,VLOOKUP(F1123,КВР!A$1:B$5001,2),IF(E1123&gt;0,VLOOKUP(E1123,Направление!A$1:B$4830,2))))))</f>
        <v xml:space="preserve">Закупка товаров, работ и услуг для обеспечения государственных (муниципальных) нужд
</v>
      </c>
      <c r="B1123" s="152"/>
      <c r="C1123" s="153"/>
      <c r="D1123" s="154"/>
      <c r="E1123" s="153"/>
      <c r="F1123" s="155">
        <v>200</v>
      </c>
      <c r="G1123" s="502">
        <v>0</v>
      </c>
      <c r="H1123" s="160"/>
      <c r="I1123" s="161">
        <f t="shared" si="23"/>
        <v>0</v>
      </c>
    </row>
    <row r="1124" spans="1:9" hidden="1" x14ac:dyDescent="0.25">
      <c r="A1124" s="157" t="str">
        <f>IF(B1124&gt;0,VLOOKUP(B1124,КВСР!A480:B1645,2),IF(C1124&gt;0,VLOOKUP(C1124,КФСР!A480:B1992,2),IF(D1124&gt;0,VLOOKUP(D1124,Программа!A$1:B$5100,2),IF(F1124&gt;0,VLOOKUP(F1124,КВР!A$1:B$5001,2),IF(E1124&gt;0,VLOOKUP(E1124,Направление!A$1:B$4830,2))))))</f>
        <v>Иные бюджетные ассигнования</v>
      </c>
      <c r="B1124" s="152"/>
      <c r="C1124" s="153"/>
      <c r="D1124" s="154"/>
      <c r="E1124" s="153"/>
      <c r="F1124" s="155">
        <v>800</v>
      </c>
      <c r="G1124" s="502">
        <v>16000</v>
      </c>
      <c r="H1124" s="160">
        <v>-16000</v>
      </c>
      <c r="I1124" s="161">
        <f>SUM(G1124:H1124)</f>
        <v>0</v>
      </c>
    </row>
    <row r="1125" spans="1:9" ht="47.25" x14ac:dyDescent="0.25">
      <c r="A1125" s="157" t="str">
        <f>IF(B1125&gt;0,VLOOKUP(B1125,КВСР!A477:B1642,2),IF(C1125&gt;0,VLOOKUP(C1125,КФСР!A477:B1989,2),IF(D1125&gt;0,VLOOKUP(D1125,Программа!A$1:B$5100,2),IF(F1125&gt;0,VLOOKUP(F1125,КВР!A$1:B$5001,2),IF(E1125&gt;0,VLOOKUP(E1125,Направление!A$1:B$4830,2))))))</f>
        <v>Проведение комплекса работ по ремонту, замене и реконструкции объектов газоснабжения</v>
      </c>
      <c r="B1125" s="152"/>
      <c r="C1125" s="153"/>
      <c r="D1125" s="154" t="s">
        <v>897</v>
      </c>
      <c r="E1125" s="153"/>
      <c r="F1125" s="155"/>
      <c r="G1125" s="168">
        <v>1888</v>
      </c>
      <c r="H1125" s="168">
        <f>H1126</f>
        <v>0</v>
      </c>
      <c r="I1125" s="161">
        <f t="shared" si="23"/>
        <v>1888</v>
      </c>
    </row>
    <row r="1126" spans="1:9" ht="63" x14ac:dyDescent="0.25">
      <c r="A1126" s="157" t="str">
        <f>IF(B1126&gt;0,VLOOKUP(B1126,КВСР!A478:B1643,2),IF(C1126&gt;0,VLOOKUP(C1126,КФСР!A478:B1990,2),IF(D1126&gt;0,VLOOKUP(D1126,Программа!A$1:B$5100,2),IF(F1126&gt;0,VLOOKUP(F1126,КВР!A$1:B$5001,2),IF(E1126&gt;0,VLOOKUP(E1126,Направление!A$1:B$4830,2))))))</f>
        <v>Субсидия на возмещение затрат по содержанию и ремонту  объектов находящихся в муниципальной собственности</v>
      </c>
      <c r="B1126" s="152"/>
      <c r="C1126" s="153"/>
      <c r="D1126" s="154"/>
      <c r="E1126" s="153">
        <v>10030</v>
      </c>
      <c r="F1126" s="155"/>
      <c r="G1126" s="168">
        <v>1888</v>
      </c>
      <c r="H1126" s="168">
        <f>H1127</f>
        <v>0</v>
      </c>
      <c r="I1126" s="161">
        <f t="shared" si="23"/>
        <v>1888</v>
      </c>
    </row>
    <row r="1127" spans="1:9" ht="63" x14ac:dyDescent="0.25">
      <c r="A1127" s="157" t="str">
        <f>IF(B1127&gt;0,VLOOKUP(B1127,КВСР!A479:B1644,2),IF(C1127&gt;0,VLOOKUP(C1127,КФСР!A479:B1991,2),IF(D1127&gt;0,VLOOKUP(D1127,Программа!A$1:B$5100,2),IF(F1127&gt;0,VLOOKUP(F1127,КВР!A$1:B$5001,2),IF(E1127&gt;0,VLOOKUP(E1127,Направление!A$1:B$4830,2))))))</f>
        <v xml:space="preserve">Закупка товаров, работ и услуг для обеспечения государственных (муниципальных) нужд
</v>
      </c>
      <c r="B1127" s="152"/>
      <c r="C1127" s="153"/>
      <c r="D1127" s="154"/>
      <c r="E1127" s="153"/>
      <c r="F1127" s="155">
        <v>200</v>
      </c>
      <c r="G1127" s="502">
        <v>1888</v>
      </c>
      <c r="H1127" s="160"/>
      <c r="I1127" s="161">
        <f t="shared" si="23"/>
        <v>1888</v>
      </c>
    </row>
    <row r="1128" spans="1:9" ht="63" x14ac:dyDescent="0.25">
      <c r="A1128" s="157" t="str">
        <f>IF(B1128&gt;0,VLOOKUP(B1128,КВСР!A480:B1645,2),IF(C1128&gt;0,VLOOKUP(C1128,КФСР!A480:B1992,2),IF(D1128&gt;0,VLOOKUP(D1128,Программа!A$1:B$5100,2),IF(F1128&gt;0,VLOOKUP(F1128,КВР!A$1:B$5001,2),IF(E1128&gt;0,VLOOKUP(E1128,Направление!A$1:B$4830,2))))))</f>
        <v>Муниципальная программа "Обеспечение населения Тутаевского муниципального района банными услугами"</v>
      </c>
      <c r="B1128" s="152"/>
      <c r="C1128" s="153"/>
      <c r="D1128" s="154" t="s">
        <v>988</v>
      </c>
      <c r="E1128" s="153"/>
      <c r="F1128" s="155"/>
      <c r="G1128" s="502">
        <v>5350000</v>
      </c>
      <c r="H1128" s="502">
        <f>H1129</f>
        <v>0</v>
      </c>
      <c r="I1128" s="161">
        <f t="shared" si="23"/>
        <v>5350000</v>
      </c>
    </row>
    <row r="1129" spans="1:9" ht="47.25" x14ac:dyDescent="0.25">
      <c r="A1129" s="157" t="str">
        <f>IF(B1129&gt;0,VLOOKUP(B1129,КВСР!A481:B1646,2),IF(C1129&gt;0,VLOOKUP(C1129,КФСР!A481:B1993,2),IF(D1129&gt;0,VLOOKUP(D1129,Программа!A$1:B$5100,2),IF(F1129&gt;0,VLOOKUP(F1129,КВР!A$1:B$5001,2),IF(E1129&gt;0,VLOOKUP(E1129,Направление!A$1:B$4830,2))))))</f>
        <v>Обеспечение населения Тутаевского муниципального района банными услугами</v>
      </c>
      <c r="B1129" s="152"/>
      <c r="C1129" s="153"/>
      <c r="D1129" s="154" t="s">
        <v>990</v>
      </c>
      <c r="E1129" s="153"/>
      <c r="F1129" s="155"/>
      <c r="G1129" s="502">
        <v>5350000</v>
      </c>
      <c r="H1129" s="502">
        <f>H1130</f>
        <v>0</v>
      </c>
      <c r="I1129" s="161">
        <f t="shared" si="23"/>
        <v>5350000</v>
      </c>
    </row>
    <row r="1130" spans="1:9" ht="63" x14ac:dyDescent="0.25">
      <c r="A1130" s="157" t="str">
        <f>IF(B1130&gt;0,VLOOKUP(B1130,КВСР!A482:B1647,2),IF(C1130&gt;0,VLOOKUP(C1130,КФСР!A482:B1994,2),IF(D1130&gt;0,VLOOKUP(D1130,Программа!A$1:B$5100,2),IF(F1130&gt;0,VLOOKUP(F1130,КВР!A$1:B$5001,2),IF(E1130&gt;0,VLOOKUP(E1130,Направление!A$1:B$4830,2))))))</f>
        <v>Субсидия на обеспечение мероприятий по организации населению услуг бань  в общих отделениях</v>
      </c>
      <c r="B1130" s="152"/>
      <c r="C1130" s="153"/>
      <c r="D1130" s="154"/>
      <c r="E1130" s="153">
        <v>29206</v>
      </c>
      <c r="F1130" s="155"/>
      <c r="G1130" s="502">
        <v>5350000</v>
      </c>
      <c r="H1130" s="502">
        <f>H1131</f>
        <v>0</v>
      </c>
      <c r="I1130" s="161">
        <f t="shared" si="23"/>
        <v>5350000</v>
      </c>
    </row>
    <row r="1131" spans="1:9" x14ac:dyDescent="0.25">
      <c r="A1131" s="157" t="str">
        <f>IF(B1131&gt;0,VLOOKUP(B1131,КВСР!A483:B1648,2),IF(C1131&gt;0,VLOOKUP(C1131,КФСР!A483:B1995,2),IF(D1131&gt;0,VLOOKUP(D1131,Программа!A$1:B$5100,2),IF(F1131&gt;0,VLOOKUP(F1131,КВР!A$1:B$5001,2),IF(E1131&gt;0,VLOOKUP(E1131,Направление!A$1:B$4830,2))))))</f>
        <v>Иные бюджетные ассигнования</v>
      </c>
      <c r="B1131" s="152"/>
      <c r="C1131" s="153"/>
      <c r="D1131" s="154"/>
      <c r="E1131" s="153"/>
      <c r="F1131" s="155">
        <v>800</v>
      </c>
      <c r="G1131" s="502">
        <v>5350000</v>
      </c>
      <c r="H1131" s="160"/>
      <c r="I1131" s="161">
        <f t="shared" si="23"/>
        <v>5350000</v>
      </c>
    </row>
    <row r="1132" spans="1:9" x14ac:dyDescent="0.25">
      <c r="A1132" s="157" t="str">
        <f>IF(B1132&gt;0,VLOOKUP(B1132,КВСР!A484:B1649,2),IF(C1132&gt;0,VLOOKUP(C1132,КФСР!A484:B1996,2),IF(D1132&gt;0,VLOOKUP(D1132,Программа!A$1:B$5100,2),IF(F1132&gt;0,VLOOKUP(F1132,КВР!A$1:B$5001,2),IF(E1132&gt;0,VLOOKUP(E1132,Направление!A$1:B$4830,2))))))</f>
        <v>Непрограммные расходы бюджета</v>
      </c>
      <c r="B1132" s="152"/>
      <c r="C1132" s="153"/>
      <c r="D1132" s="154" t="s">
        <v>626</v>
      </c>
      <c r="E1132" s="153"/>
      <c r="F1132" s="155"/>
      <c r="G1132" s="502">
        <v>3207854</v>
      </c>
      <c r="H1132" s="502">
        <f>H1135+H1133</f>
        <v>245444</v>
      </c>
      <c r="I1132" s="161">
        <f t="shared" si="23"/>
        <v>3453298</v>
      </c>
    </row>
    <row r="1133" spans="1:9" ht="31.5" x14ac:dyDescent="0.25">
      <c r="A1133" s="157" t="str">
        <f>IF(B1133&gt;0,VLOOKUP(B1133,КВСР!A485:B1650,2),IF(C1133&gt;0,VLOOKUP(C1133,КФСР!A485:B1997,2),IF(D1133&gt;0,VLOOKUP(D1133,Программа!A$1:B$5100,2),IF(F1133&gt;0,VLOOKUP(F1133,КВР!A$1:B$5001,2),IF(E1133&gt;0,VLOOKUP(E1133,Направление!A$1:B$4830,2))))))</f>
        <v>Резервные фонды местных администраций</v>
      </c>
      <c r="B1133" s="152"/>
      <c r="C1133" s="153"/>
      <c r="D1133" s="154"/>
      <c r="E1133" s="153">
        <v>12900</v>
      </c>
      <c r="F1133" s="155"/>
      <c r="G1133" s="502">
        <v>153531</v>
      </c>
      <c r="H1133" s="502">
        <f>H1134</f>
        <v>105444</v>
      </c>
      <c r="I1133" s="502">
        <f>I1134</f>
        <v>258975</v>
      </c>
    </row>
    <row r="1134" spans="1:9" ht="63" x14ac:dyDescent="0.25">
      <c r="A1134" s="157" t="str">
        <f>IF(B1134&gt;0,VLOOKUP(B1134,КВСР!A486:B1651,2),IF(C1134&gt;0,VLOOKUP(C1134,КФСР!A486:B1998,2),IF(D1134&gt;0,VLOOKUP(D1134,Программа!A$1:B$5100,2),IF(F1134&gt;0,VLOOKUP(F1134,КВР!A$1:B$5001,2),IF(E1134&gt;0,VLOOKUP(E1134,Направление!A$1:B$4830,2))))))</f>
        <v xml:space="preserve">Закупка товаров, работ и услуг для обеспечения государственных (муниципальных) нужд
</v>
      </c>
      <c r="B1134" s="152"/>
      <c r="C1134" s="153"/>
      <c r="D1134" s="154"/>
      <c r="E1134" s="153"/>
      <c r="F1134" s="155">
        <v>200</v>
      </c>
      <c r="G1134" s="502">
        <v>153531</v>
      </c>
      <c r="H1134" s="160">
        <f>106547-1103</f>
        <v>105444</v>
      </c>
      <c r="I1134" s="161">
        <f>SUM(G1134:H1134)</f>
        <v>258975</v>
      </c>
    </row>
    <row r="1135" spans="1:9" ht="47.25" x14ac:dyDescent="0.25">
      <c r="A1135" s="157" t="str">
        <f>IF(B1135&gt;0,VLOOKUP(B1135,КВСР!A485:B1650,2),IF(C1135&gt;0,VLOOKUP(C1135,КФСР!A485:B1997,2),IF(D1135&gt;0,VLOOKUP(D1135,Программа!A$1:B$5100,2),IF(F1135&gt;0,VLOOKUP(F1135,КВР!A$1:B$5001,2),IF(E1135&gt;0,VLOOKUP(E1135,Направление!A$1:B$4830,2))))))</f>
        <v>Обеспечение мероприятий  по переработке и утилизации ливневых стоков</v>
      </c>
      <c r="B1135" s="152"/>
      <c r="C1135" s="153"/>
      <c r="D1135" s="154"/>
      <c r="E1135" s="153">
        <v>29616</v>
      </c>
      <c r="F1135" s="155"/>
      <c r="G1135" s="502">
        <v>3054323</v>
      </c>
      <c r="H1135" s="502">
        <f>H1136</f>
        <v>140000</v>
      </c>
      <c r="I1135" s="161">
        <f t="shared" si="23"/>
        <v>3194323</v>
      </c>
    </row>
    <row r="1136" spans="1:9" ht="63" x14ac:dyDescent="0.25">
      <c r="A1136" s="157" t="str">
        <f>IF(B1136&gt;0,VLOOKUP(B1136,КВСР!A486:B1651,2),IF(C1136&gt;0,VLOOKUP(C1136,КФСР!A486:B1998,2),IF(D1136&gt;0,VLOOKUP(D1136,Программа!A$1:B$5100,2),IF(F1136&gt;0,VLOOKUP(F1136,КВР!A$1:B$5001,2),IF(E1136&gt;0,VLOOKUP(E1136,Направление!A$1:B$4830,2))))))</f>
        <v xml:space="preserve">Закупка товаров, работ и услуг для обеспечения государственных (муниципальных) нужд
</v>
      </c>
      <c r="B1136" s="152"/>
      <c r="C1136" s="153"/>
      <c r="D1136" s="154"/>
      <c r="E1136" s="153"/>
      <c r="F1136" s="155">
        <v>200</v>
      </c>
      <c r="G1136" s="502">
        <v>3054323</v>
      </c>
      <c r="H1136" s="160">
        <v>140000</v>
      </c>
      <c r="I1136" s="161">
        <f t="shared" si="23"/>
        <v>3194323</v>
      </c>
    </row>
    <row r="1137" spans="1:9" ht="31.5" x14ac:dyDescent="0.25">
      <c r="A1137" s="157" t="str">
        <f>IF(B1137&gt;0,VLOOKUP(B1137,КВСР!A481:B1646,2),IF(C1137&gt;0,VLOOKUP(C1137,КФСР!A481:B1993,2),IF(D1137&gt;0,VLOOKUP(D1137,Программа!A$1:B$5100,2),IF(F1137&gt;0,VLOOKUP(F1137,КВР!A$1:B$5001,2),IF(E1137&gt;0,VLOOKUP(E1137,Направление!A$1:B$4830,2))))))</f>
        <v>Другие вопросы в области жилищно-коммунального хозяйства</v>
      </c>
      <c r="B1137" s="154"/>
      <c r="C1137" s="153">
        <v>505</v>
      </c>
      <c r="D1137" s="154"/>
      <c r="E1137" s="153"/>
      <c r="F1137" s="155"/>
      <c r="G1137" s="504">
        <v>10501834</v>
      </c>
      <c r="H1137" s="159">
        <f>H1146+H1142+H1138</f>
        <v>974495</v>
      </c>
      <c r="I1137" s="161">
        <f t="shared" si="23"/>
        <v>11476329</v>
      </c>
    </row>
    <row r="1138" spans="1:9" ht="78.75" hidden="1" x14ac:dyDescent="0.25">
      <c r="A1138" s="157" t="str">
        <f>IF(B1138&gt;0,VLOOKUP(B1138,КВСР!A482:B1647,2),IF(C1138&gt;0,VLOOKUP(C1138,КФСР!A482:B1994,2),IF(D1138&gt;0,VLOOKUP(D1138,Программа!A$1:B$5100,2),IF(F1138&gt;0,VLOOKUP(F1138,КВР!A$1:B$5001,2),IF(E1138&gt;0,VLOOKUP(E1138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1138" s="154"/>
      <c r="C1138" s="153"/>
      <c r="D1138" s="154" t="s">
        <v>638</v>
      </c>
      <c r="E1138" s="153"/>
      <c r="F1138" s="155"/>
      <c r="G1138" s="504">
        <v>0</v>
      </c>
      <c r="H1138" s="159">
        <f>H1139</f>
        <v>0</v>
      </c>
      <c r="I1138" s="161">
        <f t="shared" si="23"/>
        <v>0</v>
      </c>
    </row>
    <row r="1139" spans="1:9" ht="78.75" hidden="1" x14ac:dyDescent="0.25">
      <c r="A1139" s="157" t="str">
        <f>IF(B1139&gt;0,VLOOKUP(B1139,КВСР!A483:B1648,2),IF(C1139&gt;0,VLOOKUP(C1139,КФСР!A483:B1995,2),IF(D1139&gt;0,VLOOKUP(D1139,Программа!A$1:B$5100,2),IF(F1139&gt;0,VLOOKUP(F1139,КВР!A$1:B$5001,2),IF(E1139&gt;0,VLOOKUP(E1139,Направление!A$1:B$4830,2))))))</f>
        <v xml:space="preserve">Профессиональное развитие  муниципальных служащих и повышение квалификации руководителей муниципальных учреждений </v>
      </c>
      <c r="B1139" s="154"/>
      <c r="C1139" s="153"/>
      <c r="D1139" s="154" t="s">
        <v>639</v>
      </c>
      <c r="E1139" s="153"/>
      <c r="F1139" s="155"/>
      <c r="G1139" s="504">
        <v>0</v>
      </c>
      <c r="H1139" s="159">
        <f>H1140</f>
        <v>0</v>
      </c>
      <c r="I1139" s="161">
        <f t="shared" si="23"/>
        <v>0</v>
      </c>
    </row>
    <row r="1140" spans="1:9" ht="31.5" hidden="1" x14ac:dyDescent="0.25">
      <c r="A1140" s="157" t="str">
        <f>IF(B1140&gt;0,VLOOKUP(B1140,КВСР!A484:B1649,2),IF(C1140&gt;0,VLOOKUP(C1140,КФСР!A484:B1996,2),IF(D1140&gt;0,VLOOKUP(D1140,Программа!A$1:B$5100,2),IF(F1140&gt;0,VLOOKUP(F1140,КВР!A$1:B$5001,2),IF(E1140&gt;0,VLOOKUP(E1140,Направление!A$1:B$4830,2))))))</f>
        <v>Расходы на развитие муниципальной службы</v>
      </c>
      <c r="B1140" s="154"/>
      <c r="C1140" s="153"/>
      <c r="D1140" s="154"/>
      <c r="E1140" s="153">
        <v>12200</v>
      </c>
      <c r="F1140" s="155"/>
      <c r="G1140" s="504">
        <v>0</v>
      </c>
      <c r="H1140" s="159">
        <f>H1141</f>
        <v>0</v>
      </c>
      <c r="I1140" s="161">
        <f t="shared" si="23"/>
        <v>0</v>
      </c>
    </row>
    <row r="1141" spans="1:9" ht="63" hidden="1" x14ac:dyDescent="0.25">
      <c r="A1141" s="157" t="str">
        <f>IF(B1141&gt;0,VLOOKUP(B1141,КВСР!A485:B1650,2),IF(C1141&gt;0,VLOOKUP(C1141,КФСР!A485:B1997,2),IF(D1141&gt;0,VLOOKUP(D1141,Программа!A$1:B$5100,2),IF(F1141&gt;0,VLOOKUP(F1141,КВР!A$1:B$5001,2),IF(E1141&gt;0,VLOOKUP(E1141,Направление!A$1:B$4830,2))))))</f>
        <v xml:space="preserve">Закупка товаров, работ и услуг для обеспечения государственных (муниципальных) нужд
</v>
      </c>
      <c r="B1141" s="154"/>
      <c r="C1141" s="153"/>
      <c r="D1141" s="154"/>
      <c r="E1141" s="153"/>
      <c r="F1141" s="155">
        <v>200</v>
      </c>
      <c r="G1141" s="504">
        <v>0</v>
      </c>
      <c r="H1141" s="490"/>
      <c r="I1141" s="161">
        <f t="shared" si="23"/>
        <v>0</v>
      </c>
    </row>
    <row r="1142" spans="1:9" ht="63" x14ac:dyDescent="0.25">
      <c r="A1142" s="157" t="str">
        <f>IF(B1142&gt;0,VLOOKUP(B1142,КВСР!A482:B1647,2),IF(C1142&gt;0,VLOOKUP(C1142,КФСР!A482:B1994,2),IF(D1142&gt;0,VLOOKUP(D1142,Программа!A$1:B$5100,2),IF(F1142&gt;0,VLOOKUP(F1142,КВР!A$1:B$5001,2),IF(E1142&gt;0,VLOOKUP(E1142,Направление!A$1:B$4830,2))))))</f>
        <v>Муниципальная программа "Информатизация управленческой деятельности Администрации Тутаевского муниципального района"</v>
      </c>
      <c r="B1142" s="154"/>
      <c r="C1142" s="153"/>
      <c r="D1142" s="154" t="s">
        <v>642</v>
      </c>
      <c r="E1142" s="153"/>
      <c r="F1142" s="155"/>
      <c r="G1142" s="504">
        <v>50000</v>
      </c>
      <c r="H1142" s="159">
        <f>H1143</f>
        <v>0</v>
      </c>
      <c r="I1142" s="161">
        <f t="shared" si="23"/>
        <v>50000</v>
      </c>
    </row>
    <row r="1143" spans="1:9" ht="63" x14ac:dyDescent="0.25">
      <c r="A1143" s="157" t="str">
        <f>IF(B1143&gt;0,VLOOKUP(B1143,КВСР!A483:B1648,2),IF(C1143&gt;0,VLOOKUP(C1143,КФСР!A483:B1995,2),IF(D1143&gt;0,VLOOKUP(D1143,Программа!A$1:B$5100,2),IF(F1143&gt;0,VLOOKUP(F1143,КВР!A$1:B$5001,2),IF(E1143&gt;0,VLOOKUP(E1143,Направление!A$1:B$4830,2))))))</f>
        <v>Закупка компьютерного оборудования  и оргтехники для бесперебойного обеспечения деятельности органов местного самоуправления</v>
      </c>
      <c r="B1143" s="154"/>
      <c r="C1143" s="153"/>
      <c r="D1143" s="154" t="s">
        <v>644</v>
      </c>
      <c r="E1143" s="153"/>
      <c r="F1143" s="155"/>
      <c r="G1143" s="504">
        <v>50000</v>
      </c>
      <c r="H1143" s="159">
        <f>H1144</f>
        <v>0</v>
      </c>
      <c r="I1143" s="161">
        <f t="shared" si="23"/>
        <v>50000</v>
      </c>
    </row>
    <row r="1144" spans="1:9" ht="31.5" x14ac:dyDescent="0.25">
      <c r="A1144" s="157" t="str">
        <f>IF(B1144&gt;0,VLOOKUP(B1144,КВСР!A484:B1649,2),IF(C1144&gt;0,VLOOKUP(C1144,КФСР!A484:B1996,2),IF(D1144&gt;0,VLOOKUP(D1144,Программа!A$1:B$5100,2),IF(F1144&gt;0,VLOOKUP(F1144,КВР!A$1:B$5001,2),IF(E1144&gt;0,VLOOKUP(E1144,Направление!A$1:B$4830,2))))))</f>
        <v>Расходы на проведение мероприятий по информатизации</v>
      </c>
      <c r="B1144" s="154"/>
      <c r="C1144" s="153"/>
      <c r="D1144" s="154"/>
      <c r="E1144" s="153">
        <v>12210</v>
      </c>
      <c r="F1144" s="155"/>
      <c r="G1144" s="504">
        <v>50000</v>
      </c>
      <c r="H1144" s="159">
        <f>H1145</f>
        <v>0</v>
      </c>
      <c r="I1144" s="161">
        <f t="shared" si="23"/>
        <v>50000</v>
      </c>
    </row>
    <row r="1145" spans="1:9" ht="63" x14ac:dyDescent="0.25">
      <c r="A1145" s="157" t="str">
        <f>IF(B1145&gt;0,VLOOKUP(B1145,КВСР!A485:B1650,2),IF(C1145&gt;0,VLOOKUP(C1145,КФСР!A485:B1997,2),IF(D1145&gt;0,VLOOKUP(D1145,Программа!A$1:B$5100,2),IF(F1145&gt;0,VLOOKUP(F1145,КВР!A$1:B$5001,2),IF(E1145&gt;0,VLOOKUP(E1145,Направление!A$1:B$4830,2))))))</f>
        <v xml:space="preserve">Закупка товаров, работ и услуг для обеспечения государственных (муниципальных) нужд
</v>
      </c>
      <c r="B1145" s="154"/>
      <c r="C1145" s="153"/>
      <c r="D1145" s="154"/>
      <c r="E1145" s="153"/>
      <c r="F1145" s="155">
        <v>200</v>
      </c>
      <c r="G1145" s="502">
        <v>50000</v>
      </c>
      <c r="H1145" s="160"/>
      <c r="I1145" s="161">
        <f t="shared" si="23"/>
        <v>50000</v>
      </c>
    </row>
    <row r="1146" spans="1:9" x14ac:dyDescent="0.25">
      <c r="A1146" s="157" t="str">
        <f>IF(B1146&gt;0,VLOOKUP(B1146,КВСР!A482:B1647,2),IF(C1146&gt;0,VLOOKUP(C1146,КФСР!A482:B1994,2),IF(D1146&gt;0,VLOOKUP(D1146,Программа!A$1:B$5100,2),IF(F1146&gt;0,VLOOKUP(F1146,КВР!A$1:B$5001,2),IF(E1146&gt;0,VLOOKUP(E1146,Направление!A$1:B$4830,2))))))</f>
        <v>Непрограммные расходы бюджета</v>
      </c>
      <c r="B1146" s="158"/>
      <c r="C1146" s="153"/>
      <c r="D1146" s="154" t="s">
        <v>626</v>
      </c>
      <c r="E1146" s="153"/>
      <c r="F1146" s="155"/>
      <c r="G1146" s="504">
        <v>10451834</v>
      </c>
      <c r="H1146" s="159">
        <f>H1147+H1154+H1158+H1151</f>
        <v>974495</v>
      </c>
      <c r="I1146" s="161">
        <f t="shared" si="23"/>
        <v>11426329</v>
      </c>
    </row>
    <row r="1147" spans="1:9" x14ac:dyDescent="0.25">
      <c r="A1147" s="157" t="str">
        <f>IF(B1147&gt;0,VLOOKUP(B1147,КВСР!A483:B1648,2),IF(C1147&gt;0,VLOOKUP(C1147,КФСР!A483:B1995,2),IF(D1147&gt;0,VLOOKUP(D1147,Программа!A$1:B$5100,2),IF(F1147&gt;0,VLOOKUP(F1147,КВР!A$1:B$5001,2),IF(E1147&gt;0,VLOOKUP(E1147,Направление!A$1:B$4830,2))))))</f>
        <v>Содержание центрального аппарата</v>
      </c>
      <c r="B1147" s="158"/>
      <c r="C1147" s="153"/>
      <c r="D1147" s="154"/>
      <c r="E1147" s="153">
        <v>12010</v>
      </c>
      <c r="F1147" s="155"/>
      <c r="G1147" s="504">
        <v>5845337</v>
      </c>
      <c r="H1147" s="504">
        <f>H1148+H1149+H1150</f>
        <v>921381</v>
      </c>
      <c r="I1147" s="161">
        <f t="shared" si="23"/>
        <v>6766718</v>
      </c>
    </row>
    <row r="1148" spans="1:9" ht="126" x14ac:dyDescent="0.25">
      <c r="A1148" s="157" t="str">
        <f>IF(B1148&gt;0,VLOOKUP(B1148,КВСР!A484:B1649,2),IF(C1148&gt;0,VLOOKUP(C1148,КФСР!A484:B1996,2),IF(D1148&gt;0,VLOOKUP(D1148,Программа!A$1:B$5100,2),IF(F1148&gt;0,VLOOKUP(F1148,КВР!A$1:B$5001,2),IF(E1148&gt;0,VLOOKUP(E1148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8" s="158"/>
      <c r="C1148" s="153"/>
      <c r="D1148" s="155"/>
      <c r="E1148" s="153"/>
      <c r="F1148" s="155">
        <v>100</v>
      </c>
      <c r="G1148" s="502">
        <v>5248640</v>
      </c>
      <c r="H1148" s="160">
        <f>642216+279165</f>
        <v>921381</v>
      </c>
      <c r="I1148" s="161">
        <f t="shared" si="23"/>
        <v>6170021</v>
      </c>
    </row>
    <row r="1149" spans="1:9" ht="63" x14ac:dyDescent="0.25">
      <c r="A1149" s="157" t="str">
        <f>IF(B1149&gt;0,VLOOKUP(B1149,КВСР!A485:B1650,2),IF(C1149&gt;0,VLOOKUP(C1149,КФСР!A485:B1997,2),IF(D1149&gt;0,VLOOKUP(D1149,Программа!A$1:B$5100,2),IF(F1149&gt;0,VLOOKUP(F1149,КВР!A$1:B$5001,2),IF(E1149&gt;0,VLOOKUP(E1149,Направление!A$1:B$4830,2))))))</f>
        <v xml:space="preserve">Закупка товаров, работ и услуг для обеспечения государственных (муниципальных) нужд
</v>
      </c>
      <c r="B1149" s="158"/>
      <c r="C1149" s="153"/>
      <c r="D1149" s="155"/>
      <c r="E1149" s="153"/>
      <c r="F1149" s="155">
        <v>200</v>
      </c>
      <c r="G1149" s="502">
        <v>546697</v>
      </c>
      <c r="H1149" s="160"/>
      <c r="I1149" s="161">
        <f t="shared" si="23"/>
        <v>546697</v>
      </c>
    </row>
    <row r="1150" spans="1:9" x14ac:dyDescent="0.25">
      <c r="A1150" s="157" t="str">
        <f>IF(B1150&gt;0,VLOOKUP(B1150,КВСР!A486:B1651,2),IF(C1150&gt;0,VLOOKUP(C1150,КФСР!A486:B1998,2),IF(D1150&gt;0,VLOOKUP(D1150,Программа!A$1:B$5100,2),IF(F1150&gt;0,VLOOKUP(F1150,КВР!A$1:B$5001,2),IF(E1150&gt;0,VLOOKUP(E1150,Направление!A$1:B$4830,2))))))</f>
        <v>Иные бюджетные ассигнования</v>
      </c>
      <c r="B1150" s="158"/>
      <c r="C1150" s="153"/>
      <c r="D1150" s="155"/>
      <c r="E1150" s="153"/>
      <c r="F1150" s="155">
        <v>800</v>
      </c>
      <c r="G1150" s="502">
        <v>50000</v>
      </c>
      <c r="H1150" s="160"/>
      <c r="I1150" s="161">
        <f t="shared" si="23"/>
        <v>50000</v>
      </c>
    </row>
    <row r="1151" spans="1:9" ht="47.25" x14ac:dyDescent="0.25">
      <c r="A1151" s="157" t="str">
        <f>IF(B1151&gt;0,VLOOKUP(B1151,КВСР!A487:B1652,2),IF(C1151&gt;0,VLOOKUP(C1151,КФСР!A487:B1999,2),IF(D1151&gt;0,VLOOKUP(D1151,Программа!A$1:B$5100,2),IF(F1151&gt;0,VLOOKUP(F1151,КВР!A$1:B$5001,2),IF(E1151&gt;0,VLOOKUP(E1151,Направление!A$1:B$4830,2))))))</f>
        <v>Исполнение судебных актов, актов других органов и должностных лиц, иных документов</v>
      </c>
      <c r="B1151" s="158"/>
      <c r="C1151" s="153"/>
      <c r="D1151" s="155"/>
      <c r="E1151" s="153">
        <v>12130</v>
      </c>
      <c r="F1151" s="155"/>
      <c r="G1151" s="502">
        <v>16181</v>
      </c>
      <c r="H1151" s="502">
        <f>H1153+H1152</f>
        <v>53114</v>
      </c>
      <c r="I1151" s="502">
        <f>I1153+I1152</f>
        <v>69295</v>
      </c>
    </row>
    <row r="1152" spans="1:9" ht="63" x14ac:dyDescent="0.25">
      <c r="A1152" s="157" t="str">
        <f>IF(B1152&gt;0,VLOOKUP(B1152,КВСР!A488:B1653,2),IF(C1152&gt;0,VLOOKUP(C1152,КФСР!A488:B2000,2),IF(D1152&gt;0,VLOOKUP(D1152,Программа!A$1:B$5100,2),IF(F1152&gt;0,VLOOKUP(F1152,КВР!A$1:B$5001,2),IF(E1152&gt;0,VLOOKUP(E1152,Направление!A$1:B$4830,2))))))</f>
        <v xml:space="preserve">Закупка товаров, работ и услуг для обеспечения государственных (муниципальных) нужд
</v>
      </c>
      <c r="B1152" s="158"/>
      <c r="C1152" s="153"/>
      <c r="D1152" s="155"/>
      <c r="E1152" s="153"/>
      <c r="F1152" s="155">
        <v>200</v>
      </c>
      <c r="G1152" s="502"/>
      <c r="H1152" s="502">
        <v>2910</v>
      </c>
      <c r="I1152" s="161">
        <f t="shared" si="23"/>
        <v>2910</v>
      </c>
    </row>
    <row r="1153" spans="1:9" x14ac:dyDescent="0.25">
      <c r="A1153" s="157" t="str">
        <f>IF(B1153&gt;0,VLOOKUP(B1153,КВСР!A488:B1653,2),IF(C1153&gt;0,VLOOKUP(C1153,КФСР!A488:B2000,2),IF(D1153&gt;0,VLOOKUP(D1153,Программа!A$1:B$5100,2),IF(F1153&gt;0,VLOOKUP(F1153,КВР!A$1:B$5001,2),IF(E1153&gt;0,VLOOKUP(E1153,Направление!A$1:B$4830,2))))))</f>
        <v>Иные бюджетные ассигнования</v>
      </c>
      <c r="B1153" s="158"/>
      <c r="C1153" s="153"/>
      <c r="D1153" s="155"/>
      <c r="E1153" s="153"/>
      <c r="F1153" s="155">
        <v>800</v>
      </c>
      <c r="G1153" s="502">
        <v>16181</v>
      </c>
      <c r="H1153" s="160">
        <f>2910+45939+4265-2910</f>
        <v>50204</v>
      </c>
      <c r="I1153" s="161">
        <f t="shared" si="23"/>
        <v>66385</v>
      </c>
    </row>
    <row r="1154" spans="1:9" ht="47.25" x14ac:dyDescent="0.25">
      <c r="A1154" s="157" t="str">
        <f>IF(B1154&gt;0,VLOOKUP(B1154,КВСР!A486:B1651,2),IF(C1154&gt;0,VLOOKUP(C1154,КФСР!A486:B1998,2),IF(D1154&gt;0,VLOOKUP(D1154,Программа!A$1:B$5100,2),IF(F1154&gt;0,VLOOKUP(F1154,КВР!A$1:B$5001,2),IF(E1154&gt;0,VLOOKUP(E1154,Направление!A$1:B$4830,2))))))</f>
        <v>Содержание органов местного самоуправления за счет средств поселений</v>
      </c>
      <c r="B1154" s="158"/>
      <c r="C1154" s="153"/>
      <c r="D1154" s="155"/>
      <c r="E1154" s="153">
        <v>29016</v>
      </c>
      <c r="F1154" s="155"/>
      <c r="G1154" s="168">
        <v>4590316</v>
      </c>
      <c r="H1154" s="168">
        <f>SUM(H1155:H1157)</f>
        <v>0</v>
      </c>
      <c r="I1154" s="161">
        <f t="shared" si="23"/>
        <v>4590316</v>
      </c>
    </row>
    <row r="1155" spans="1:9" ht="126" x14ac:dyDescent="0.25">
      <c r="A1155" s="157" t="str">
        <f>IF(B1155&gt;0,VLOOKUP(B1155,КВСР!A487:B1652,2),IF(C1155&gt;0,VLOOKUP(C1155,КФСР!A487:B1999,2),IF(D1155&gt;0,VLOOKUP(D1155,Программа!A$1:B$5100,2),IF(F1155&gt;0,VLOOKUP(F1155,КВР!A$1:B$5001,2),IF(E1155&gt;0,VLOOKUP(E1155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55" s="158"/>
      <c r="C1155" s="153"/>
      <c r="D1155" s="155"/>
      <c r="E1155" s="153"/>
      <c r="F1155" s="155">
        <v>100</v>
      </c>
      <c r="G1155" s="502">
        <v>4173015</v>
      </c>
      <c r="H1155" s="160"/>
      <c r="I1155" s="161">
        <f t="shared" si="23"/>
        <v>4173015</v>
      </c>
    </row>
    <row r="1156" spans="1:9" ht="63" x14ac:dyDescent="0.25">
      <c r="A1156" s="157" t="str">
        <f>IF(B1156&gt;0,VLOOKUP(B1156,КВСР!A488:B1653,2),IF(C1156&gt;0,VLOOKUP(C1156,КФСР!A488:B2000,2),IF(D1156&gt;0,VLOOKUP(D1156,Программа!A$1:B$5100,2),IF(F1156&gt;0,VLOOKUP(F1156,КВР!A$1:B$5001,2),IF(E1156&gt;0,VLOOKUP(E1156,Направление!A$1:B$4830,2))))))</f>
        <v xml:space="preserve">Закупка товаров, работ и услуг для обеспечения государственных (муниципальных) нужд
</v>
      </c>
      <c r="B1156" s="158"/>
      <c r="C1156" s="153"/>
      <c r="D1156" s="155"/>
      <c r="E1156" s="153"/>
      <c r="F1156" s="155">
        <v>200</v>
      </c>
      <c r="G1156" s="502">
        <v>417301</v>
      </c>
      <c r="H1156" s="160"/>
      <c r="I1156" s="161">
        <f t="shared" si="23"/>
        <v>417301</v>
      </c>
    </row>
    <row r="1157" spans="1:9" hidden="1" x14ac:dyDescent="0.25">
      <c r="A1157" s="157" t="str">
        <f>IF(B1157&gt;0,VLOOKUP(B1157,КВСР!A489:B1654,2),IF(C1157&gt;0,VLOOKUP(C1157,КФСР!A489:B2001,2),IF(D1157&gt;0,VLOOKUP(D1157,Программа!A$1:B$5100,2),IF(F1157&gt;0,VLOOKUP(F1157,КВР!A$1:B$5001,2),IF(E1157&gt;0,VLOOKUP(E1157,Направление!A$1:B$4830,2))))))</f>
        <v>Иные бюджетные ассигнования</v>
      </c>
      <c r="B1157" s="158"/>
      <c r="C1157" s="153"/>
      <c r="D1157" s="155"/>
      <c r="E1157" s="153"/>
      <c r="F1157" s="155">
        <v>800</v>
      </c>
      <c r="G1157" s="502">
        <v>0</v>
      </c>
      <c r="H1157" s="160"/>
      <c r="I1157" s="161">
        <f t="shared" si="23"/>
        <v>0</v>
      </c>
    </row>
    <row r="1158" spans="1:9" ht="31.5" hidden="1" x14ac:dyDescent="0.25">
      <c r="A1158" s="157" t="str">
        <f>IF(B1158&gt;0,VLOOKUP(B1158,КВСР!A490:B1655,2),IF(C1158&gt;0,VLOOKUP(C1158,КФСР!A490:B2002,2),IF(D1158&gt;0,VLOOKUP(D1158,Программа!A$1:B$5100,2),IF(F1158&gt;0,VLOOKUP(F1158,КВР!A$1:B$5001,2),IF(E1158&gt;0,VLOOKUP(E1158,Направление!A$1:B$4830,2))))))</f>
        <v>Выполнение других обязательств органов местного самоуправления</v>
      </c>
      <c r="B1158" s="158"/>
      <c r="C1158" s="153"/>
      <c r="D1158" s="155"/>
      <c r="E1158" s="153">
        <v>12080</v>
      </c>
      <c r="F1158" s="155"/>
      <c r="G1158" s="168">
        <v>0</v>
      </c>
      <c r="H1158" s="168">
        <f>H1159</f>
        <v>0</v>
      </c>
      <c r="I1158" s="161">
        <f t="shared" si="23"/>
        <v>0</v>
      </c>
    </row>
    <row r="1159" spans="1:9" ht="63" hidden="1" x14ac:dyDescent="0.25">
      <c r="A1159" s="157" t="str">
        <f>IF(B1159&gt;0,VLOOKUP(B1159,КВСР!A491:B1656,2),IF(C1159&gt;0,VLOOKUP(C1159,КФСР!A491:B2003,2),IF(D1159&gt;0,VLOOKUP(D1159,Программа!A$1:B$5100,2),IF(F1159&gt;0,VLOOKUP(F1159,КВР!A$1:B$5001,2),IF(E1159&gt;0,VLOOKUP(E1159,Направление!A$1:B$4830,2))))))</f>
        <v xml:space="preserve">Закупка товаров, работ и услуг для обеспечения государственных (муниципальных) нужд
</v>
      </c>
      <c r="B1159" s="158"/>
      <c r="C1159" s="153"/>
      <c r="D1159" s="155"/>
      <c r="E1159" s="153"/>
      <c r="F1159" s="155">
        <v>200</v>
      </c>
      <c r="G1159" s="502">
        <v>0</v>
      </c>
      <c r="H1159" s="160"/>
      <c r="I1159" s="161">
        <f t="shared" si="23"/>
        <v>0</v>
      </c>
    </row>
    <row r="1160" spans="1:9" x14ac:dyDescent="0.25">
      <c r="A1160" s="157" t="str">
        <f>IF(B1160&gt;0,VLOOKUP(B1160,КВСР!A492:B1657,2),IF(C1160&gt;0,VLOOKUP(C1160,КФСР!A492:B2004,2),IF(D1160&gt;0,VLOOKUP(D1160,Программа!A$1:B$5100,2),IF(F1160&gt;0,VLOOKUP(F1160,КВР!A$1:B$5001,2),IF(E1160&gt;0,VLOOKUP(E1160,Направление!A$1:B$4830,2))))))</f>
        <v>Дошкольное образование</v>
      </c>
      <c r="B1160" s="158"/>
      <c r="C1160" s="153">
        <v>701</v>
      </c>
      <c r="D1160" s="155"/>
      <c r="E1160" s="153"/>
      <c r="F1160" s="155"/>
      <c r="G1160" s="504">
        <v>346518</v>
      </c>
      <c r="H1160" s="538">
        <f>H1161</f>
        <v>0</v>
      </c>
      <c r="I1160" s="161">
        <f t="shared" si="23"/>
        <v>346518</v>
      </c>
    </row>
    <row r="1161" spans="1:9" ht="63" x14ac:dyDescent="0.25">
      <c r="A1161" s="157" t="str">
        <f>IF(B1161&gt;0,VLOOKUP(B1161,КВСР!A493:B1658,2),IF(C1161&gt;0,VLOOKUP(C1161,КФСР!A493:B2005,2),IF(D1161&gt;0,VLOOKUP(D1161,Программа!A$1:B$5100,2),IF(F1161&gt;0,VLOOKUP(F1161,КВР!A$1:B$5001,2),IF(E1161&gt;0,VLOOKUP(E1161,Направление!A$1:B$4830,2))))))</f>
        <v>Муниципальная программа "Обеспечение качественными коммунальными услугами населения Тутаевского муниципального района"</v>
      </c>
      <c r="B1161" s="158"/>
      <c r="C1161" s="153"/>
      <c r="D1161" s="155" t="s">
        <v>851</v>
      </c>
      <c r="E1161" s="153"/>
      <c r="F1161" s="155"/>
      <c r="G1161" s="504">
        <v>346518</v>
      </c>
      <c r="H1161" s="538">
        <f>H1162+H1166</f>
        <v>0</v>
      </c>
      <c r="I1161" s="161">
        <f t="shared" si="23"/>
        <v>346518</v>
      </c>
    </row>
    <row r="1162" spans="1:9" ht="78.75" x14ac:dyDescent="0.25">
      <c r="A1162" s="157" t="str">
        <f>IF(B1162&gt;0,VLOOKUP(B1162,КВСР!A494:B1659,2),IF(C1162&gt;0,VLOOKUP(C1162,КФСР!A494:B2006,2),IF(D1162&gt;0,VLOOKUP(D1162,Программа!A$1:B$5100,2),IF(F1162&gt;0,VLOOKUP(F1162,КВР!A$1:B$5001,2),IF(E1162&gt;0,VLOOKUP(E1162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62" s="158"/>
      <c r="C1162" s="153"/>
      <c r="D1162" s="154" t="s">
        <v>883</v>
      </c>
      <c r="E1162" s="153"/>
      <c r="F1162" s="155"/>
      <c r="G1162" s="504">
        <v>346518</v>
      </c>
      <c r="H1162" s="538">
        <f>H1163</f>
        <v>0</v>
      </c>
      <c r="I1162" s="161">
        <f t="shared" si="23"/>
        <v>346518</v>
      </c>
    </row>
    <row r="1163" spans="1:9" ht="47.25" x14ac:dyDescent="0.25">
      <c r="A1163" s="157" t="str">
        <f>IF(B1163&gt;0,VLOOKUP(B1163,КВСР!A495:B1660,2),IF(C1163&gt;0,VLOOKUP(C1163,КФСР!A495:B2007,2),IF(D1163&gt;0,VLOOKUP(D1163,Программа!A$1:B$5100,2),IF(F1163&gt;0,VLOOKUP(F1163,КВР!A$1:B$5001,2),IF(E1163&gt;0,VLOOKUP(E1163,Направление!A$1:B$4830,2))))))</f>
        <v>Повышение уровня газификации и модернизации объектов социальной сферы</v>
      </c>
      <c r="B1163" s="158"/>
      <c r="C1163" s="153"/>
      <c r="D1163" s="154" t="s">
        <v>884</v>
      </c>
      <c r="E1163" s="153"/>
      <c r="F1163" s="155"/>
      <c r="G1163" s="504">
        <v>346518</v>
      </c>
      <c r="H1163" s="538">
        <f>H1164</f>
        <v>0</v>
      </c>
      <c r="I1163" s="161">
        <f t="shared" si="23"/>
        <v>346518</v>
      </c>
    </row>
    <row r="1164" spans="1:9" ht="31.5" x14ac:dyDescent="0.25">
      <c r="A1164" s="157" t="str">
        <f>IF(B1164&gt;0,VLOOKUP(B1164,КВСР!A496:B1661,2),IF(C1164&gt;0,VLOOKUP(C1164,КФСР!A496:B2008,2),IF(D1164&gt;0,VLOOKUP(D1164,Программа!A$1:B$5100,2),IF(F1164&gt;0,VLOOKUP(F1164,КВР!A$1:B$5001,2),IF(E1164&gt;0,VLOOKUP(E1164,Направление!A$1:B$4830,2))))))</f>
        <v>Обеспечение деятельности дошкольных учреждений</v>
      </c>
      <c r="B1164" s="158"/>
      <c r="C1164" s="153"/>
      <c r="D1164" s="155"/>
      <c r="E1164" s="153">
        <v>13010</v>
      </c>
      <c r="F1164" s="155"/>
      <c r="G1164" s="504">
        <v>346518</v>
      </c>
      <c r="H1164" s="538">
        <f>H1165</f>
        <v>0</v>
      </c>
      <c r="I1164" s="161">
        <f t="shared" si="23"/>
        <v>346518</v>
      </c>
    </row>
    <row r="1165" spans="1:9" ht="47.25" x14ac:dyDescent="0.25">
      <c r="A1165" s="157" t="str">
        <f>IF(B1165&gt;0,VLOOKUP(B1165,КВСР!A497:B1662,2),IF(C1165&gt;0,VLOOKUP(C1165,КФСР!A497:B2009,2),IF(D1165&gt;0,VLOOKUP(D1165,Программа!A$1:B$5100,2),IF(F1165&gt;0,VLOOKUP(F1165,КВР!A$1:B$5001,2),IF(E1165&gt;0,VLOOKUP(E1165,Направление!A$1:B$4830,2))))))</f>
        <v>Капитальные вложения в объекты государственной (муниципальной) собственности</v>
      </c>
      <c r="B1165" s="158"/>
      <c r="C1165" s="153"/>
      <c r="D1165" s="155"/>
      <c r="E1165" s="153"/>
      <c r="F1165" s="155">
        <v>400</v>
      </c>
      <c r="G1165" s="502">
        <v>346518</v>
      </c>
      <c r="H1165" s="160"/>
      <c r="I1165" s="161">
        <f t="shared" si="23"/>
        <v>346518</v>
      </c>
    </row>
    <row r="1166" spans="1:9" ht="78.75" hidden="1" x14ac:dyDescent="0.25">
      <c r="A1166" s="157" t="str">
        <f>IF(B1166&gt;0,VLOOKUP(B1166,КВСР!A498:B1663,2),IF(C1166&gt;0,VLOOKUP(C1166,КФСР!A498:B2010,2),IF(D1166&gt;0,VLOOKUP(D1166,Программа!A$1:B$5100,2),IF(F1166&gt;0,VLOOKUP(F1166,КВР!A$1:B$5001,2),IF(E1166&gt;0,VLOOKUP(E1166,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66" s="158"/>
      <c r="C1166" s="153"/>
      <c r="D1166" s="154" t="s">
        <v>887</v>
      </c>
      <c r="E1166" s="153"/>
      <c r="F1166" s="155"/>
      <c r="G1166" s="504">
        <v>0</v>
      </c>
      <c r="H1166" s="538">
        <f>H1167</f>
        <v>0</v>
      </c>
      <c r="I1166" s="161">
        <f t="shared" si="23"/>
        <v>0</v>
      </c>
    </row>
    <row r="1167" spans="1:9" ht="78.75" hidden="1" x14ac:dyDescent="0.25">
      <c r="A1167" s="157" t="str">
        <f>IF(B1167&gt;0,VLOOKUP(B1167,КВСР!A499:B1664,2),IF(C1167&gt;0,VLOOKUP(C1167,КФСР!A499:B2011,2),IF(D1167&gt;0,VLOOKUP(D1167,Программа!A$1:B$5100,2),IF(F1167&gt;0,VLOOKUP(F1167,КВР!A$1:B$5001,2),IF(E1167&gt;0,VLOOKUP(E1167,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67" s="158"/>
      <c r="C1167" s="153"/>
      <c r="D1167" s="154" t="s">
        <v>888</v>
      </c>
      <c r="E1167" s="153"/>
      <c r="F1167" s="155"/>
      <c r="G1167" s="504">
        <v>0</v>
      </c>
      <c r="H1167" s="538">
        <f>H1168</f>
        <v>0</v>
      </c>
      <c r="I1167" s="161">
        <f t="shared" si="23"/>
        <v>0</v>
      </c>
    </row>
    <row r="1168" spans="1:9" ht="31.5" hidden="1" x14ac:dyDescent="0.25">
      <c r="A1168" s="157" t="str">
        <f>IF(B1168&gt;0,VLOOKUP(B1168,КВСР!A500:B1665,2),IF(C1168&gt;0,VLOOKUP(C1168,КФСР!A500:B2012,2),IF(D1168&gt;0,VLOOKUP(D1168,Программа!A$1:B$5100,2),IF(F1168&gt;0,VLOOKUP(F1168,КВР!A$1:B$5001,2),IF(E1168&gt;0,VLOOKUP(E1168,Направление!A$1:B$4830,2))))))</f>
        <v>Обеспечение деятельности дошкольных учреждений</v>
      </c>
      <c r="B1168" s="158"/>
      <c r="C1168" s="153"/>
      <c r="D1168" s="155"/>
      <c r="E1168" s="153">
        <v>13010</v>
      </c>
      <c r="F1168" s="155"/>
      <c r="G1168" s="504">
        <v>0</v>
      </c>
      <c r="H1168" s="538">
        <f>H1169</f>
        <v>0</v>
      </c>
      <c r="I1168" s="161">
        <f t="shared" ref="I1168:I1220" si="24">SUM(G1168:H1168)</f>
        <v>0</v>
      </c>
    </row>
    <row r="1169" spans="1:9" ht="47.25" hidden="1" x14ac:dyDescent="0.25">
      <c r="A1169" s="157" t="str">
        <f>IF(B1169&gt;0,VLOOKUP(B1169,КВСР!A501:B1666,2),IF(C1169&gt;0,VLOOKUP(C1169,КФСР!A501:B2013,2),IF(D1169&gt;0,VLOOKUP(D1169,Программа!A$1:B$5100,2),IF(F1169&gt;0,VLOOKUP(F1169,КВР!A$1:B$5001,2),IF(E1169&gt;0,VLOOKUP(E1169,Направление!A$1:B$4830,2))))))</f>
        <v>Капитальные вложения в объекты государственной (муниципальной) собственности</v>
      </c>
      <c r="B1169" s="158"/>
      <c r="C1169" s="153"/>
      <c r="D1169" s="155"/>
      <c r="E1169" s="153"/>
      <c r="F1169" s="155">
        <v>400</v>
      </c>
      <c r="G1169" s="502">
        <v>0</v>
      </c>
      <c r="H1169" s="160"/>
      <c r="I1169" s="161">
        <f t="shared" si="24"/>
        <v>0</v>
      </c>
    </row>
    <row r="1170" spans="1:9" x14ac:dyDescent="0.25">
      <c r="A1170" s="157" t="str">
        <f>IF(B1170&gt;0,VLOOKUP(B1170,КВСР!A490:B1655,2),IF(C1170&gt;0,VLOOKUP(C1170,КФСР!A490:B2002,2),IF(D1170&gt;0,VLOOKUP(D1170,Программа!A$1:B$5100,2),IF(F1170&gt;0,VLOOKUP(F1170,КВР!A$1:B$5001,2),IF(E1170&gt;0,VLOOKUP(E1170,Направление!A$1:B$4830,2))))))</f>
        <v>Общее образование</v>
      </c>
      <c r="B1170" s="158"/>
      <c r="C1170" s="153">
        <v>702</v>
      </c>
      <c r="D1170" s="154"/>
      <c r="E1170" s="153"/>
      <c r="F1170" s="155"/>
      <c r="G1170" s="611">
        <v>248750</v>
      </c>
      <c r="H1170" s="161">
        <f>H1173</f>
        <v>0</v>
      </c>
      <c r="I1170" s="161">
        <f t="shared" si="24"/>
        <v>248750</v>
      </c>
    </row>
    <row r="1171" spans="1:9" ht="63" x14ac:dyDescent="0.25">
      <c r="A1171" s="157" t="str">
        <f>IF(B1171&gt;0,VLOOKUP(B1171,КВСР!A491:B1656,2),IF(C1171&gt;0,VLOOKUP(C1171,КФСР!A491:B2003,2),IF(D1171&gt;0,VLOOKUP(D1171,Программа!A$1:B$5100,2),IF(F1171&gt;0,VLOOKUP(F1171,КВР!A$1:B$5001,2),IF(E1171&gt;0,VLOOKUP(E1171,Направление!A$1:B$4830,2))))))</f>
        <v>Муниципальная программа "Обеспечение качественными коммунальными услугами населения Тутаевского муниципального района"</v>
      </c>
      <c r="B1171" s="158"/>
      <c r="C1171" s="153"/>
      <c r="D1171" s="154" t="s">
        <v>851</v>
      </c>
      <c r="E1171" s="153"/>
      <c r="F1171" s="155"/>
      <c r="G1171" s="611">
        <v>248750</v>
      </c>
      <c r="H1171" s="161">
        <f>H1173</f>
        <v>0</v>
      </c>
      <c r="I1171" s="161">
        <f t="shared" si="24"/>
        <v>248750</v>
      </c>
    </row>
    <row r="1172" spans="1:9" ht="78.75" x14ac:dyDescent="0.25">
      <c r="A1172" s="157" t="str">
        <f>IF(B1172&gt;0,VLOOKUP(B1172,КВСР!A492:B1657,2),IF(C1172&gt;0,VLOOKUP(C1172,КФСР!A492:B2004,2),IF(D1172&gt;0,VLOOKUP(D1172,Программа!A$1:B$5100,2),IF(F1172&gt;0,VLOOKUP(F1172,КВР!A$1:B$5001,2),IF(E1172&gt;0,VLOOKUP(E1172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2" s="158"/>
      <c r="C1172" s="153"/>
      <c r="D1172" s="154" t="s">
        <v>883</v>
      </c>
      <c r="E1172" s="153"/>
      <c r="F1172" s="155"/>
      <c r="G1172" s="611">
        <v>248750</v>
      </c>
      <c r="H1172" s="161">
        <f>H1173</f>
        <v>0</v>
      </c>
      <c r="I1172" s="161">
        <f t="shared" si="24"/>
        <v>248750</v>
      </c>
    </row>
    <row r="1173" spans="1:9" ht="47.25" x14ac:dyDescent="0.25">
      <c r="A1173" s="157" t="str">
        <f>IF(B1173&gt;0,VLOOKUP(B1173,КВСР!A493:B1658,2),IF(C1173&gt;0,VLOOKUP(C1173,КФСР!A493:B2005,2),IF(D1173&gt;0,VLOOKUP(D1173,Программа!A$1:B$5100,2),IF(F1173&gt;0,VLOOKUP(F1173,КВР!A$1:B$5001,2),IF(E1173&gt;0,VLOOKUP(E1173,Направление!A$1:B$4830,2))))))</f>
        <v>Повышение уровня газификации и модернизации объектов социальной сферы</v>
      </c>
      <c r="B1173" s="158"/>
      <c r="C1173" s="153"/>
      <c r="D1173" s="154" t="s">
        <v>884</v>
      </c>
      <c r="E1173" s="153"/>
      <c r="F1173" s="155"/>
      <c r="G1173" s="611">
        <v>248750</v>
      </c>
      <c r="H1173" s="161">
        <f>H1174</f>
        <v>0</v>
      </c>
      <c r="I1173" s="161">
        <f t="shared" si="24"/>
        <v>248750</v>
      </c>
    </row>
    <row r="1174" spans="1:9" ht="31.5" x14ac:dyDescent="0.25">
      <c r="A1174" s="157" t="str">
        <f>IF(B1174&gt;0,VLOOKUP(B1174,КВСР!A496:B1661,2),IF(C1174&gt;0,VLOOKUP(C1174,КФСР!A496:B2008,2),IF(D1174&gt;0,VLOOKUP(D1174,Программа!A$1:B$5100,2),IF(F1174&gt;0,VLOOKUP(F1174,КВР!A$1:B$5001,2),IF(E1174&gt;0,VLOOKUP(E1174,Направление!A$1:B$4830,2))))))</f>
        <v>Обеспечение деятельности общеобразовательных учреждений</v>
      </c>
      <c r="B1174" s="158"/>
      <c r="C1174" s="153"/>
      <c r="D1174" s="154"/>
      <c r="E1174" s="153">
        <v>13110</v>
      </c>
      <c r="F1174" s="155"/>
      <c r="G1174" s="611">
        <v>248750</v>
      </c>
      <c r="H1174" s="161">
        <f>H1175</f>
        <v>0</v>
      </c>
      <c r="I1174" s="161">
        <f t="shared" si="24"/>
        <v>248750</v>
      </c>
    </row>
    <row r="1175" spans="1:9" ht="47.25" x14ac:dyDescent="0.25">
      <c r="A1175" s="157" t="str">
        <f>IF(B1175&gt;0,VLOOKUP(B1175,КВСР!A497:B1662,2),IF(C1175&gt;0,VLOOKUP(C1175,КФСР!A497:B2009,2),IF(D1175&gt;0,VLOOKUP(D1175,Программа!A$1:B$5100,2),IF(F1175&gt;0,VLOOKUP(F1175,КВР!A$1:B$5001,2),IF(E1175&gt;0,VLOOKUP(E1175,Направление!A$1:B$4830,2))))))</f>
        <v>Капитальные вложения в объекты государственной (муниципальной) собственности</v>
      </c>
      <c r="B1175" s="158"/>
      <c r="C1175" s="153"/>
      <c r="D1175" s="155"/>
      <c r="E1175" s="153"/>
      <c r="F1175" s="155">
        <v>400</v>
      </c>
      <c r="G1175" s="521">
        <v>248750</v>
      </c>
      <c r="H1175" s="162"/>
      <c r="I1175" s="161">
        <f t="shared" si="24"/>
        <v>248750</v>
      </c>
    </row>
    <row r="1176" spans="1:9" hidden="1" x14ac:dyDescent="0.25">
      <c r="A1176" s="157" t="str">
        <f>IF(B1176&gt;0,VLOOKUP(B1176,КВСР!A498:B1663,2),IF(C1176&gt;0,VLOOKUP(C1176,КФСР!A498:B2010,2),IF(D1176&gt;0,VLOOKUP(D1176,Программа!A$1:B$5100,2),IF(F1176&gt;0,VLOOKUP(F1176,КВР!A$1:B$5001,2),IF(E1176&gt;0,VLOOKUP(E1176,Направление!A$1:B$4830,2))))))</f>
        <v>Дополнительное образование детей</v>
      </c>
      <c r="B1176" s="158"/>
      <c r="C1176" s="153">
        <v>703</v>
      </c>
      <c r="D1176" s="155"/>
      <c r="E1176" s="153"/>
      <c r="F1176" s="155"/>
      <c r="G1176" s="611">
        <v>0</v>
      </c>
      <c r="H1176" s="491">
        <f>H1177</f>
        <v>0</v>
      </c>
      <c r="I1176" s="161">
        <f t="shared" si="24"/>
        <v>0</v>
      </c>
    </row>
    <row r="1177" spans="1:9" ht="63" hidden="1" x14ac:dyDescent="0.25">
      <c r="A1177" s="157" t="str">
        <f>IF(B1177&gt;0,VLOOKUP(B1177,КВСР!A499:B1664,2),IF(C1177&gt;0,VLOOKUP(C1177,КФСР!A499:B2011,2),IF(D1177&gt;0,VLOOKUP(D1177,Программа!A$1:B$5100,2),IF(F1177&gt;0,VLOOKUP(F1177,КВР!A$1:B$5001,2),IF(E1177&gt;0,VLOOKUP(E1177,Направление!A$1:B$4830,2))))))</f>
        <v>Муниципальная программа "Обеспечение качественными коммунальными услугами населения Тутаевского муниципального района"</v>
      </c>
      <c r="B1177" s="158"/>
      <c r="C1177" s="153"/>
      <c r="D1177" s="154" t="s">
        <v>851</v>
      </c>
      <c r="E1177" s="153"/>
      <c r="F1177" s="155"/>
      <c r="G1177" s="611">
        <v>0</v>
      </c>
      <c r="H1177" s="491">
        <f>H1178</f>
        <v>0</v>
      </c>
      <c r="I1177" s="161">
        <f t="shared" si="24"/>
        <v>0</v>
      </c>
    </row>
    <row r="1178" spans="1:9" ht="78.75" hidden="1" x14ac:dyDescent="0.25">
      <c r="A1178" s="157" t="str">
        <f>IF(B1178&gt;0,VLOOKUP(B1178,КВСР!A500:B1665,2),IF(C1178&gt;0,VLOOKUP(C1178,КФСР!A500:B2012,2),IF(D1178&gt;0,VLOOKUP(D1178,Программа!A$1:B$5100,2),IF(F1178&gt;0,VLOOKUP(F1178,КВР!A$1:B$5001,2),IF(E1178&gt;0,VLOOKUP(E1178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8" s="158"/>
      <c r="C1178" s="153"/>
      <c r="D1178" s="154" t="s">
        <v>883</v>
      </c>
      <c r="E1178" s="153"/>
      <c r="F1178" s="155"/>
      <c r="G1178" s="611">
        <v>0</v>
      </c>
      <c r="H1178" s="491">
        <f>H1179</f>
        <v>0</v>
      </c>
      <c r="I1178" s="161">
        <f t="shared" si="24"/>
        <v>0</v>
      </c>
    </row>
    <row r="1179" spans="1:9" ht="47.25" hidden="1" x14ac:dyDescent="0.25">
      <c r="A1179" s="157" t="str">
        <f>IF(B1179&gt;0,VLOOKUP(B1179,КВСР!A501:B1666,2),IF(C1179&gt;0,VLOOKUP(C1179,КФСР!A501:B2013,2),IF(D1179&gt;0,VLOOKUP(D1179,Программа!A$1:B$5100,2),IF(F1179&gt;0,VLOOKUP(F1179,КВР!A$1:B$5001,2),IF(E1179&gt;0,VLOOKUP(E1179,Направление!A$1:B$4830,2))))))</f>
        <v>Повышение уровня газификации и модернизации объектов социальной сферы</v>
      </c>
      <c r="B1179" s="158"/>
      <c r="C1179" s="153"/>
      <c r="D1179" s="154" t="s">
        <v>884</v>
      </c>
      <c r="E1179" s="153"/>
      <c r="F1179" s="155"/>
      <c r="G1179" s="611">
        <v>0</v>
      </c>
      <c r="H1179" s="491">
        <f>H1180</f>
        <v>0</v>
      </c>
      <c r="I1179" s="161">
        <f t="shared" si="24"/>
        <v>0</v>
      </c>
    </row>
    <row r="1180" spans="1:9" ht="47.25" hidden="1" x14ac:dyDescent="0.25">
      <c r="A1180" s="157" t="str">
        <f>IF(B1180&gt;0,VLOOKUP(B1180,КВСР!A498:B1663,2),IF(C1180&gt;0,VLOOKUP(C1180,КФСР!A498:B2010,2),IF(D1180&gt;0,VLOOKUP(D1180,Программа!A$1:B$5100,2),IF(F1180&gt;0,VLOOKUP(F1180,КВР!A$1:B$5001,2),IF(E1180&gt;0,VLOOKUP(E1180,Направление!A$1:B$4830,2))))))</f>
        <v>Обеспечение деятельности учреждений дополнительного образования</v>
      </c>
      <c r="B1180" s="158"/>
      <c r="C1180" s="153"/>
      <c r="D1180" s="155"/>
      <c r="E1180" s="153">
        <v>13210</v>
      </c>
      <c r="F1180" s="155"/>
      <c r="G1180" s="611">
        <v>0</v>
      </c>
      <c r="H1180" s="491">
        <f>H1181</f>
        <v>0</v>
      </c>
      <c r="I1180" s="161">
        <f t="shared" si="24"/>
        <v>0</v>
      </c>
    </row>
    <row r="1181" spans="1:9" ht="47.25" hidden="1" x14ac:dyDescent="0.25">
      <c r="A1181" s="157" t="str">
        <f>IF(B1181&gt;0,VLOOKUP(B1181,КВСР!A499:B1664,2),IF(C1181&gt;0,VLOOKUP(C1181,КФСР!A499:B2011,2),IF(D1181&gt;0,VLOOKUP(D1181,Программа!A$1:B$5100,2),IF(F1181&gt;0,VLOOKUP(F1181,КВР!A$1:B$5001,2),IF(E1181&gt;0,VLOOKUP(E1181,Направление!A$1:B$4830,2))))))</f>
        <v>Капитальные вложения в объекты государственной (муниципальной) собственности</v>
      </c>
      <c r="B1181" s="158"/>
      <c r="C1181" s="153"/>
      <c r="D1181" s="155"/>
      <c r="E1181" s="153"/>
      <c r="F1181" s="155">
        <v>400</v>
      </c>
      <c r="G1181" s="521">
        <v>0</v>
      </c>
      <c r="H1181" s="162"/>
      <c r="I1181" s="161">
        <f t="shared" si="24"/>
        <v>0</v>
      </c>
    </row>
    <row r="1182" spans="1:9" x14ac:dyDescent="0.25">
      <c r="A1182" s="157" t="str">
        <f>IF(B1182&gt;0,VLOOKUP(B1182,КВСР!A498:B1663,2),IF(C1182&gt;0,VLOOKUP(C1182,КФСР!A498:B2010,2),IF(D1182&gt;0,VLOOKUP(D1182,Программа!A$1:B$5100,2),IF(F1182&gt;0,VLOOKUP(F1182,КВР!A$1:B$5001,2),IF(E1182&gt;0,VLOOKUP(E1182,Направление!A$1:B$4830,2))))))</f>
        <v>Культура</v>
      </c>
      <c r="B1182" s="158"/>
      <c r="C1182" s="153">
        <v>801</v>
      </c>
      <c r="D1182" s="154"/>
      <c r="E1182" s="153"/>
      <c r="F1182" s="155"/>
      <c r="G1182" s="611">
        <v>2843186</v>
      </c>
      <c r="H1182" s="161">
        <f>H1183+H1190</f>
        <v>0</v>
      </c>
      <c r="I1182" s="161">
        <f t="shared" si="24"/>
        <v>2843186</v>
      </c>
    </row>
    <row r="1183" spans="1:9" ht="63" x14ac:dyDescent="0.25">
      <c r="A1183" s="157" t="str">
        <f>IF(B1183&gt;0,VLOOKUP(B1183,КВСР!A499:B1664,2),IF(C1183&gt;0,VLOOKUP(C1183,КФСР!A499:B2011,2),IF(D1183&gt;0,VLOOKUP(D1183,Программа!A$1:B$5100,2),IF(F1183&gt;0,VLOOKUP(F1183,КВР!A$1:B$5001,2),IF(E1183&gt;0,VLOOKUP(E1183,Направление!A$1:B$4830,2))))))</f>
        <v>Муниципальная программа "Обеспечение качественными коммунальными услугами населения Тутаевского муниципального района"</v>
      </c>
      <c r="B1183" s="158"/>
      <c r="C1183" s="153"/>
      <c r="D1183" s="154" t="s">
        <v>851</v>
      </c>
      <c r="E1183" s="153"/>
      <c r="F1183" s="155"/>
      <c r="G1183" s="611">
        <v>2843186</v>
      </c>
      <c r="H1183" s="161">
        <f>H1184</f>
        <v>0</v>
      </c>
      <c r="I1183" s="161">
        <f t="shared" si="24"/>
        <v>2843186</v>
      </c>
    </row>
    <row r="1184" spans="1:9" ht="78.75" x14ac:dyDescent="0.25">
      <c r="A1184" s="157" t="str">
        <f>IF(B1184&gt;0,VLOOKUP(B1184,КВСР!A500:B1665,2),IF(C1184&gt;0,VLOOKUP(C1184,КФСР!A500:B2012,2),IF(D1184&gt;0,VLOOKUP(D1184,Программа!A$1:B$5100,2),IF(F1184&gt;0,VLOOKUP(F1184,КВР!A$1:B$5001,2),IF(E1184&gt;0,VLOOKUP(E1184,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84" s="158"/>
      <c r="C1184" s="153"/>
      <c r="D1184" s="154" t="s">
        <v>883</v>
      </c>
      <c r="E1184" s="153"/>
      <c r="F1184" s="155"/>
      <c r="G1184" s="611">
        <v>2843186</v>
      </c>
      <c r="H1184" s="161">
        <f>H1185</f>
        <v>0</v>
      </c>
      <c r="I1184" s="161">
        <f t="shared" si="24"/>
        <v>2843186</v>
      </c>
    </row>
    <row r="1185" spans="1:9" ht="47.25" x14ac:dyDescent="0.25">
      <c r="A1185" s="157" t="str">
        <f>IF(B1185&gt;0,VLOOKUP(B1185,КВСР!A501:B1666,2),IF(C1185&gt;0,VLOOKUP(C1185,КФСР!A501:B2013,2),IF(D1185&gt;0,VLOOKUP(D1185,Программа!A$1:B$5100,2),IF(F1185&gt;0,VLOOKUP(F1185,КВР!A$1:B$5001,2),IF(E1185&gt;0,VLOOKUP(E1185,Направление!A$1:B$4830,2))))))</f>
        <v>Повышение уровня газификации и модернизации объектов социальной сферы</v>
      </c>
      <c r="B1185" s="158"/>
      <c r="C1185" s="153"/>
      <c r="D1185" s="154" t="s">
        <v>884</v>
      </c>
      <c r="E1185" s="153"/>
      <c r="F1185" s="155"/>
      <c r="G1185" s="611">
        <v>2843186</v>
      </c>
      <c r="H1185" s="161">
        <f>H1186+H1188</f>
        <v>0</v>
      </c>
      <c r="I1185" s="161">
        <f t="shared" si="24"/>
        <v>2843186</v>
      </c>
    </row>
    <row r="1186" spans="1:9" ht="47.25" x14ac:dyDescent="0.25">
      <c r="A1186" s="157" t="str">
        <f>IF(B1186&gt;0,VLOOKUP(B1186,КВСР!A500:B1665,2),IF(C1186&gt;0,VLOOKUP(C1186,КФСР!A500:B2012,2),IF(D1186&gt;0,VLOOKUP(D1186,Программа!A$1:B$5100,2),IF(F1186&gt;0,VLOOKUP(F1186,КВР!A$1:B$5001,2),IF(E1186&gt;0,VLOOKUP(E1186,Направление!A$1:B$4830,2))))))</f>
        <v>Обеспечение деятельности учреждений по организации досуга в сфере культуры</v>
      </c>
      <c r="B1186" s="158"/>
      <c r="C1186" s="153"/>
      <c r="D1186" s="154"/>
      <c r="E1186" s="153">
        <v>15010</v>
      </c>
      <c r="F1186" s="155"/>
      <c r="G1186" s="611">
        <v>2843186</v>
      </c>
      <c r="H1186" s="161">
        <f>H1187</f>
        <v>0</v>
      </c>
      <c r="I1186" s="161">
        <f t="shared" si="24"/>
        <v>2843186</v>
      </c>
    </row>
    <row r="1187" spans="1:9" ht="47.25" x14ac:dyDescent="0.25">
      <c r="A1187" s="157" t="str">
        <f>IF(B1187&gt;0,VLOOKUP(B1187,КВСР!A501:B1666,2),IF(C1187&gt;0,VLOOKUP(C1187,КФСР!A501:B2013,2),IF(D1187&gt;0,VLOOKUP(D1187,Программа!A$1:B$5100,2),IF(F1187&gt;0,VLOOKUP(F1187,КВР!A$1:B$5001,2),IF(E1187&gt;0,VLOOKUP(E1187,Направление!A$1:B$4830,2))))))</f>
        <v>Капитальные вложения в объекты государственной (муниципальной) собственности</v>
      </c>
      <c r="B1187" s="158"/>
      <c r="C1187" s="153"/>
      <c r="D1187" s="155"/>
      <c r="E1187" s="153"/>
      <c r="F1187" s="155">
        <v>400</v>
      </c>
      <c r="G1187" s="521">
        <v>2843186</v>
      </c>
      <c r="H1187" s="162"/>
      <c r="I1187" s="161">
        <f t="shared" si="24"/>
        <v>2843186</v>
      </c>
    </row>
    <row r="1188" spans="1:9" ht="47.25" hidden="1" x14ac:dyDescent="0.25">
      <c r="A1188" s="157" t="str">
        <f>IF(B1188&gt;0,VLOOKUP(B1188,КВСР!A502:B1667,2),IF(C1188&gt;0,VLOOKUP(C1188,КФСР!A502:B2014,2),IF(D1188&gt;0,VLOOKUP(D1188,Программа!A$1:B$5100,2),IF(F1188&gt;0,VLOOKUP(F1188,КВР!A$1:B$5001,2),IF(E1188&gt;0,VLOOKUP(E1188,Направление!A$1:B$4830,2))))))</f>
        <v>Расходы на проведение капитального ремонта муниципальных учреждений культуры</v>
      </c>
      <c r="B1188" s="158"/>
      <c r="C1188" s="153"/>
      <c r="D1188" s="155"/>
      <c r="E1188" s="153">
        <v>71690</v>
      </c>
      <c r="F1188" s="155"/>
      <c r="G1188" s="611">
        <v>0</v>
      </c>
      <c r="H1188" s="161">
        <f>H1189</f>
        <v>0</v>
      </c>
      <c r="I1188" s="161">
        <f t="shared" si="24"/>
        <v>0</v>
      </c>
    </row>
    <row r="1189" spans="1:9" ht="63" hidden="1" x14ac:dyDescent="0.25">
      <c r="A1189" s="157" t="str">
        <f>IF(B1189&gt;0,VLOOKUP(B1189,КВСР!A503:B1668,2),IF(C1189&gt;0,VLOOKUP(C1189,КФСР!A503:B2015,2),IF(D1189&gt;0,VLOOKUP(D1189,Программа!A$1:B$5100,2),IF(F1189&gt;0,VLOOKUP(F1189,КВР!A$1:B$5001,2),IF(E1189&gt;0,VLOOKUP(E1189,Направление!A$1:B$4830,2))))))</f>
        <v>Предоставление субсидий бюджетным, автономным учреждениям и иным некоммерческим организациям</v>
      </c>
      <c r="B1189" s="158"/>
      <c r="C1189" s="153"/>
      <c r="D1189" s="155"/>
      <c r="E1189" s="153"/>
      <c r="F1189" s="155">
        <v>600</v>
      </c>
      <c r="G1189" s="521">
        <v>0</v>
      </c>
      <c r="H1189" s="162"/>
      <c r="I1189" s="161">
        <f t="shared" si="24"/>
        <v>0</v>
      </c>
    </row>
    <row r="1190" spans="1:9" ht="63" hidden="1" x14ac:dyDescent="0.25">
      <c r="A1190" s="157" t="str">
        <f>IF(B1190&gt;0,VLOOKUP(B1190,КВСР!A504:B1669,2),IF(C1190&gt;0,VLOOKUP(C1190,КФСР!A504:B2016,2),IF(D1190&gt;0,VLOOKUP(D1190,Программа!A$1:B$5100,2),IF(F1190&gt;0,VLOOKUP(F1190,КВР!A$1:B$5001,2),IF(E1190&gt;0,VLOOKUP(E1190,Направление!A$1:B$4830,2))))))</f>
        <v>Муниципальная программа "Обеспечение качественными коммунальными услугами населения Тутаевского муниципального района"</v>
      </c>
      <c r="B1190" s="158"/>
      <c r="C1190" s="153"/>
      <c r="D1190" s="154" t="s">
        <v>851</v>
      </c>
      <c r="E1190" s="153"/>
      <c r="F1190" s="155"/>
      <c r="G1190" s="521">
        <v>0</v>
      </c>
      <c r="H1190" s="521">
        <f>H1191</f>
        <v>0</v>
      </c>
      <c r="I1190" s="161">
        <f t="shared" si="24"/>
        <v>0</v>
      </c>
    </row>
    <row r="1191" spans="1:9" ht="78.75" hidden="1" x14ac:dyDescent="0.25">
      <c r="A1191" s="157" t="str">
        <f>IF(B1191&gt;0,VLOOKUP(B1191,КВСР!A505:B1670,2),IF(C1191&gt;0,VLOOKUP(C1191,КФСР!A505:B2017,2),IF(D1191&gt;0,VLOOKUP(D1191,Программа!A$1:B$5100,2),IF(F1191&gt;0,VLOOKUP(F1191,КВР!A$1:B$5001,2),IF(E1191&gt;0,VLOOKUP(E1191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91" s="158"/>
      <c r="C1191" s="153"/>
      <c r="D1191" s="154" t="s">
        <v>883</v>
      </c>
      <c r="E1191" s="153"/>
      <c r="F1191" s="155"/>
      <c r="G1191" s="521">
        <v>0</v>
      </c>
      <c r="H1191" s="521">
        <f>H1192</f>
        <v>0</v>
      </c>
      <c r="I1191" s="161">
        <f t="shared" si="24"/>
        <v>0</v>
      </c>
    </row>
    <row r="1192" spans="1:9" ht="47.25" hidden="1" x14ac:dyDescent="0.25">
      <c r="A1192" s="157" t="str">
        <f>IF(B1192&gt;0,VLOOKUP(B1192,КВСР!A506:B1671,2),IF(C1192&gt;0,VLOOKUP(C1192,КФСР!A506:B2018,2),IF(D1192&gt;0,VLOOKUP(D1192,Программа!A$1:B$5100,2),IF(F1192&gt;0,VLOOKUP(F1192,КВР!A$1:B$5001,2),IF(E1192&gt;0,VLOOKUP(E1192,Направление!A$1:B$4830,2))))))</f>
        <v>Повышение уровня газификации и модернизации объектов социальной сферы</v>
      </c>
      <c r="B1192" s="158"/>
      <c r="C1192" s="153"/>
      <c r="D1192" s="154" t="s">
        <v>884</v>
      </c>
      <c r="E1192" s="153"/>
      <c r="F1192" s="155"/>
      <c r="G1192" s="521">
        <v>0</v>
      </c>
      <c r="H1192" s="521">
        <f>H1193</f>
        <v>0</v>
      </c>
      <c r="I1192" s="161">
        <f t="shared" si="24"/>
        <v>0</v>
      </c>
    </row>
    <row r="1193" spans="1:9" ht="47.25" hidden="1" x14ac:dyDescent="0.25">
      <c r="A1193" s="157" t="str">
        <f>IF(B1193&gt;0,VLOOKUP(B1193,КВСР!A507:B1672,2),IF(C1193&gt;0,VLOOKUP(C1193,КФСР!A507:B2019,2),IF(D1193&gt;0,VLOOKUP(D1193,Программа!A$1:B$5100,2),IF(F1193&gt;0,VLOOKUP(F1193,КВР!A$1:B$5001,2),IF(E1193&gt;0,VLOOKUP(E1193,Направление!A$1:B$4830,2))))))</f>
        <v>Обеспечение деятельности учреждений по организации досуга в сфере культуры</v>
      </c>
      <c r="B1193" s="158"/>
      <c r="C1193" s="153"/>
      <c r="D1193" s="155"/>
      <c r="E1193" s="153">
        <v>15010</v>
      </c>
      <c r="F1193" s="155"/>
      <c r="G1193" s="521">
        <v>0</v>
      </c>
      <c r="H1193" s="521">
        <f>H1194</f>
        <v>0</v>
      </c>
      <c r="I1193" s="161">
        <f t="shared" si="24"/>
        <v>0</v>
      </c>
    </row>
    <row r="1194" spans="1:9" ht="63" hidden="1" x14ac:dyDescent="0.25">
      <c r="A1194" s="157" t="str">
        <f>IF(B1194&gt;0,VLOOKUP(B1194,КВСР!A508:B1673,2),IF(C1194&gt;0,VLOOKUP(C1194,КФСР!A508:B2020,2),IF(D1194&gt;0,VLOOKUP(D1194,Программа!A$1:B$5100,2),IF(F1194&gt;0,VLOOKUP(F1194,КВР!A$1:B$5001,2),IF(E1194&gt;0,VLOOKUP(E1194,Направление!A$1:B$4830,2))))))</f>
        <v>Предоставление субсидий бюджетным, автономным учреждениям и иным некоммерческим организациям</v>
      </c>
      <c r="B1194" s="158"/>
      <c r="C1194" s="153"/>
      <c r="D1194" s="155"/>
      <c r="E1194" s="153"/>
      <c r="F1194" s="155">
        <v>600</v>
      </c>
      <c r="G1194" s="521">
        <v>0</v>
      </c>
      <c r="H1194" s="162"/>
      <c r="I1194" s="161">
        <f t="shared" si="24"/>
        <v>0</v>
      </c>
    </row>
    <row r="1195" spans="1:9" x14ac:dyDescent="0.25">
      <c r="A1195" s="157" t="str">
        <f>IF(B1195&gt;0,VLOOKUP(B1195,КВСР!A504:B1669,2),IF(C1195&gt;0,VLOOKUP(C1195,КФСР!A504:B2016,2),IF(D1195&gt;0,VLOOKUP(D1195,Программа!A$1:B$5100,2),IF(F1195&gt;0,VLOOKUP(F1195,КВР!A$1:B$5001,2),IF(E1195&gt;0,VLOOKUP(E1195,Направление!A$1:B$4830,2))))))</f>
        <v>Социальное обеспечение населения</v>
      </c>
      <c r="B1195" s="158"/>
      <c r="C1195" s="153">
        <v>1003</v>
      </c>
      <c r="D1195" s="155"/>
      <c r="E1195" s="153"/>
      <c r="F1195" s="155"/>
      <c r="G1195" s="521">
        <v>676007</v>
      </c>
      <c r="H1195" s="521">
        <f>H1196</f>
        <v>6415</v>
      </c>
      <c r="I1195" s="161">
        <f t="shared" si="24"/>
        <v>682422</v>
      </c>
    </row>
    <row r="1196" spans="1:9" ht="78.75" x14ac:dyDescent="0.25">
      <c r="A1196" s="157" t="str">
        <f>IF(B1196&gt;0,VLOOKUP(B1196,КВСР!A505:B1670,2),IF(C1196&gt;0,VLOOKUP(C1196,КФСР!A505:B2017,2),IF(D1196&gt;0,VLOOKUP(D1196,Программа!A$1:B$5100,2),IF(F1196&gt;0,VLOOKUP(F1196,КВР!A$1:B$5001,2),IF(E1196&gt;0,VLOOKUP(E1196,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196" s="158"/>
      <c r="C1196" s="153"/>
      <c r="D1196" s="155" t="s">
        <v>861</v>
      </c>
      <c r="E1196" s="153"/>
      <c r="F1196" s="155"/>
      <c r="G1196" s="521">
        <v>676007</v>
      </c>
      <c r="H1196" s="521">
        <f>H1197+H1200</f>
        <v>6415</v>
      </c>
      <c r="I1196" s="161">
        <f t="shared" si="24"/>
        <v>682422</v>
      </c>
    </row>
    <row r="1197" spans="1:9" ht="94.5" x14ac:dyDescent="0.25">
      <c r="A1197" s="157" t="str">
        <f>IF(B1197&gt;0,VLOOKUP(B1197,КВСР!A506:B1671,2),IF(C1197&gt;0,VLOOKUP(C1197,КФСР!A506:B2018,2),IF(D1197&gt;0,VLOOKUP(D1197,Программа!A$1:B$5100,2),IF(F1197&gt;0,VLOOKUP(F1197,КВР!A$1:B$5001,2),IF(E1197&gt;0,VLOOKUP(E1197,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197" s="158"/>
      <c r="C1197" s="153"/>
      <c r="D1197" s="154" t="s">
        <v>863</v>
      </c>
      <c r="E1197" s="153"/>
      <c r="F1197" s="155"/>
      <c r="G1197" s="504">
        <v>15000</v>
      </c>
      <c r="H1197" s="159">
        <f>H1198</f>
        <v>0</v>
      </c>
      <c r="I1197" s="161">
        <f t="shared" si="24"/>
        <v>15000</v>
      </c>
    </row>
    <row r="1198" spans="1:9" ht="94.5" x14ac:dyDescent="0.25">
      <c r="A1198" s="157" t="str">
        <f>IF(B1198&gt;0,VLOOKUP(B1198,КВСР!A507:B1672,2),IF(C1198&gt;0,VLOOKUP(C1198,КФСР!A507:B2019,2),IF(D1198&gt;0,VLOOKUP(D1198,Программа!A$1:B$5100,2),IF(F1198&gt;0,VLOOKUP(F1198,КВР!A$1:B$5001,2),IF(E1198&gt;0,VLOOKUP(E1198,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198" s="158"/>
      <c r="C1198" s="153"/>
      <c r="D1198" s="154"/>
      <c r="E1198" s="153">
        <v>72550</v>
      </c>
      <c r="F1198" s="155"/>
      <c r="G1198" s="504">
        <v>15000</v>
      </c>
      <c r="H1198" s="159">
        <f>H1199</f>
        <v>0</v>
      </c>
      <c r="I1198" s="161">
        <f t="shared" si="24"/>
        <v>15000</v>
      </c>
    </row>
    <row r="1199" spans="1:9" x14ac:dyDescent="0.25">
      <c r="A1199" s="157" t="str">
        <f>IF(B1199&gt;0,VLOOKUP(B1199,КВСР!A508:B1673,2),IF(C1199&gt;0,VLOOKUP(C1199,КФСР!A508:B2020,2),IF(D1199&gt;0,VLOOKUP(D1199,Программа!A$1:B$5100,2),IF(F1199&gt;0,VLOOKUP(F1199,КВР!A$1:B$5001,2),IF(E1199&gt;0,VLOOKUP(E1199,Направление!A$1:B$4830,2))))))</f>
        <v>Иные бюджетные ассигнования</v>
      </c>
      <c r="B1199" s="158"/>
      <c r="C1199" s="153"/>
      <c r="D1199" s="155"/>
      <c r="E1199" s="153"/>
      <c r="F1199" s="155">
        <v>800</v>
      </c>
      <c r="G1199" s="502">
        <v>15000</v>
      </c>
      <c r="H1199" s="160"/>
      <c r="I1199" s="161">
        <f t="shared" si="24"/>
        <v>15000</v>
      </c>
    </row>
    <row r="1200" spans="1:9" ht="78.75" x14ac:dyDescent="0.25">
      <c r="A1200" s="157" t="str">
        <f>IF(B1200&gt;0,VLOOKUP(B1200,КВСР!A509:B1674,2),IF(C1200&gt;0,VLOOKUP(C1200,КФСР!A509:B2021,2),IF(D1200&gt;0,VLOOKUP(D1200,Программа!A$1:B$5100,2),IF(F1200&gt;0,VLOOKUP(F1200,КВР!A$1:B$5001,2),IF(E1200&gt;0,VLOOKUP(E1200,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200" s="158"/>
      <c r="C1200" s="153"/>
      <c r="D1200" s="154" t="s">
        <v>865</v>
      </c>
      <c r="E1200" s="153"/>
      <c r="F1200" s="155"/>
      <c r="G1200" s="168">
        <v>661007</v>
      </c>
      <c r="H1200" s="168">
        <f>H1201</f>
        <v>6415</v>
      </c>
      <c r="I1200" s="161">
        <f t="shared" si="24"/>
        <v>667422</v>
      </c>
    </row>
    <row r="1201" spans="1:9" ht="78.75" x14ac:dyDescent="0.25">
      <c r="A1201" s="157" t="str">
        <f>IF(B1201&gt;0,VLOOKUP(B1201,КВСР!A510:B1675,2),IF(C1201&gt;0,VLOOKUP(C1201,КФСР!A510:B2022,2),IF(D1201&gt;0,VLOOKUP(D1201,Программа!A$1:B$5100,2),IF(F1201&gt;0,VLOOKUP(F1201,КВР!A$1:B$5001,2),IF(E1201&gt;0,VLOOKUP(E1201,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201" s="158"/>
      <c r="C1201" s="153"/>
      <c r="D1201" s="155"/>
      <c r="E1201" s="153">
        <v>72560</v>
      </c>
      <c r="F1201" s="155"/>
      <c r="G1201" s="168">
        <v>661007</v>
      </c>
      <c r="H1201" s="168">
        <f>H1202</f>
        <v>6415</v>
      </c>
      <c r="I1201" s="161">
        <f t="shared" si="24"/>
        <v>667422</v>
      </c>
    </row>
    <row r="1202" spans="1:9" x14ac:dyDescent="0.25">
      <c r="A1202" s="157" t="str">
        <f>IF(B1202&gt;0,VLOOKUP(B1202,КВСР!A511:B1676,2),IF(C1202&gt;0,VLOOKUP(C1202,КФСР!A511:B2023,2),IF(D1202&gt;0,VLOOKUP(D1202,Программа!A$1:B$5100,2),IF(F1202&gt;0,VLOOKUP(F1202,КВР!A$1:B$5001,2),IF(E1202&gt;0,VLOOKUP(E1202,Направление!A$1:B$4830,2))))))</f>
        <v>Иные бюджетные ассигнования</v>
      </c>
      <c r="B1202" s="158"/>
      <c r="C1202" s="153"/>
      <c r="D1202" s="155"/>
      <c r="E1202" s="153"/>
      <c r="F1202" s="155">
        <v>800</v>
      </c>
      <c r="G1202" s="502">
        <v>661007</v>
      </c>
      <c r="H1202" s="160">
        <v>6415</v>
      </c>
      <c r="I1202" s="161">
        <f t="shared" si="24"/>
        <v>667422</v>
      </c>
    </row>
    <row r="1203" spans="1:9" hidden="1" x14ac:dyDescent="0.25">
      <c r="A1203" s="157" t="str">
        <f>IF(B1203&gt;0,VLOOKUP(B1203,КВСР!A501:B1666,2),IF(C1203&gt;0,VLOOKUP(C1203,КФСР!A501:B2013,2),IF(D1203&gt;0,VLOOKUP(D1203,Программа!A$1:B$5100,2),IF(F1203&gt;0,VLOOKUP(F1203,КВР!A$1:B$5001,2),IF(E1203&gt;0,VLOOKUP(E1203,Направление!A$1:B$4830,2))))))</f>
        <v>Массовый спорт</v>
      </c>
      <c r="B1203" s="158"/>
      <c r="C1203" s="153">
        <v>1102</v>
      </c>
      <c r="D1203" s="154"/>
      <c r="E1203" s="153"/>
      <c r="F1203" s="155"/>
      <c r="G1203" s="504">
        <v>0</v>
      </c>
      <c r="H1203" s="159">
        <f>H1206</f>
        <v>0</v>
      </c>
      <c r="I1203" s="161">
        <f t="shared" si="24"/>
        <v>0</v>
      </c>
    </row>
    <row r="1204" spans="1:9" ht="63" hidden="1" x14ac:dyDescent="0.25">
      <c r="A1204" s="157" t="str">
        <f>IF(B1204&gt;0,VLOOKUP(B1204,КВСР!A502:B1667,2),IF(C1204&gt;0,VLOOKUP(C1204,КФСР!A502:B2016,2),IF(D1204&gt;0,VLOOKUP(D1204,Программа!A$1:B$5100,2),IF(F1204&gt;0,VLOOKUP(F1204,КВР!A$1:B$5001,2),IF(E1204&gt;0,VLOOKUP(E1204,Направление!A$1:B$4830,2))))))</f>
        <v>Муниципальная программа "Развитие образования, физической культуры и спорта в Тутаевском муниципальном районе"</v>
      </c>
      <c r="B1204" s="158"/>
      <c r="C1204" s="153"/>
      <c r="D1204" s="154" t="s">
        <v>686</v>
      </c>
      <c r="E1204" s="153"/>
      <c r="F1204" s="155"/>
      <c r="G1204" s="504">
        <v>0</v>
      </c>
      <c r="H1204" s="159">
        <f>H1206</f>
        <v>0</v>
      </c>
      <c r="I1204" s="161">
        <f t="shared" si="24"/>
        <v>0</v>
      </c>
    </row>
    <row r="1205" spans="1:9" ht="63" hidden="1" x14ac:dyDescent="0.25">
      <c r="A1205" s="157" t="str">
        <f>IF(B1205&gt;0,VLOOKUP(B1205,КВСР!A503:B1668,2),IF(C1205&gt;0,VLOOKUP(C1205,КФСР!A503:B2017,2),IF(D1205&gt;0,VLOOKUP(D1205,Программа!A$1:B$5100,2),IF(F1205&gt;0,VLOOKUP(F1205,КВР!A$1:B$5001,2),IF(E1205&gt;0,VLOOKUP(E1205,Направление!A$1:B$4830,2))))))</f>
        <v>Муниципальная целевая программа "Развитие физической культуры и спорта в Тутаевском муниципальном районе"</v>
      </c>
      <c r="B1205" s="158"/>
      <c r="C1205" s="153"/>
      <c r="D1205" s="154" t="s">
        <v>706</v>
      </c>
      <c r="E1205" s="153"/>
      <c r="F1205" s="155"/>
      <c r="G1205" s="504">
        <v>0</v>
      </c>
      <c r="H1205" s="159">
        <f>H1206</f>
        <v>0</v>
      </c>
      <c r="I1205" s="161">
        <f t="shared" si="24"/>
        <v>0</v>
      </c>
    </row>
    <row r="1206" spans="1:9" ht="31.5" hidden="1" x14ac:dyDescent="0.25">
      <c r="A1206" s="157" t="str">
        <f>IF(B1206&gt;0,VLOOKUP(B1206,КВСР!A504:B1669,2),IF(C1206&gt;0,VLOOKUP(C1206,КФСР!A504:B2018,2),IF(D1206&gt;0,VLOOKUP(D1206,Программа!A$1:B$5100,2),IF(F1206&gt;0,VLOOKUP(F1206,КВР!A$1:B$5001,2),IF(E1206&gt;0,VLOOKUP(E1206,Направление!A$1:B$4830,2))))))</f>
        <v>Развитие сети плоскостных спортивных сооружений</v>
      </c>
      <c r="B1206" s="158"/>
      <c r="C1206" s="153"/>
      <c r="D1206" s="154" t="s">
        <v>744</v>
      </c>
      <c r="E1206" s="153"/>
      <c r="F1206" s="155"/>
      <c r="G1206" s="504">
        <v>0</v>
      </c>
      <c r="H1206" s="159">
        <f>H1207</f>
        <v>0</v>
      </c>
      <c r="I1206" s="161">
        <f t="shared" si="24"/>
        <v>0</v>
      </c>
    </row>
    <row r="1207" spans="1:9" ht="47.25" hidden="1" x14ac:dyDescent="0.25">
      <c r="A1207" s="157" t="str">
        <f>IF(B1207&gt;0,VLOOKUP(B1207,КВСР!A503:B1668,2),IF(C1207&gt;0,VLOOKUP(C1207,КФСР!A503:B2016,2),IF(D1207&gt;0,VLOOKUP(D1207,Программа!A$1:B$5100,2),IF(F1207&gt;0,VLOOKUP(F1207,КВР!A$1:B$5001,2),IF(E1207&gt;0,VLOOKUP(E1207,Направление!A$1:B$4830,2))))))</f>
        <v xml:space="preserve">Развитие сети плоскостных спортивных сооружений в муниципальных образованиях </v>
      </c>
      <c r="B1207" s="158"/>
      <c r="C1207" s="153"/>
      <c r="D1207" s="154"/>
      <c r="E1207" s="172" t="s">
        <v>765</v>
      </c>
      <c r="F1207" s="173"/>
      <c r="G1207" s="504">
        <v>0</v>
      </c>
      <c r="H1207" s="159">
        <f>H1208</f>
        <v>0</v>
      </c>
      <c r="I1207" s="161">
        <f t="shared" si="24"/>
        <v>0</v>
      </c>
    </row>
    <row r="1208" spans="1:9" ht="63" hidden="1" x14ac:dyDescent="0.25">
      <c r="A1208" s="157" t="str">
        <f>IF(B1208&gt;0,VLOOKUP(B1208,КВСР!A504:B1669,2),IF(C1208&gt;0,VLOOKUP(C1208,КФСР!A504:B2016,2),IF(D1208&gt;0,VLOOKUP(D1208,Программа!A$1:B$5100,2),IF(F1208&gt;0,VLOOKUP(F1208,КВР!A$1:B$5001,2),IF(E1208&gt;0,VLOOKUP(E1208,Направление!A$1:B$4830,2))))))</f>
        <v>Предоставление субсидий бюджетным, автономным учреждениям и иным некоммерческим организациям</v>
      </c>
      <c r="B1208" s="158"/>
      <c r="C1208" s="153"/>
      <c r="D1208" s="154"/>
      <c r="E1208" s="172"/>
      <c r="F1208" s="173">
        <v>600</v>
      </c>
      <c r="G1208" s="502">
        <v>0</v>
      </c>
      <c r="H1208" s="160"/>
      <c r="I1208" s="161">
        <f t="shared" si="24"/>
        <v>0</v>
      </c>
    </row>
    <row r="1209" spans="1:9" ht="31.5" x14ac:dyDescent="0.25">
      <c r="A1209" s="151" t="str">
        <f>IF(B1209&gt;0,VLOOKUP(B1209,КВСР!A527:B1692,2),IF(C1209&gt;0,VLOOKUP(C1209,КФСР!A527:B2039,2),IF(D1209&gt;0,VLOOKUP(D1209,Программа!A$1:B$5100,2),IF(F1209&gt;0,VLOOKUP(F1209,КВР!A$1:B$5001,2),IF(E1209&gt;0,VLOOKUP(E1209,Направление!A$1:B$4830,2))))))</f>
        <v>МУ Контрольно-счетная палата ТМР</v>
      </c>
      <c r="B1209" s="152">
        <v>982</v>
      </c>
      <c r="C1209" s="187"/>
      <c r="D1209" s="188"/>
      <c r="E1209" s="187"/>
      <c r="F1209" s="189"/>
      <c r="G1209" s="610">
        <v>1966995</v>
      </c>
      <c r="H1209" s="156">
        <f>H1210</f>
        <v>19503</v>
      </c>
      <c r="I1209" s="625">
        <f t="shared" si="24"/>
        <v>1986498</v>
      </c>
    </row>
    <row r="1210" spans="1:9" ht="63" x14ac:dyDescent="0.25">
      <c r="A1210" s="157" t="str">
        <f>IF(B1210&gt;0,VLOOKUP(B1210,КВСР!A528:B1693,2),IF(C1210&gt;0,VLOOKUP(C1210,КФСР!A528:B2040,2),IF(D1210&gt;0,VLOOKUP(D1210,Программа!A$1:B$5100,2),IF(F1210&gt;0,VLOOKUP(F1210,КВР!A$1:B$5001,2),IF(E1210&gt;0,VLOOKUP(E1210,Направление!A$1:B$4830,2))))))</f>
        <v>Обеспечение деятельности финансовых, налоговых и таможенных органов и органов финансового (финансово-бюджетного) надзора</v>
      </c>
      <c r="B1210" s="184"/>
      <c r="C1210" s="153">
        <v>106</v>
      </c>
      <c r="D1210" s="178"/>
      <c r="E1210" s="179"/>
      <c r="F1210" s="181"/>
      <c r="G1210" s="504">
        <v>1966995</v>
      </c>
      <c r="H1210" s="159">
        <f>H1211</f>
        <v>19503</v>
      </c>
      <c r="I1210" s="161">
        <f t="shared" si="24"/>
        <v>1986498</v>
      </c>
    </row>
    <row r="1211" spans="1:9" x14ac:dyDescent="0.25">
      <c r="A1211" s="157" t="str">
        <f>IF(B1211&gt;0,VLOOKUP(B1211,КВСР!A529:B1694,2),IF(C1211&gt;0,VLOOKUP(C1211,КФСР!A529:B2041,2),IF(D1211&gt;0,VLOOKUP(D1211,Программа!A$1:B$5100,2),IF(F1211&gt;0,VLOOKUP(F1211,КВР!A$1:B$5001,2),IF(E1211&gt;0,VLOOKUP(E1211,Направление!A$1:B$4830,2))))))</f>
        <v>Непрограммные расходы бюджета</v>
      </c>
      <c r="B1211" s="184"/>
      <c r="C1211" s="153"/>
      <c r="D1211" s="178" t="s">
        <v>626</v>
      </c>
      <c r="E1211" s="179"/>
      <c r="F1211" s="181"/>
      <c r="G1211" s="504">
        <v>1966995</v>
      </c>
      <c r="H1211" s="159">
        <f>H1212+H1217+H1219</f>
        <v>19503</v>
      </c>
      <c r="I1211" s="161">
        <f t="shared" si="24"/>
        <v>1986498</v>
      </c>
    </row>
    <row r="1212" spans="1:9" x14ac:dyDescent="0.25">
      <c r="A1212" s="157" t="str">
        <f>IF(B1212&gt;0,VLOOKUP(B1212,КВСР!A530:B1695,2),IF(C1212&gt;0,VLOOKUP(C1212,КФСР!A530:B2042,2),IF(D1212&gt;0,VLOOKUP(D1212,Программа!A$1:B$5100,2),IF(F1212&gt;0,VLOOKUP(F1212,КВР!A$1:B$5001,2),IF(E1212&gt;0,VLOOKUP(E1212,Направление!A$1:B$4830,2))))))</f>
        <v>Содержание центрального аппарата</v>
      </c>
      <c r="B1212" s="184"/>
      <c r="C1212" s="179"/>
      <c r="D1212" s="154"/>
      <c r="E1212" s="153">
        <v>12010</v>
      </c>
      <c r="F1212" s="181"/>
      <c r="G1212" s="504">
        <v>978916</v>
      </c>
      <c r="H1212" s="159">
        <f>H1213+H1214+H1216+H1215</f>
        <v>16253</v>
      </c>
      <c r="I1212" s="161">
        <f t="shared" si="24"/>
        <v>995169</v>
      </c>
    </row>
    <row r="1213" spans="1:9" ht="126" x14ac:dyDescent="0.25">
      <c r="A1213" s="157" t="str">
        <f>IF(B1213&gt;0,VLOOKUP(B1213,КВСР!A531:B1696,2),IF(C1213&gt;0,VLOOKUP(C1213,КФСР!A531:B2043,2),IF(D1213&gt;0,VLOOKUP(D1213,Программа!A$1:B$5100,2),IF(F1213&gt;0,VLOOKUP(F1213,КВР!A$1:B$5001,2),IF(E1213&gt;0,VLOOKUP(E1213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3" s="184"/>
      <c r="C1213" s="179"/>
      <c r="D1213" s="181"/>
      <c r="E1213" s="179"/>
      <c r="F1213" s="181">
        <v>100</v>
      </c>
      <c r="G1213" s="502">
        <v>883579</v>
      </c>
      <c r="H1213" s="160">
        <f>24663+10637</f>
        <v>35300</v>
      </c>
      <c r="I1213" s="161">
        <f t="shared" si="24"/>
        <v>918879</v>
      </c>
    </row>
    <row r="1214" spans="1:9" ht="63" x14ac:dyDescent="0.25">
      <c r="A1214" s="157" t="str">
        <f>IF(B1214&gt;0,VLOOKUP(B1214,КВСР!A532:B1697,2),IF(C1214&gt;0,VLOOKUP(C1214,КФСР!A532:B2044,2),IF(D1214&gt;0,VLOOKUP(D1214,Программа!A$1:B$5100,2),IF(F1214&gt;0,VLOOKUP(F1214,КВР!A$1:B$5001,2),IF(E1214&gt;0,VLOOKUP(E1214,Направление!A$1:B$4830,2))))))</f>
        <v xml:space="preserve">Закупка товаров, работ и услуг для обеспечения государственных (муниципальных) нужд
</v>
      </c>
      <c r="B1214" s="184"/>
      <c r="C1214" s="179"/>
      <c r="D1214" s="181"/>
      <c r="E1214" s="179"/>
      <c r="F1214" s="181">
        <v>200</v>
      </c>
      <c r="G1214" s="502">
        <v>62574</v>
      </c>
      <c r="H1214" s="160">
        <v>-19047</v>
      </c>
      <c r="I1214" s="161">
        <f t="shared" si="24"/>
        <v>43527</v>
      </c>
    </row>
    <row r="1215" spans="1:9" ht="31.5" x14ac:dyDescent="0.25">
      <c r="A1215" s="157" t="str">
        <f>IF(B1215&gt;0,VLOOKUP(B1215,КВСР!A533:B1698,2),IF(C1215&gt;0,VLOOKUP(C1215,КФСР!A533:B2045,2),IF(D1215&gt;0,VLOOKUP(D1215,Программа!A$1:B$5100,2),IF(F1215&gt;0,VLOOKUP(F1215,КВР!A$1:B$5001,2),IF(E1215&gt;0,VLOOKUP(E1215,Направление!A$1:B$4830,2))))))</f>
        <v>Социальное обеспечение и иные выплаты населению</v>
      </c>
      <c r="B1215" s="184"/>
      <c r="C1215" s="179"/>
      <c r="D1215" s="181"/>
      <c r="E1215" s="179"/>
      <c r="F1215" s="181">
        <v>300</v>
      </c>
      <c r="G1215" s="502">
        <v>32163</v>
      </c>
      <c r="H1215" s="160"/>
      <c r="I1215" s="161">
        <f t="shared" si="24"/>
        <v>32163</v>
      </c>
    </row>
    <row r="1216" spans="1:9" x14ac:dyDescent="0.25">
      <c r="A1216" s="157" t="str">
        <f>IF(B1216&gt;0,VLOOKUP(B1216,КВСР!A533:B1698,2),IF(C1216&gt;0,VLOOKUP(C1216,КФСР!A533:B2045,2),IF(D1216&gt;0,VLOOKUP(D1216,Программа!A$1:B$5100,2),IF(F1216&gt;0,VLOOKUP(F1216,КВР!A$1:B$5001,2),IF(E1216&gt;0,VLOOKUP(E1216,Направление!A$1:B$4830,2))))))</f>
        <v>Иные бюджетные ассигнования</v>
      </c>
      <c r="B1216" s="184"/>
      <c r="C1216" s="179"/>
      <c r="D1216" s="181"/>
      <c r="E1216" s="179"/>
      <c r="F1216" s="181">
        <v>800</v>
      </c>
      <c r="G1216" s="502">
        <v>600</v>
      </c>
      <c r="H1216" s="160"/>
      <c r="I1216" s="161">
        <f t="shared" si="24"/>
        <v>600</v>
      </c>
    </row>
    <row r="1217" spans="1:9" ht="47.25" x14ac:dyDescent="0.25">
      <c r="A1217" s="157" t="str">
        <f>IF(B1217&gt;0,VLOOKUP(B1217,КВСР!A534:B1699,2),IF(C1217&gt;0,VLOOKUP(C1217,КФСР!A534:B2046,2),IF(D1217&gt;0,VLOOKUP(D1217,Программа!A$1:B$5100,2),IF(F1217&gt;0,VLOOKUP(F1217,КВР!A$1:B$5001,2),IF(E1217&gt;0,VLOOKUP(E1217,Направление!A$1:B$4830,2))))))</f>
        <v>Содержание руководителя контрольно-счетной палаты муниципального образования и его заместителей</v>
      </c>
      <c r="B1217" s="184"/>
      <c r="C1217" s="179"/>
      <c r="D1217" s="178"/>
      <c r="E1217" s="179">
        <v>12030</v>
      </c>
      <c r="F1217" s="181"/>
      <c r="G1217" s="504">
        <v>934984</v>
      </c>
      <c r="H1217" s="159">
        <f>H1218</f>
        <v>3250</v>
      </c>
      <c r="I1217" s="161">
        <f t="shared" si="24"/>
        <v>938234</v>
      </c>
    </row>
    <row r="1218" spans="1:9" ht="126" x14ac:dyDescent="0.25">
      <c r="A1218" s="157" t="str">
        <f>IF(B1218&gt;0,VLOOKUP(B1218,КВСР!A535:B1700,2),IF(C1218&gt;0,VLOOKUP(C1218,КФСР!A535:B2047,2),IF(D1218&gt;0,VLOOKUP(D1218,Программа!A$1:B$5100,2),IF(F1218&gt;0,VLOOKUP(F1218,КВР!A$1:B$5001,2),IF(E1218&gt;0,VLOOKUP(E1218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8" s="184"/>
      <c r="C1218" s="179"/>
      <c r="D1218" s="181"/>
      <c r="E1218" s="179"/>
      <c r="F1218" s="181">
        <v>100</v>
      </c>
      <c r="G1218" s="502">
        <v>934984</v>
      </c>
      <c r="H1218" s="160">
        <f>-16253+19503</f>
        <v>3250</v>
      </c>
      <c r="I1218" s="161">
        <f t="shared" si="24"/>
        <v>938234</v>
      </c>
    </row>
    <row r="1219" spans="1:9" ht="47.25" x14ac:dyDescent="0.25">
      <c r="A1219" s="157" t="str">
        <f>IF(B1219&gt;0,VLOOKUP(B1219,КВСР!A536:B1701,2),IF(C1219&gt;0,VLOOKUP(C1219,КФСР!A536:B2048,2),IF(D1219&gt;0,VLOOKUP(D1219,Программа!A$1:B$5100,2),IF(F1219&gt;0,VLOOKUP(F1219,КВР!A$1:B$5001,2),IF(E1219&gt;0,VLOOKUP(E1219,Направление!A$1:B$4830,2))))))</f>
        <v>Содержание органов местного самоуправления за счет средств поселений</v>
      </c>
      <c r="B1219" s="184"/>
      <c r="C1219" s="179"/>
      <c r="D1219" s="181"/>
      <c r="E1219" s="179">
        <v>29016</v>
      </c>
      <c r="F1219" s="181"/>
      <c r="G1219" s="504">
        <v>53095</v>
      </c>
      <c r="H1219" s="159">
        <f>H1221+H1220</f>
        <v>0</v>
      </c>
      <c r="I1219" s="161">
        <f t="shared" si="24"/>
        <v>53095</v>
      </c>
    </row>
    <row r="1220" spans="1:9" ht="126" x14ac:dyDescent="0.25">
      <c r="A1220" s="157" t="str">
        <f>IF(B1220&gt;0,VLOOKUP(B1220,КВСР!A537:B1702,2),IF(C1220&gt;0,VLOOKUP(C1220,КФСР!A537:B2049,2),IF(D1220&gt;0,VLOOKUP(D1220,Программа!A$1:B$5100,2),IF(F1220&gt;0,VLOOKUP(F1220,КВР!A$1:B$5001,2),IF(E1220&gt;0,VLOOKUP(E1220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20" s="184"/>
      <c r="C1220" s="179"/>
      <c r="D1220" s="181"/>
      <c r="E1220" s="179"/>
      <c r="F1220" s="181">
        <v>100</v>
      </c>
      <c r="G1220" s="617">
        <v>48268</v>
      </c>
      <c r="H1220" s="175"/>
      <c r="I1220" s="161">
        <f t="shared" si="24"/>
        <v>48268</v>
      </c>
    </row>
    <row r="1221" spans="1:9" ht="63" x14ac:dyDescent="0.25">
      <c r="A1221" s="157" t="str">
        <f>IF(B1221&gt;0,VLOOKUP(B1221,КВСР!A537:B1702,2),IF(C1221&gt;0,VLOOKUP(C1221,КФСР!A537:B2049,2),IF(D1221&gt;0,VLOOKUP(D1221,Программа!A$1:B$5100,2),IF(F1221&gt;0,VLOOKUP(F1221,КВР!A$1:B$5001,2),IF(E1221&gt;0,VLOOKUP(E1221,Направление!A$1:B$4830,2))))))</f>
        <v xml:space="preserve">Закупка товаров, работ и услуг для обеспечения государственных (муниципальных) нужд
</v>
      </c>
      <c r="B1221" s="184"/>
      <c r="C1221" s="179"/>
      <c r="D1221" s="181"/>
      <c r="E1221" s="179"/>
      <c r="F1221" s="181">
        <v>200</v>
      </c>
      <c r="G1221" s="502">
        <v>4827</v>
      </c>
      <c r="H1221" s="160"/>
      <c r="I1221" s="161">
        <f>SUM(G1221:H1221)</f>
        <v>4827</v>
      </c>
    </row>
    <row r="1222" spans="1:9" x14ac:dyDescent="0.25">
      <c r="A1222" s="190" t="s">
        <v>177</v>
      </c>
      <c r="B1222" s="154"/>
      <c r="C1222" s="154"/>
      <c r="D1222" s="155"/>
      <c r="E1222" s="153"/>
      <c r="F1222" s="154"/>
      <c r="G1222" s="610">
        <v>2267157687.8400002</v>
      </c>
      <c r="H1222" s="156">
        <f>SUM(H10+H336+H377+H637+H781+H833+H1014+H1209)</f>
        <v>-16897035.259999998</v>
      </c>
      <c r="I1222" s="625">
        <f>SUM(G1222:H1222)-1</f>
        <v>2250260651.5799999</v>
      </c>
    </row>
    <row r="1226" spans="1:9" x14ac:dyDescent="0.25">
      <c r="G1226" s="191"/>
    </row>
  </sheetData>
  <autoFilter ref="A8:I1222">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1"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4"/>
  <sheetViews>
    <sheetView showGridLines="0" view="pageBreakPreview" zoomScaleSheetLayoutView="100" workbookViewId="0">
      <selection activeCell="K62" sqref="K62"/>
    </sheetView>
  </sheetViews>
  <sheetFormatPr defaultColWidth="9.140625" defaultRowHeight="12.75" x14ac:dyDescent="0.2"/>
  <cols>
    <col min="1" max="1" width="32.85546875" style="41" customWidth="1"/>
    <col min="2" max="2" width="7.5703125" style="41" customWidth="1"/>
    <col min="3" max="3" width="6.28515625" style="41" customWidth="1"/>
    <col min="4" max="4" width="12" style="192" customWidth="1"/>
    <col min="5" max="5" width="7.5703125" style="193" bestFit="1" customWidth="1"/>
    <col min="6" max="6" width="7.28515625" style="41" customWidth="1"/>
    <col min="7" max="7" width="14" style="582" customWidth="1"/>
    <col min="8" max="8" width="15.85546875" style="41" customWidth="1"/>
    <col min="9" max="9" width="14.140625" style="41" customWidth="1"/>
    <col min="10" max="10" width="14.140625" style="582" customWidth="1"/>
    <col min="11" max="12" width="14.140625" style="41" customWidth="1"/>
    <col min="13" max="16384" width="9.140625" style="41"/>
  </cols>
  <sheetData>
    <row r="1" spans="1:12" ht="15.75" x14ac:dyDescent="0.25">
      <c r="A1" s="868" t="s">
        <v>340</v>
      </c>
      <c r="B1" s="868"/>
      <c r="C1" s="868"/>
      <c r="D1" s="868"/>
      <c r="E1" s="868"/>
      <c r="F1" s="868"/>
      <c r="G1" s="868"/>
      <c r="H1" s="868"/>
      <c r="I1" s="868"/>
      <c r="J1" s="868"/>
      <c r="K1" s="868"/>
      <c r="L1" s="868"/>
    </row>
    <row r="2" spans="1:12" ht="15.75" x14ac:dyDescent="0.25">
      <c r="A2" s="868" t="s">
        <v>1</v>
      </c>
      <c r="B2" s="868"/>
      <c r="C2" s="868"/>
      <c r="D2" s="868"/>
      <c r="E2" s="868"/>
      <c r="F2" s="868"/>
      <c r="G2" s="868"/>
      <c r="H2" s="868"/>
      <c r="I2" s="868"/>
      <c r="J2" s="868"/>
      <c r="K2" s="868"/>
      <c r="L2" s="868"/>
    </row>
    <row r="3" spans="1:12" ht="15.75" x14ac:dyDescent="0.25">
      <c r="A3" s="868" t="s">
        <v>2</v>
      </c>
      <c r="B3" s="868"/>
      <c r="C3" s="868"/>
      <c r="D3" s="868"/>
      <c r="E3" s="868"/>
      <c r="F3" s="868"/>
      <c r="G3" s="868"/>
      <c r="H3" s="868"/>
      <c r="I3" s="868"/>
      <c r="J3" s="868"/>
      <c r="K3" s="868"/>
      <c r="L3" s="868"/>
    </row>
    <row r="4" spans="1:12" ht="15.75" x14ac:dyDescent="0.25">
      <c r="A4" s="868" t="s">
        <v>3341</v>
      </c>
      <c r="B4" s="868"/>
      <c r="C4" s="868"/>
      <c r="D4" s="868"/>
      <c r="E4" s="868"/>
      <c r="F4" s="868"/>
      <c r="G4" s="868"/>
      <c r="H4" s="868"/>
      <c r="I4" s="868"/>
      <c r="J4" s="868"/>
      <c r="K4" s="868"/>
      <c r="L4" s="868"/>
    </row>
    <row r="5" spans="1:12" ht="15.75" x14ac:dyDescent="0.25">
      <c r="A5" s="140"/>
      <c r="B5" s="141"/>
      <c r="C5" s="141"/>
      <c r="D5" s="142"/>
      <c r="E5" s="143"/>
      <c r="F5" s="141"/>
      <c r="G5" s="883"/>
      <c r="H5" s="883"/>
      <c r="I5" s="883"/>
      <c r="J5" s="883"/>
      <c r="K5" s="883"/>
      <c r="L5" s="883"/>
    </row>
    <row r="6" spans="1:12" ht="39" customHeight="1" x14ac:dyDescent="0.3">
      <c r="A6" s="978" t="s">
        <v>3154</v>
      </c>
      <c r="B6" s="978"/>
      <c r="C6" s="978"/>
      <c r="D6" s="978"/>
      <c r="E6" s="978"/>
      <c r="F6" s="978"/>
      <c r="G6" s="978"/>
      <c r="H6" s="978"/>
      <c r="I6" s="978"/>
      <c r="J6" s="978"/>
      <c r="K6" s="978"/>
      <c r="L6" s="978"/>
    </row>
    <row r="7" spans="1:12" ht="15.75" x14ac:dyDescent="0.25">
      <c r="A7" s="136"/>
      <c r="B7" s="137"/>
      <c r="C7" s="137"/>
      <c r="D7" s="138"/>
      <c r="E7" s="139"/>
      <c r="F7" s="137"/>
      <c r="G7" s="975"/>
      <c r="H7" s="975"/>
      <c r="I7" s="975"/>
      <c r="J7" s="975"/>
      <c r="K7" s="975"/>
      <c r="L7" s="975"/>
    </row>
    <row r="8" spans="1:12" ht="12.75" customHeight="1" x14ac:dyDescent="0.2">
      <c r="A8" s="970" t="s">
        <v>191</v>
      </c>
      <c r="B8" s="973" t="s">
        <v>618</v>
      </c>
      <c r="C8" s="973" t="s">
        <v>619</v>
      </c>
      <c r="D8" s="974" t="s">
        <v>620</v>
      </c>
      <c r="E8" s="974"/>
      <c r="F8" s="973" t="s">
        <v>621</v>
      </c>
      <c r="G8" s="976" t="s">
        <v>341</v>
      </c>
      <c r="H8" s="970" t="s">
        <v>997</v>
      </c>
      <c r="I8" s="970" t="s">
        <v>341</v>
      </c>
      <c r="J8" s="976" t="s">
        <v>3141</v>
      </c>
      <c r="K8" s="970" t="s">
        <v>997</v>
      </c>
      <c r="L8" s="970" t="s">
        <v>3141</v>
      </c>
    </row>
    <row r="9" spans="1:12" ht="36" customHeight="1" x14ac:dyDescent="0.2">
      <c r="A9" s="970"/>
      <c r="B9" s="973"/>
      <c r="C9" s="973"/>
      <c r="D9" s="148" t="s">
        <v>622</v>
      </c>
      <c r="E9" s="149" t="s">
        <v>623</v>
      </c>
      <c r="F9" s="973"/>
      <c r="G9" s="977"/>
      <c r="H9" s="971"/>
      <c r="I9" s="971"/>
      <c r="J9" s="977"/>
      <c r="K9" s="971"/>
      <c r="L9" s="971"/>
    </row>
    <row r="10" spans="1:12" ht="47.25" x14ac:dyDescent="0.2">
      <c r="A10" s="151"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52">
        <v>950</v>
      </c>
      <c r="C10" s="153"/>
      <c r="D10" s="154"/>
      <c r="E10" s="153"/>
      <c r="F10" s="155"/>
      <c r="G10" s="610">
        <v>89732194</v>
      </c>
      <c r="H10" s="610">
        <f>H11+H15+H21+H25+H43+H51+H72</f>
        <v>0</v>
      </c>
      <c r="I10" s="625">
        <f t="shared" ref="I10:I15" si="0">SUM(G10:H10)</f>
        <v>89732194</v>
      </c>
      <c r="J10" s="610">
        <v>82090099</v>
      </c>
      <c r="K10" s="610">
        <f>K11+K15+K21+K25+K43+K51+K72</f>
        <v>0</v>
      </c>
      <c r="L10" s="625">
        <f t="shared" ref="L10:L15" si="1">SUM(J10:K10)</f>
        <v>82090099</v>
      </c>
    </row>
    <row r="11" spans="1:12" ht="94.5" x14ac:dyDescent="0.2">
      <c r="A11" s="157"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8"/>
      <c r="C11" s="153">
        <v>102</v>
      </c>
      <c r="D11" s="154"/>
      <c r="E11" s="153"/>
      <c r="F11" s="155"/>
      <c r="G11" s="504">
        <v>1511279</v>
      </c>
      <c r="H11" s="159">
        <f>H12</f>
        <v>0</v>
      </c>
      <c r="I11" s="159">
        <f t="shared" si="0"/>
        <v>1511279</v>
      </c>
      <c r="J11" s="504">
        <v>1511279</v>
      </c>
      <c r="K11" s="159">
        <f>K12</f>
        <v>0</v>
      </c>
      <c r="L11" s="159">
        <f t="shared" si="1"/>
        <v>1511279</v>
      </c>
    </row>
    <row r="12" spans="1:12" ht="31.5" x14ac:dyDescent="0.2">
      <c r="A12" s="157" t="str">
        <f>IF(B12&gt;0,VLOOKUP(B12,КВСР!A3:B1168,2),IF(C12&gt;0,VLOOKUP(C12,КФСР!A3:B1515,2),IF(D12&gt;0,VLOOKUP(D12,Программа!A$1:B$5100,2),IF(F12&gt;0,VLOOKUP(F12,КВР!A$1:B$5001,2),IF(E12&gt;0,VLOOKUP(E12,Направление!A$1:B$4830,2))))))</f>
        <v>Непрограммные расходы бюджета</v>
      </c>
      <c r="B12" s="158"/>
      <c r="C12" s="153"/>
      <c r="D12" s="154" t="s">
        <v>626</v>
      </c>
      <c r="E12" s="153"/>
      <c r="F12" s="155"/>
      <c r="G12" s="504">
        <v>1511279</v>
      </c>
      <c r="H12" s="159">
        <f>H13</f>
        <v>0</v>
      </c>
      <c r="I12" s="159">
        <f t="shared" si="0"/>
        <v>1511279</v>
      </c>
      <c r="J12" s="504">
        <v>1511279</v>
      </c>
      <c r="K12" s="159">
        <f>K13</f>
        <v>0</v>
      </c>
      <c r="L12" s="159">
        <f t="shared" si="1"/>
        <v>1511279</v>
      </c>
    </row>
    <row r="13" spans="1:12" ht="47.25" x14ac:dyDescent="0.2">
      <c r="A13" s="157"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8"/>
      <c r="C13" s="153"/>
      <c r="D13" s="154"/>
      <c r="E13" s="153">
        <v>12020</v>
      </c>
      <c r="F13" s="155"/>
      <c r="G13" s="504">
        <v>1511279</v>
      </c>
      <c r="H13" s="159">
        <f>H14</f>
        <v>0</v>
      </c>
      <c r="I13" s="159">
        <f t="shared" si="0"/>
        <v>1511279</v>
      </c>
      <c r="J13" s="504">
        <v>1511279</v>
      </c>
      <c r="K13" s="159">
        <f>K14</f>
        <v>0</v>
      </c>
      <c r="L13" s="159">
        <f t="shared" si="1"/>
        <v>1511279</v>
      </c>
    </row>
    <row r="14" spans="1:12" ht="173.25" x14ac:dyDescent="0.2">
      <c r="A14" s="157"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8"/>
      <c r="C14" s="153"/>
      <c r="D14" s="154"/>
      <c r="E14" s="153"/>
      <c r="F14" s="155">
        <v>100</v>
      </c>
      <c r="G14" s="495">
        <v>1511279</v>
      </c>
      <c r="H14" s="194"/>
      <c r="I14" s="159">
        <f t="shared" si="0"/>
        <v>1511279</v>
      </c>
      <c r="J14" s="495">
        <v>1511279</v>
      </c>
      <c r="K14" s="194"/>
      <c r="L14" s="159">
        <f t="shared" si="1"/>
        <v>1511279</v>
      </c>
    </row>
    <row r="15" spans="1:12" ht="126" x14ac:dyDescent="0.2">
      <c r="A15" s="157"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8"/>
      <c r="C15" s="153">
        <v>104</v>
      </c>
      <c r="D15" s="154"/>
      <c r="E15" s="153"/>
      <c r="F15" s="155"/>
      <c r="G15" s="504">
        <v>25979850</v>
      </c>
      <c r="H15" s="159">
        <f>H16</f>
        <v>0</v>
      </c>
      <c r="I15" s="159">
        <f t="shared" si="0"/>
        <v>25979850</v>
      </c>
      <c r="J15" s="504">
        <v>25979850</v>
      </c>
      <c r="K15" s="159">
        <f>K16</f>
        <v>0</v>
      </c>
      <c r="L15" s="159">
        <f t="shared" si="1"/>
        <v>25979850</v>
      </c>
    </row>
    <row r="16" spans="1:12" ht="31.5" x14ac:dyDescent="0.2">
      <c r="A16" s="157" t="str">
        <f>IF(B16&gt;0,VLOOKUP(B16,КВСР!A8:B1173,2),IF(C16&gt;0,VLOOKUP(C16,КФСР!A8:B1520,2),IF(D16&gt;0,VLOOKUP(D16,Программа!A$1:B$5100,2),IF(F16&gt;0,VLOOKUP(F16,КВР!A$1:B$5001,2),IF(E16&gt;0,VLOOKUP(E16,Направление!A$1:B$4830,2))))))</f>
        <v>Непрограммные расходы бюджета</v>
      </c>
      <c r="B16" s="158"/>
      <c r="C16" s="153"/>
      <c r="D16" s="154" t="s">
        <v>626</v>
      </c>
      <c r="E16" s="153"/>
      <c r="F16" s="155"/>
      <c r="G16" s="504">
        <v>25979850</v>
      </c>
      <c r="H16" s="504">
        <f>H17</f>
        <v>0</v>
      </c>
      <c r="I16" s="504">
        <f>I17</f>
        <v>25979850</v>
      </c>
      <c r="J16" s="504">
        <v>25979850</v>
      </c>
      <c r="K16" s="504">
        <f>K17</f>
        <v>0</v>
      </c>
      <c r="L16" s="504">
        <f>L17</f>
        <v>25979850</v>
      </c>
    </row>
    <row r="17" spans="1:12" ht="31.5" x14ac:dyDescent="0.2">
      <c r="A17" s="157" t="str">
        <f>IF(B17&gt;0,VLOOKUP(B17,КВСР!A9:B1174,2),IF(C17&gt;0,VLOOKUP(C17,КФСР!A9:B1521,2),IF(D17&gt;0,VLOOKUP(D17,Программа!A$1:B$5100,2),IF(F17&gt;0,VLOOKUP(F17,КВР!A$1:B$5001,2),IF(E17&gt;0,VLOOKUP(E17,Направление!A$1:B$4830,2))))))</f>
        <v>Содержание центрального аппарата</v>
      </c>
      <c r="B17" s="158"/>
      <c r="C17" s="153"/>
      <c r="D17" s="154"/>
      <c r="E17" s="153">
        <v>12010</v>
      </c>
      <c r="F17" s="155"/>
      <c r="G17" s="504">
        <v>25979850</v>
      </c>
      <c r="H17" s="504">
        <f>H18+H19+H20</f>
        <v>0</v>
      </c>
      <c r="I17" s="504">
        <f>I18+I19+I20</f>
        <v>25979850</v>
      </c>
      <c r="J17" s="504">
        <v>25979850</v>
      </c>
      <c r="K17" s="504">
        <f>K18+K19+K20</f>
        <v>0</v>
      </c>
      <c r="L17" s="504">
        <f>L18+L19+L20</f>
        <v>25979850</v>
      </c>
    </row>
    <row r="18" spans="1:12" ht="173.25" x14ac:dyDescent="0.2">
      <c r="A18" s="157" t="str">
        <f>IF(B18&gt;0,VLOOKUP(B18,КВСР!A10:B1175,2),IF(C18&gt;0,VLOOKUP(C18,КФСР!A10:B1522,2),IF(D18&gt;0,VLOOKUP(D18,Программа!A$1:B$5100,2),IF(F18&gt;0,VLOOKUP(F18,КВР!A$1:B$5001,2),IF(E18&gt;0,VLOOKUP(E18,Направление!A$1:B$4830,2))))))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 s="158"/>
      <c r="C18" s="153"/>
      <c r="D18" s="154"/>
      <c r="E18" s="153"/>
      <c r="F18" s="155">
        <v>100</v>
      </c>
      <c r="G18" s="495">
        <v>22927115</v>
      </c>
      <c r="H18" s="194"/>
      <c r="I18" s="159">
        <f t="shared" ref="I18:I130" si="2">SUM(G18:H18)</f>
        <v>22927115</v>
      </c>
      <c r="J18" s="495">
        <v>22927115</v>
      </c>
      <c r="K18" s="194"/>
      <c r="L18" s="159">
        <f t="shared" ref="L18:L130" si="3">SUM(J18:K18)</f>
        <v>22927115</v>
      </c>
    </row>
    <row r="19" spans="1:12" ht="78.75" x14ac:dyDescent="0.2">
      <c r="A19" s="157" t="str">
        <f>IF(B19&gt;0,VLOOKUP(B19,КВСР!A13:B1178,2),IF(C19&gt;0,VLOOKUP(C19,КФСР!A13:B1525,2),IF(D19&gt;0,VLOOKUP(D19,Программа!A$1:B$5100,2),IF(F19&gt;0,VLOOKUP(F19,КВР!A$1:B$5001,2),IF(E19&gt;0,VLOOKUP(E19,Направление!A$1:B$4830,2))))))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8"/>
      <c r="C19" s="153"/>
      <c r="D19" s="154"/>
      <c r="E19" s="153"/>
      <c r="F19" s="155">
        <v>200</v>
      </c>
      <c r="G19" s="495">
        <v>2545679</v>
      </c>
      <c r="H19" s="194"/>
      <c r="I19" s="159">
        <f t="shared" si="2"/>
        <v>2545679</v>
      </c>
      <c r="J19" s="495">
        <v>2545679</v>
      </c>
      <c r="K19" s="194"/>
      <c r="L19" s="159">
        <f t="shared" si="3"/>
        <v>2545679</v>
      </c>
    </row>
    <row r="20" spans="1:12" ht="31.5" x14ac:dyDescent="0.2">
      <c r="A20" s="157" t="str">
        <f>IF(B20&gt;0,VLOOKUP(B20,КВСР!A14:B1179,2),IF(C20&gt;0,VLOOKUP(C20,КФСР!A14:B1526,2),IF(D20&gt;0,VLOOKUP(D20,Программа!A$1:B$5100,2),IF(F20&gt;0,VLOOKUP(F20,КВР!A$1:B$5001,2),IF(E20&gt;0,VLOOKUP(E20,Направление!A$1:B$4830,2))))))</f>
        <v>Иные бюджетные ассигнования</v>
      </c>
      <c r="B20" s="158"/>
      <c r="C20" s="153"/>
      <c r="D20" s="154"/>
      <c r="E20" s="153"/>
      <c r="F20" s="155">
        <v>800</v>
      </c>
      <c r="G20" s="495">
        <v>507056</v>
      </c>
      <c r="H20" s="194"/>
      <c r="I20" s="159">
        <f t="shared" si="2"/>
        <v>507056</v>
      </c>
      <c r="J20" s="495">
        <v>507056</v>
      </c>
      <c r="K20" s="194"/>
      <c r="L20" s="159">
        <f t="shared" si="3"/>
        <v>507056</v>
      </c>
    </row>
    <row r="21" spans="1:12" ht="15.75" x14ac:dyDescent="0.2">
      <c r="A21" s="157" t="str">
        <f>IF(B21&gt;0,VLOOKUP(B21,КВСР!A14:B1179,2),IF(C21&gt;0,VLOOKUP(C21,КФСР!A14:B1526,2),IF(D21&gt;0,VLOOKUP(D21,Программа!A$1:B$5100,2),IF(F21&gt;0,VLOOKUP(F21,КВР!A$1:B$5001,2),IF(E21&gt;0,VLOOKUP(E21,Направление!A$1:B$4830,2))))))</f>
        <v>Резервные фонды</v>
      </c>
      <c r="B21" s="158"/>
      <c r="C21" s="153">
        <v>111</v>
      </c>
      <c r="D21" s="154"/>
      <c r="E21" s="153"/>
      <c r="F21" s="155"/>
      <c r="G21" s="504">
        <v>3000000</v>
      </c>
      <c r="H21" s="159">
        <f>H22</f>
        <v>0</v>
      </c>
      <c r="I21" s="159">
        <f t="shared" si="2"/>
        <v>3000000</v>
      </c>
      <c r="J21" s="504">
        <v>3000000</v>
      </c>
      <c r="K21" s="159">
        <f>K22</f>
        <v>0</v>
      </c>
      <c r="L21" s="159">
        <f t="shared" si="3"/>
        <v>3000000</v>
      </c>
    </row>
    <row r="22" spans="1:12" ht="31.5" x14ac:dyDescent="0.2">
      <c r="A22" s="157" t="str">
        <f>IF(B22&gt;0,VLOOKUP(B22,КВСР!A22:B1187,2),IF(C22&gt;0,VLOOKUP(C22,КФСР!A22:B1534,2),IF(D22&gt;0,VLOOKUP(D22,Программа!A$1:B$5100,2),IF(F22&gt;0,VLOOKUP(F22,КВР!A$1:B$5001,2),IF(E22&gt;0,VLOOKUP(E22,Направление!A$1:B$4830,2))))))</f>
        <v>Непрограммные расходы бюджета</v>
      </c>
      <c r="B22" s="158"/>
      <c r="C22" s="153"/>
      <c r="D22" s="154" t="s">
        <v>626</v>
      </c>
      <c r="E22" s="153"/>
      <c r="F22" s="155"/>
      <c r="G22" s="504">
        <v>3000000</v>
      </c>
      <c r="H22" s="159">
        <f>H23</f>
        <v>0</v>
      </c>
      <c r="I22" s="159">
        <f t="shared" si="2"/>
        <v>3000000</v>
      </c>
      <c r="J22" s="504">
        <v>3000000</v>
      </c>
      <c r="K22" s="159">
        <f>K23</f>
        <v>0</v>
      </c>
      <c r="L22" s="159">
        <f t="shared" si="3"/>
        <v>3000000</v>
      </c>
    </row>
    <row r="23" spans="1:12" ht="31.5" x14ac:dyDescent="0.2">
      <c r="A23" s="157" t="str">
        <f>IF(B23&gt;0,VLOOKUP(B23,КВСР!A23:B1188,2),IF(C23&gt;0,VLOOKUP(C23,КФСР!A23:B1535,2),IF(D23&gt;0,VLOOKUP(D23,Программа!A$1:B$5100,2),IF(F23&gt;0,VLOOKUP(F23,КВР!A$1:B$5001,2),IF(E23&gt;0,VLOOKUP(E23,Направление!A$1:B$4830,2))))))</f>
        <v>Резервные фонды местных администраций</v>
      </c>
      <c r="B23" s="158"/>
      <c r="C23" s="153"/>
      <c r="D23" s="154"/>
      <c r="E23" s="153">
        <v>12900</v>
      </c>
      <c r="F23" s="155"/>
      <c r="G23" s="504">
        <v>3000000</v>
      </c>
      <c r="H23" s="159">
        <f>H24</f>
        <v>0</v>
      </c>
      <c r="I23" s="159">
        <f t="shared" si="2"/>
        <v>3000000</v>
      </c>
      <c r="J23" s="504">
        <v>3000000</v>
      </c>
      <c r="K23" s="159">
        <f>K24</f>
        <v>0</v>
      </c>
      <c r="L23" s="159">
        <f t="shared" si="3"/>
        <v>3000000</v>
      </c>
    </row>
    <row r="24" spans="1:12" ht="31.5" x14ac:dyDescent="0.2">
      <c r="A24" s="157" t="str">
        <f>IF(B24&gt;0,VLOOKUP(B24,КВСР!A24:B1189,2),IF(C24&gt;0,VLOOKUP(C24,КФСР!A24:B1536,2),IF(D24&gt;0,VLOOKUP(D24,Программа!A$1:B$5100,2),IF(F24&gt;0,VLOOKUP(F24,КВР!A$1:B$5001,2),IF(E24&gt;0,VLOOKUP(E24,Направление!A$1:B$4830,2))))))</f>
        <v>Иные бюджетные ассигнования</v>
      </c>
      <c r="B24" s="158"/>
      <c r="C24" s="153"/>
      <c r="D24" s="154"/>
      <c r="E24" s="153"/>
      <c r="F24" s="155">
        <v>800</v>
      </c>
      <c r="G24" s="495">
        <v>3000000</v>
      </c>
      <c r="H24" s="194"/>
      <c r="I24" s="159">
        <f t="shared" si="2"/>
        <v>3000000</v>
      </c>
      <c r="J24" s="495">
        <v>3000000</v>
      </c>
      <c r="K24" s="194"/>
      <c r="L24" s="159">
        <f t="shared" si="3"/>
        <v>3000000</v>
      </c>
    </row>
    <row r="25" spans="1:12" ht="47.25" x14ac:dyDescent="0.2">
      <c r="A25" s="157" t="str">
        <f>IF(B25&gt;0,VLOOKUP(B25,КВСР!A25:B1190,2),IF(C25&gt;0,VLOOKUP(C25,КФСР!A25:B1537,2),IF(D25&gt;0,VLOOKUP(D25,Программа!A$1:B$5100,2),IF(F25&gt;0,VLOOKUP(F25,КВР!A$1:B$5001,2),IF(E25&gt;0,VLOOKUP(E25,Направление!A$1:B$4830,2))))))</f>
        <v>Другие общегосударственные вопросы</v>
      </c>
      <c r="B25" s="158"/>
      <c r="C25" s="153">
        <v>113</v>
      </c>
      <c r="D25" s="154"/>
      <c r="E25" s="153"/>
      <c r="F25" s="155"/>
      <c r="G25" s="504">
        <v>38900875</v>
      </c>
      <c r="H25" s="159">
        <f>H26</f>
        <v>0</v>
      </c>
      <c r="I25" s="159">
        <f t="shared" si="2"/>
        <v>38900875</v>
      </c>
      <c r="J25" s="504">
        <v>27121630</v>
      </c>
      <c r="K25" s="159">
        <f>K26</f>
        <v>0</v>
      </c>
      <c r="L25" s="159">
        <f t="shared" si="3"/>
        <v>27121630</v>
      </c>
    </row>
    <row r="26" spans="1:12" ht="31.5" x14ac:dyDescent="0.2">
      <c r="A26" s="157" t="str">
        <f>IF(B26&gt;0,VLOOKUP(B26,КВСР!A38:B1203,2),IF(C26&gt;0,VLOOKUP(C26,КФСР!A38:B1550,2),IF(D26&gt;0,VLOOKUP(D26,Программа!A$1:B$5100,2),IF(F26&gt;0,VLOOKUP(F26,КВР!A$1:B$5001,2),IF(E26&gt;0,VLOOKUP(E26,Направление!A$1:B$4830,2))))))</f>
        <v>Непрограммные расходы бюджета</v>
      </c>
      <c r="B26" s="158"/>
      <c r="C26" s="153"/>
      <c r="D26" s="154" t="s">
        <v>626</v>
      </c>
      <c r="E26" s="153"/>
      <c r="F26" s="155"/>
      <c r="G26" s="504">
        <v>38900875</v>
      </c>
      <c r="H26" s="504">
        <f>H37+H40+H27+H32+H34</f>
        <v>0</v>
      </c>
      <c r="I26" s="504">
        <f>I37+I40+I27+I32+I34</f>
        <v>38900875</v>
      </c>
      <c r="J26" s="504">
        <v>27121630</v>
      </c>
      <c r="K26" s="504">
        <f>K37+K40+K27+K32+K34</f>
        <v>0</v>
      </c>
      <c r="L26" s="504">
        <f>L37+L40+L27+L32+L34</f>
        <v>27121630</v>
      </c>
    </row>
    <row r="27" spans="1:12" ht="63" x14ac:dyDescent="0.2">
      <c r="A27" s="157" t="str">
        <f>IF(B27&gt;0,VLOOKUP(B27,КВСР!A39:B1204,2),IF(C27&gt;0,VLOOKUP(C27,КФСР!A39:B1551,2),IF(D27&gt;0,VLOOKUP(D27,Программа!A$1:B$5100,2),IF(F27&gt;0,VLOOKUP(F27,КВР!A$1:B$5001,2),IF(E27&gt;0,VLOOKUP(E27,Направление!A$1:B$4830,2))))))</f>
        <v>Обеспечение деятельности подведомственных учреждений органов местного самоуправления</v>
      </c>
      <c r="B27" s="158"/>
      <c r="C27" s="153"/>
      <c r="D27" s="154"/>
      <c r="E27" s="153">
        <v>12100</v>
      </c>
      <c r="F27" s="155"/>
      <c r="G27" s="504">
        <v>32546437</v>
      </c>
      <c r="H27" s="504">
        <f>H28+H29+H30+H31</f>
        <v>0</v>
      </c>
      <c r="I27" s="504">
        <f>I28+I29+I30+I31</f>
        <v>32546437</v>
      </c>
      <c r="J27" s="504">
        <v>22000000</v>
      </c>
      <c r="K27" s="504">
        <f>K28+K29+K30+K31</f>
        <v>0</v>
      </c>
      <c r="L27" s="504">
        <f>L28+L29+L30+L31</f>
        <v>22000000</v>
      </c>
    </row>
    <row r="28" spans="1:12" ht="173.25" x14ac:dyDescent="0.2">
      <c r="A28" s="157" t="str">
        <f>IF(B28&gt;0,VLOOKUP(B28,КВСР!A40:B1205,2),IF(C28&gt;0,VLOOKUP(C28,КФСР!A40:B1552,2),IF(D28&gt;0,VLOOKUP(D28,Программа!A$1:B$5100,2),IF(F28&gt;0,VLOOKUP(F28,КВР!A$1:B$5001,2),IF(E28&gt;0,VLOOKUP(E28,Направление!A$1:B$4830,2))))))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 s="158"/>
      <c r="C28" s="153"/>
      <c r="D28" s="154"/>
      <c r="E28" s="153"/>
      <c r="F28" s="155">
        <v>100</v>
      </c>
      <c r="G28" s="547">
        <v>10362453</v>
      </c>
      <c r="H28" s="195"/>
      <c r="I28" s="159">
        <f t="shared" si="2"/>
        <v>10362453</v>
      </c>
      <c r="J28" s="547">
        <v>10000000</v>
      </c>
      <c r="K28" s="195"/>
      <c r="L28" s="159">
        <f t="shared" si="3"/>
        <v>10000000</v>
      </c>
    </row>
    <row r="29" spans="1:12" ht="78.75" x14ac:dyDescent="0.2">
      <c r="A29" s="157" t="str">
        <f>IF(B29&gt;0,VLOOKUP(B29,КВСР!A41:B1206,2),IF(C29&gt;0,VLOOKUP(C29,КФСР!A41:B1553,2),IF(D29&gt;0,VLOOKUP(D29,Программа!A$1:B$5100,2),IF(F29&gt;0,VLOOKUP(F29,КВР!A$1:B$5001,2),IF(E29&gt;0,VLOOKUP(E29,Направление!A$1:B$4830,2))))))</f>
        <v xml:space="preserve">Закупка товаров, работ и услуг для обеспечения государственных (муниципальных) нужд
</v>
      </c>
      <c r="B29" s="158"/>
      <c r="C29" s="153"/>
      <c r="D29" s="154"/>
      <c r="E29" s="153"/>
      <c r="F29" s="155">
        <v>200</v>
      </c>
      <c r="G29" s="547">
        <v>3357688</v>
      </c>
      <c r="H29" s="195"/>
      <c r="I29" s="159">
        <f t="shared" si="2"/>
        <v>3357688</v>
      </c>
      <c r="J29" s="547">
        <v>0</v>
      </c>
      <c r="K29" s="195"/>
      <c r="L29" s="159">
        <f t="shared" si="3"/>
        <v>0</v>
      </c>
    </row>
    <row r="30" spans="1:12" ht="78.75" x14ac:dyDescent="0.2">
      <c r="A30" s="157" t="str">
        <f>IF(B30&gt;0,VLOOKUP(B30,КВСР!A42:B1207,2),IF(C30&gt;0,VLOOKUP(C30,КФСР!A42:B1554,2),IF(D30&gt;0,VLOOKUP(D30,Программа!A$1:B$5100,2),IF(F30&gt;0,VLOOKUP(F30,КВР!A$1:B$5001,2),IF(E30&gt;0,VLOOKUP(E30,Направление!A$1:B$4830,2))))))</f>
        <v>Предоставление субсидий бюджетным, автономным учреждениям и иным некоммерческим организациям</v>
      </c>
      <c r="B30" s="158"/>
      <c r="C30" s="153"/>
      <c r="D30" s="154"/>
      <c r="E30" s="153"/>
      <c r="F30" s="155">
        <v>600</v>
      </c>
      <c r="G30" s="547">
        <v>18755296</v>
      </c>
      <c r="H30" s="195">
        <v>0</v>
      </c>
      <c r="I30" s="159">
        <f t="shared" si="2"/>
        <v>18755296</v>
      </c>
      <c r="J30" s="547">
        <v>12000000</v>
      </c>
      <c r="K30" s="195"/>
      <c r="L30" s="159">
        <f t="shared" si="3"/>
        <v>12000000</v>
      </c>
    </row>
    <row r="31" spans="1:12" ht="31.5" x14ac:dyDescent="0.2">
      <c r="A31" s="157" t="str">
        <f>IF(B31&gt;0,VLOOKUP(B31,КВСР!A43:B1208,2),IF(C31&gt;0,VLOOKUP(C31,КФСР!A43:B1555,2),IF(D31&gt;0,VLOOKUP(D31,Программа!A$1:B$5100,2),IF(F31&gt;0,VLOOKUP(F31,КВР!A$1:B$5001,2),IF(E31&gt;0,VLOOKUP(E31,Направление!A$1:B$4830,2))))))</f>
        <v>Иные бюджетные ассигнования</v>
      </c>
      <c r="B31" s="158"/>
      <c r="C31" s="153"/>
      <c r="D31" s="154"/>
      <c r="E31" s="153"/>
      <c r="F31" s="155">
        <v>800</v>
      </c>
      <c r="G31" s="547">
        <v>71000</v>
      </c>
      <c r="H31" s="195"/>
      <c r="I31" s="159">
        <f t="shared" si="2"/>
        <v>71000</v>
      </c>
      <c r="J31" s="547">
        <v>0</v>
      </c>
      <c r="K31" s="195"/>
      <c r="L31" s="159">
        <f t="shared" si="3"/>
        <v>0</v>
      </c>
    </row>
    <row r="32" spans="1:12" ht="47.25" x14ac:dyDescent="0.2">
      <c r="A32" s="157" t="str">
        <f>IF(B32&gt;0,VLOOKUP(B32,КВСР!A44:B1209,2),IF(C32&gt;0,VLOOKUP(C32,КФСР!A44:B1556,2),IF(D32&gt;0,VLOOKUP(D32,Программа!A$1:B$5100,2),IF(F32&gt;0,VLOOKUP(F32,КВР!A$1:B$5001,2),IF(E32&gt;0,VLOOKUP(E32,Направление!A$1:B$4830,2))))))</f>
        <v>Представительские расходы орагнов местного самоуправления</v>
      </c>
      <c r="B32" s="158"/>
      <c r="C32" s="153"/>
      <c r="D32" s="154"/>
      <c r="E32" s="153">
        <v>12600</v>
      </c>
      <c r="F32" s="155"/>
      <c r="G32" s="547">
        <v>400000</v>
      </c>
      <c r="H32" s="547">
        <f>H33</f>
        <v>0</v>
      </c>
      <c r="I32" s="547">
        <f>I33</f>
        <v>400000</v>
      </c>
      <c r="J32" s="547">
        <v>0</v>
      </c>
      <c r="K32" s="195"/>
      <c r="L32" s="159">
        <f t="shared" si="3"/>
        <v>0</v>
      </c>
    </row>
    <row r="33" spans="1:12" ht="78.75" x14ac:dyDescent="0.2">
      <c r="A33" s="157" t="str">
        <f>IF(B33&gt;0,VLOOKUP(B33,КВСР!A45:B1210,2),IF(C33&gt;0,VLOOKUP(C33,КФСР!A45:B1557,2),IF(D33&gt;0,VLOOKUP(D33,Программа!A$1:B$5100,2),IF(F33&gt;0,VLOOKUP(F33,КВР!A$1:B$5001,2),IF(E33&gt;0,VLOOKUP(E33,Направление!A$1:B$4830,2))))))</f>
        <v xml:space="preserve">Закупка товаров, работ и услуг для обеспечения государственных (муниципальных) нужд
</v>
      </c>
      <c r="B33" s="158"/>
      <c r="C33" s="153"/>
      <c r="D33" s="154"/>
      <c r="E33" s="153"/>
      <c r="F33" s="155">
        <v>200</v>
      </c>
      <c r="G33" s="547">
        <v>400000</v>
      </c>
      <c r="H33" s="195"/>
      <c r="I33" s="159">
        <f>G33+H33</f>
        <v>400000</v>
      </c>
      <c r="J33" s="547">
        <v>0</v>
      </c>
      <c r="K33" s="195"/>
      <c r="L33" s="159">
        <f t="shared" si="3"/>
        <v>0</v>
      </c>
    </row>
    <row r="34" spans="1:12" ht="78.75" x14ac:dyDescent="0.2">
      <c r="A34" s="157" t="str">
        <f>IF(B34&gt;0,VLOOKUP(B34,КВСР!A46:B1211,2),IF(C34&gt;0,VLOOKUP(C34,КФСР!A46:B1558,2),IF(D34&gt;0,VLOOKUP(D34,Программа!A$1:B$5100,2),IF(F34&gt;0,VLOOKUP(F34,КВР!A$1:B$5001,2),IF(E34&gt;0,VLOOKUP(E34,Направление!A$1:B$4830,2))))))</f>
        <v>Расходы на осуществление полномочий на государственную регистрацию актов гражданского состояния</v>
      </c>
      <c r="B34" s="158"/>
      <c r="C34" s="153"/>
      <c r="D34" s="154"/>
      <c r="E34" s="153">
        <v>59300</v>
      </c>
      <c r="F34" s="155"/>
      <c r="G34" s="547">
        <v>3429212</v>
      </c>
      <c r="H34" s="547">
        <f>H35+H36</f>
        <v>0</v>
      </c>
      <c r="I34" s="547">
        <f>I35+I36</f>
        <v>3429212</v>
      </c>
      <c r="J34" s="547">
        <v>2596404</v>
      </c>
      <c r="K34" s="547">
        <f>K35+K36</f>
        <v>0</v>
      </c>
      <c r="L34" s="547">
        <f>L35+L36</f>
        <v>2596404</v>
      </c>
    </row>
    <row r="35" spans="1:12" ht="173.25" x14ac:dyDescent="0.2">
      <c r="A35" s="157" t="str">
        <f>IF(B35&gt;0,VLOOKUP(B35,КВСР!A47:B1212,2),IF(C35&gt;0,VLOOKUP(C35,КФСР!A47:B1559,2),IF(D35&gt;0,VLOOKUP(D35,Программа!A$1:B$5100,2),IF(F35&gt;0,VLOOKUP(F35,КВР!A$1:B$5001,2),IF(E35&gt;0,VLOOKUP(E35,Направление!A$1:B$4830,2))))))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 s="158"/>
      <c r="C35" s="153"/>
      <c r="D35" s="154"/>
      <c r="E35" s="153"/>
      <c r="F35" s="155">
        <v>100</v>
      </c>
      <c r="G35" s="547">
        <v>2100722</v>
      </c>
      <c r="H35" s="195"/>
      <c r="I35" s="159">
        <f>G35+H35</f>
        <v>2100722</v>
      </c>
      <c r="J35" s="547">
        <v>2100722</v>
      </c>
      <c r="K35" s="195"/>
      <c r="L35" s="159">
        <f t="shared" si="3"/>
        <v>2100722</v>
      </c>
    </row>
    <row r="36" spans="1:12" ht="78.75" x14ac:dyDescent="0.2">
      <c r="A36" s="157" t="str">
        <f>IF(B36&gt;0,VLOOKUP(B36,КВСР!A48:B1213,2),IF(C36&gt;0,VLOOKUP(C36,КФСР!A48:B1560,2),IF(D36&gt;0,VLOOKUP(D36,Программа!A$1:B$5100,2),IF(F36&gt;0,VLOOKUP(F36,КВР!A$1:B$5001,2),IF(E36&gt;0,VLOOKUP(E36,Направление!A$1:B$4830,2))))))</f>
        <v xml:space="preserve">Закупка товаров, работ и услуг для обеспечения государственных (муниципальных) нужд
</v>
      </c>
      <c r="B36" s="158"/>
      <c r="C36" s="153"/>
      <c r="D36" s="154"/>
      <c r="E36" s="153"/>
      <c r="F36" s="155">
        <v>200</v>
      </c>
      <c r="G36" s="547">
        <v>1328490</v>
      </c>
      <c r="H36" s="195"/>
      <c r="I36" s="159">
        <f>G36+H36</f>
        <v>1328490</v>
      </c>
      <c r="J36" s="547">
        <v>495682</v>
      </c>
      <c r="K36" s="195"/>
      <c r="L36" s="159">
        <f t="shared" si="3"/>
        <v>495682</v>
      </c>
    </row>
    <row r="37" spans="1:12" ht="126" x14ac:dyDescent="0.2">
      <c r="A37" s="157" t="str">
        <f>IF(B37&gt;0,VLOOKUP(B37,КВСР!A39:B1204,2),IF(C37&gt;0,VLOOKUP(C37,КФСР!A39:B1551,2),IF(D37&gt;0,VLOOKUP(D37,Программа!A$1:B$5100,2),IF(F37&gt;0,VLOOKUP(F37,КВР!A$1:B$5001,2),IF(E37&gt;0,VLOOKUP(E37,Направление!A$1:B$4830,2))))))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37" s="158"/>
      <c r="C37" s="153"/>
      <c r="D37" s="154"/>
      <c r="E37" s="153">
        <v>80190</v>
      </c>
      <c r="F37" s="155"/>
      <c r="G37" s="504">
        <v>2286641</v>
      </c>
      <c r="H37" s="159">
        <f>H38+H39</f>
        <v>0</v>
      </c>
      <c r="I37" s="159">
        <f t="shared" si="2"/>
        <v>2286641</v>
      </c>
      <c r="J37" s="504">
        <v>2286641</v>
      </c>
      <c r="K37" s="159">
        <f>K38+K39</f>
        <v>0</v>
      </c>
      <c r="L37" s="159">
        <f t="shared" si="3"/>
        <v>2286641</v>
      </c>
    </row>
    <row r="38" spans="1:12" ht="173.25" x14ac:dyDescent="0.2">
      <c r="A38" s="157" t="str">
        <f>IF(B38&gt;0,VLOOKUP(B38,КВСР!A40:B1205,2),IF(C38&gt;0,VLOOKUP(C38,КФСР!A40:B1552,2),IF(D38&gt;0,VLOOKUP(D38,Программа!A$1:B$5100,2),IF(F38&gt;0,VLOOKUP(F38,КВР!A$1:B$5001,2),IF(E38&gt;0,VLOOKUP(E38,Направление!A$1:B$4830,2))))))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 s="158"/>
      <c r="C38" s="153"/>
      <c r="D38" s="154"/>
      <c r="E38" s="153"/>
      <c r="F38" s="155">
        <v>100</v>
      </c>
      <c r="G38" s="495">
        <v>2131345</v>
      </c>
      <c r="H38" s="194"/>
      <c r="I38" s="159">
        <f t="shared" si="2"/>
        <v>2131345</v>
      </c>
      <c r="J38" s="495">
        <v>2131345</v>
      </c>
      <c r="K38" s="194"/>
      <c r="L38" s="159">
        <f t="shared" si="3"/>
        <v>2131345</v>
      </c>
    </row>
    <row r="39" spans="1:12" ht="78.75" x14ac:dyDescent="0.2">
      <c r="A39" s="157" t="str">
        <f>IF(B39&gt;0,VLOOKUP(B39,КВСР!A41:B1206,2),IF(C39&gt;0,VLOOKUP(C39,КФСР!A41:B1553,2),IF(D39&gt;0,VLOOKUP(D39,Программа!A$1:B$5100,2),IF(F39&gt;0,VLOOKUP(F39,КВР!A$1:B$5001,2),IF(E39&gt;0,VLOOKUP(E39,Направление!A$1:B$4830,2))))))</f>
        <v xml:space="preserve">Закупка товаров, работ и услуг для обеспечения государственных (муниципальных) нужд
</v>
      </c>
      <c r="B39" s="158"/>
      <c r="C39" s="153"/>
      <c r="D39" s="154"/>
      <c r="E39" s="153"/>
      <c r="F39" s="155">
        <v>200</v>
      </c>
      <c r="G39" s="495">
        <v>155296</v>
      </c>
      <c r="H39" s="194"/>
      <c r="I39" s="159">
        <f t="shared" si="2"/>
        <v>155296</v>
      </c>
      <c r="J39" s="495">
        <v>155296</v>
      </c>
      <c r="K39" s="194"/>
      <c r="L39" s="159">
        <f t="shared" si="3"/>
        <v>155296</v>
      </c>
    </row>
    <row r="40" spans="1:12" ht="110.25" x14ac:dyDescent="0.2">
      <c r="A40" s="157" t="str">
        <f>IF(B40&gt;0,VLOOKUP(B40,КВСР!A42:B1207,2),IF(C40&gt;0,VLOOKUP(C40,КФСР!A42:B1554,2),IF(D40&gt;0,VLOOKUP(D40,Программа!A$1:B$5100,2),IF(F40&gt;0,VLOOKUP(F40,КВР!A$1:B$5001,2),IF(E40&gt;0,VLOOKUP(E40,Направление!A$1:B$4830,2))))))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40" s="158"/>
      <c r="C40" s="153"/>
      <c r="D40" s="154"/>
      <c r="E40" s="153">
        <v>80200</v>
      </c>
      <c r="F40" s="155"/>
      <c r="G40" s="504">
        <v>238585</v>
      </c>
      <c r="H40" s="159">
        <f>H41+H42</f>
        <v>0</v>
      </c>
      <c r="I40" s="159">
        <f t="shared" si="2"/>
        <v>238585</v>
      </c>
      <c r="J40" s="504">
        <v>238585</v>
      </c>
      <c r="K40" s="159">
        <f>K41+K42</f>
        <v>0</v>
      </c>
      <c r="L40" s="159">
        <f t="shared" si="3"/>
        <v>238585</v>
      </c>
    </row>
    <row r="41" spans="1:12" ht="173.25" x14ac:dyDescent="0.2">
      <c r="A41" s="157" t="str">
        <f>IF(B41&gt;0,VLOOKUP(B41,КВСР!A43:B1208,2),IF(C41&gt;0,VLOOKUP(C41,КФСР!A43:B1555,2),IF(D41&gt;0,VLOOKUP(D41,Программа!A$1:B$5100,2),IF(F41&gt;0,VLOOKUP(F41,КВР!A$1:B$5001,2),IF(E41&gt;0,VLOOKUP(E41,Направление!A$1:B$4830,2))))))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 s="158"/>
      <c r="C41" s="153"/>
      <c r="D41" s="154"/>
      <c r="E41" s="153"/>
      <c r="F41" s="155">
        <v>100</v>
      </c>
      <c r="G41" s="495">
        <v>188790</v>
      </c>
      <c r="H41" s="194"/>
      <c r="I41" s="159">
        <f t="shared" si="2"/>
        <v>188790</v>
      </c>
      <c r="J41" s="495">
        <v>188790</v>
      </c>
      <c r="K41" s="194"/>
      <c r="L41" s="159">
        <f t="shared" si="3"/>
        <v>188790</v>
      </c>
    </row>
    <row r="42" spans="1:12" ht="78.75" x14ac:dyDescent="0.2">
      <c r="A42" s="157" t="str">
        <f>IF(B42&gt;0,VLOOKUP(B42,КВСР!A44:B1209,2),IF(C42&gt;0,VLOOKUP(C42,КФСР!A44:B1556,2),IF(D42&gt;0,VLOOKUP(D42,Программа!A$1:B$5100,2),IF(F42&gt;0,VLOOKUP(F42,КВР!A$1:B$5001,2),IF(E42&gt;0,VLOOKUP(E42,Направление!A$1:B$4830,2))))))</f>
        <v xml:space="preserve">Закупка товаров, работ и услуг для обеспечения государственных (муниципальных) нужд
</v>
      </c>
      <c r="B42" s="158"/>
      <c r="C42" s="153"/>
      <c r="D42" s="154"/>
      <c r="E42" s="153"/>
      <c r="F42" s="155">
        <v>200</v>
      </c>
      <c r="G42" s="495">
        <v>49795</v>
      </c>
      <c r="H42" s="194"/>
      <c r="I42" s="159">
        <f t="shared" si="2"/>
        <v>49795</v>
      </c>
      <c r="J42" s="495">
        <v>49795</v>
      </c>
      <c r="K42" s="194"/>
      <c r="L42" s="159">
        <f t="shared" si="3"/>
        <v>49795</v>
      </c>
    </row>
    <row r="43" spans="1:12" ht="36" customHeight="1" x14ac:dyDescent="0.2">
      <c r="A43" s="157" t="str">
        <f>IF(B43&gt;0,VLOOKUP(B43,КВСР!A45:B1210,2),IF(C43&gt;0,VLOOKUP(C43,КФСР!A45:B1557,2),IF(D43&gt;0,VLOOKUP(D43,Программа!A$1:B$5100,2),IF(F43&gt;0,VLOOKUP(F43,КВР!A$1:B$5001,2),IF(E43&gt;0,VLOOKUP(E43,Направление!A$1:B$4830,2))))))</f>
        <v>Сельское хозяйство и рыболовство</v>
      </c>
      <c r="B43" s="158"/>
      <c r="C43" s="153">
        <v>405</v>
      </c>
      <c r="D43" s="154"/>
      <c r="E43" s="153"/>
      <c r="F43" s="155"/>
      <c r="G43" s="168">
        <v>5100</v>
      </c>
      <c r="H43" s="168">
        <f>H44</f>
        <v>0</v>
      </c>
      <c r="I43" s="159">
        <f t="shared" si="2"/>
        <v>5100</v>
      </c>
      <c r="J43" s="168">
        <v>5100</v>
      </c>
      <c r="K43" s="168">
        <f>K44</f>
        <v>0</v>
      </c>
      <c r="L43" s="159">
        <f t="shared" si="3"/>
        <v>5100</v>
      </c>
    </row>
    <row r="44" spans="1:12" ht="126" x14ac:dyDescent="0.2">
      <c r="A44" s="157" t="str">
        <f>IF(B44&gt;0,VLOOKUP(B44,КВСР!A46:B1211,2),IF(C44&gt;0,VLOOKUP(C44,КФСР!A46:B1558,2),IF(D44&gt;0,VLOOKUP(D44,Программа!A$1:B$5100,2),IF(F44&gt;0,VLOOKUP(F44,КВР!A$1:B$5001,2),IF(E44&gt;0,VLOOKUP(E44,Направление!A$1:B$4830,2))))))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44" s="158"/>
      <c r="C44" s="153"/>
      <c r="D44" s="154" t="s">
        <v>655</v>
      </c>
      <c r="E44" s="153"/>
      <c r="F44" s="155"/>
      <c r="G44" s="168">
        <v>5100</v>
      </c>
      <c r="H44" s="168">
        <f>H45</f>
        <v>0</v>
      </c>
      <c r="I44" s="159">
        <f t="shared" si="2"/>
        <v>5100</v>
      </c>
      <c r="J44" s="168">
        <v>5100</v>
      </c>
      <c r="K44" s="168">
        <f>K45</f>
        <v>0</v>
      </c>
      <c r="L44" s="159">
        <f t="shared" si="3"/>
        <v>5100</v>
      </c>
    </row>
    <row r="45" spans="1:12" ht="94.5" x14ac:dyDescent="0.2">
      <c r="A45" s="157" t="str">
        <f>IF(B45&gt;0,VLOOKUP(B45,КВСР!A47:B1212,2),IF(C45&gt;0,VLOOKUP(C45,КФСР!A47:B1559,2),IF(D45&gt;0,VLOOKUP(D45,Программа!A$1:B$5100,2),IF(F45&gt;0,VLOOKUP(F45,КВР!A$1:B$5001,2),IF(E45&gt;0,VLOOKUP(E45,Направление!A$1:B$4830,2))))))</f>
        <v>Муниципальная целевая программа "Развитие агропромышленного комплекса и сельских территорий Тутаевского муниципального района"</v>
      </c>
      <c r="B45" s="158"/>
      <c r="C45" s="153"/>
      <c r="D45" s="154" t="s">
        <v>657</v>
      </c>
      <c r="E45" s="153"/>
      <c r="F45" s="155"/>
      <c r="G45" s="168">
        <v>5100</v>
      </c>
      <c r="H45" s="168">
        <f>H46</f>
        <v>0</v>
      </c>
      <c r="I45" s="159">
        <f t="shared" si="2"/>
        <v>5100</v>
      </c>
      <c r="J45" s="168">
        <v>5100</v>
      </c>
      <c r="K45" s="168">
        <f>K46</f>
        <v>0</v>
      </c>
      <c r="L45" s="159">
        <f t="shared" si="3"/>
        <v>5100</v>
      </c>
    </row>
    <row r="46" spans="1:12" ht="110.25" x14ac:dyDescent="0.2">
      <c r="A46" s="157" t="str">
        <f>IF(B46&gt;0,VLOOKUP(B46,КВСР!A48:B1213,2),IF(C46&gt;0,VLOOKUP(C46,КФСР!A48:B1560,2),IF(D46&gt;0,VLOOKUP(D46,Программа!A$1:B$5100,2),IF(F46&gt;0,VLOOKUP(F46,КВР!A$1:B$5001,2),IF(E46&gt;0,VLOOKUP(E46,Направление!A$1:B$4830,2))))))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46" s="158"/>
      <c r="C46" s="153"/>
      <c r="D46" s="154" t="s">
        <v>659</v>
      </c>
      <c r="E46" s="153"/>
      <c r="F46" s="155"/>
      <c r="G46" s="168">
        <v>5100</v>
      </c>
      <c r="H46" s="168">
        <f>H47+H49</f>
        <v>0</v>
      </c>
      <c r="I46" s="159">
        <f t="shared" si="2"/>
        <v>5100</v>
      </c>
      <c r="J46" s="168">
        <v>5100</v>
      </c>
      <c r="K46" s="168">
        <f>K47+K49</f>
        <v>0</v>
      </c>
      <c r="L46" s="159">
        <f t="shared" si="3"/>
        <v>5100</v>
      </c>
    </row>
    <row r="47" spans="1:12" ht="128.25" hidden="1" customHeight="1" x14ac:dyDescent="0.2">
      <c r="A47" s="157" t="str">
        <f>IF(B47&gt;0,VLOOKUP(B47,КВСР!A49:B1214,2),IF(C47&gt;0,VLOOKUP(C47,КФСР!A49:B1561,2),IF(D47&gt;0,VLOOKUP(D47,Программа!A$1:B$5100,2),IF(F47&gt;0,VLOOKUP(F47,КВР!A$1:B$5001,2),IF(E47&gt;0,VLOOKUP(E47,Направление!A$1:B$4830,2))))))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7" s="158"/>
      <c r="C47" s="153"/>
      <c r="D47" s="154"/>
      <c r="E47" s="153">
        <v>74450</v>
      </c>
      <c r="F47" s="155"/>
      <c r="G47" s="168">
        <v>0</v>
      </c>
      <c r="H47" s="168">
        <f>H48</f>
        <v>0</v>
      </c>
      <c r="I47" s="159">
        <f>SUM(G47:H47)</f>
        <v>0</v>
      </c>
      <c r="J47" s="168">
        <v>0</v>
      </c>
      <c r="K47" s="168">
        <f>K48</f>
        <v>0</v>
      </c>
      <c r="L47" s="159">
        <f t="shared" si="3"/>
        <v>0</v>
      </c>
    </row>
    <row r="48" spans="1:12" ht="78.75" hidden="1" x14ac:dyDescent="0.2">
      <c r="A48" s="157" t="str">
        <f>IF(B48&gt;0,VLOOKUP(B48,КВСР!A50:B1215,2),IF(C48&gt;0,VLOOKUP(C48,КФСР!A50:B1562,2),IF(D48&gt;0,VLOOKUP(D48,Программа!A$1:B$5100,2),IF(F48&gt;0,VLOOKUP(F48,КВР!A$1:B$5001,2),IF(E48&gt;0,VLOOKUP(E48,Направление!A$1:B$4830,2))))))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8"/>
      <c r="C48" s="153"/>
      <c r="D48" s="154"/>
      <c r="E48" s="153"/>
      <c r="F48" s="155">
        <v>200</v>
      </c>
      <c r="G48" s="495">
        <v>0</v>
      </c>
      <c r="H48" s="194"/>
      <c r="I48" s="159">
        <f>SUM(G48:H48)</f>
        <v>0</v>
      </c>
      <c r="J48" s="495">
        <v>0</v>
      </c>
      <c r="K48" s="194"/>
      <c r="L48" s="159">
        <f t="shared" si="3"/>
        <v>0</v>
      </c>
    </row>
    <row r="49" spans="1:12" ht="126" x14ac:dyDescent="0.2">
      <c r="A49" s="157" t="str">
        <f>IF(B49&gt;0,VLOOKUP(B49,КВСР!A51:B1216,2),IF(C49&gt;0,VLOOKUP(C49,КФСР!A51:B1563,2),IF(D49&gt;0,VLOOKUP(D49,Программа!A$1:B$5100,2),IF(F49&gt;0,VLOOKUP(F49,КВР!A$1:B$5001,2),IF(E49&gt;0,VLOOKUP(E49,Направление!A$1:B$4830,2))))))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9" s="158"/>
      <c r="C49" s="153"/>
      <c r="D49" s="154"/>
      <c r="E49" s="153" t="s">
        <v>3276</v>
      </c>
      <c r="F49" s="155"/>
      <c r="G49" s="495">
        <v>5100</v>
      </c>
      <c r="H49" s="495">
        <f>H50</f>
        <v>0</v>
      </c>
      <c r="I49" s="159">
        <f>SUM(G49:H49)</f>
        <v>5100</v>
      </c>
      <c r="J49" s="495">
        <v>5100</v>
      </c>
      <c r="K49" s="495">
        <f>K50</f>
        <v>0</v>
      </c>
      <c r="L49" s="159">
        <f>SUM(J49:K49)</f>
        <v>5100</v>
      </c>
    </row>
    <row r="50" spans="1:12" ht="78.75" x14ac:dyDescent="0.2">
      <c r="A50" s="157" t="str">
        <f>IF(B50&gt;0,VLOOKUP(B50,КВСР!A52:B1217,2),IF(C50&gt;0,VLOOKUP(C50,КФСР!A52:B1564,2),IF(D50&gt;0,VLOOKUP(D50,Программа!A$1:B$5100,2),IF(F50&gt;0,VLOOKUP(F50,КВР!A$1:B$5001,2),IF(E50&gt;0,VLOOKUP(E50,Направление!A$1:B$4830,2))))))</f>
        <v xml:space="preserve">Закупка товаров, работ и услуг для обеспечения государственных (муниципальных) нужд
</v>
      </c>
      <c r="B50" s="158"/>
      <c r="C50" s="153"/>
      <c r="D50" s="154"/>
      <c r="E50" s="153"/>
      <c r="F50" s="155">
        <v>200</v>
      </c>
      <c r="G50" s="495">
        <v>5100</v>
      </c>
      <c r="H50" s="194"/>
      <c r="I50" s="159">
        <f>SUM(G50:H50)</f>
        <v>5100</v>
      </c>
      <c r="J50" s="495">
        <v>5100</v>
      </c>
      <c r="K50" s="194"/>
      <c r="L50" s="159">
        <f>SUM(J50:K50)</f>
        <v>5100</v>
      </c>
    </row>
    <row r="51" spans="1:12" ht="24" customHeight="1" x14ac:dyDescent="0.2">
      <c r="A51" s="157" t="str">
        <f>IF(B51&gt;0,VLOOKUP(B51,КВСР!A51:B1216,2),IF(C51&gt;0,VLOOKUP(C51,КФСР!A51:B1563,2),IF(D51&gt;0,VLOOKUP(D51,Программа!A$1:B$5100,2),IF(F51&gt;0,VLOOKUP(F51,КВР!A$1:B$5001,2),IF(E51&gt;0,VLOOKUP(E51,Направление!A$1:B$4830,2))))))</f>
        <v>Дорожное хозяйство</v>
      </c>
      <c r="B51" s="158"/>
      <c r="C51" s="153">
        <v>409</v>
      </c>
      <c r="D51" s="154"/>
      <c r="E51" s="153"/>
      <c r="F51" s="155"/>
      <c r="G51" s="495">
        <v>20335090</v>
      </c>
      <c r="H51" s="495">
        <f>H69+H52+H65</f>
        <v>0</v>
      </c>
      <c r="I51" s="159">
        <f t="shared" si="2"/>
        <v>20335090</v>
      </c>
      <c r="J51" s="495">
        <v>24472240</v>
      </c>
      <c r="K51" s="495">
        <f>K69+K52+K65</f>
        <v>0</v>
      </c>
      <c r="L51" s="159">
        <f>L52</f>
        <v>24472240</v>
      </c>
    </row>
    <row r="52" spans="1:12" ht="78.75" x14ac:dyDescent="0.2">
      <c r="A52" s="157" t="str">
        <f>IF(B52&gt;0,VLOOKUP(B52,КВСР!A52:B1217,2),IF(C52&gt;0,VLOOKUP(C52,КФСР!A52:B1564,2),IF(D52&gt;0,VLOOKUP(D52,Программа!A$1:B$5100,2),IF(F52&gt;0,VLOOKUP(F52,КВР!A$1:B$5001,2),IF(E52&gt;0,VLOOKUP(E52,Направление!A$1:B$4830,2))))))</f>
        <v>Муниципальная программа "Развитие дорожного хозяйства и транспорта в Тутаевском муниципальном районе"</v>
      </c>
      <c r="B52" s="158"/>
      <c r="C52" s="153"/>
      <c r="D52" s="154" t="s">
        <v>869</v>
      </c>
      <c r="E52" s="153"/>
      <c r="F52" s="155"/>
      <c r="G52" s="495">
        <v>11835090</v>
      </c>
      <c r="H52" s="495">
        <f>H53+H59</f>
        <v>0</v>
      </c>
      <c r="I52" s="159">
        <f t="shared" si="2"/>
        <v>11835090</v>
      </c>
      <c r="J52" s="495">
        <v>24472240</v>
      </c>
      <c r="K52" s="495">
        <f>K53+K59</f>
        <v>0</v>
      </c>
      <c r="L52" s="159">
        <f>L53+L59</f>
        <v>24472240</v>
      </c>
    </row>
    <row r="53" spans="1:12" ht="97.15" customHeight="1" x14ac:dyDescent="0.2">
      <c r="A53" s="157" t="str">
        <f>IF(B53&gt;0,VLOOKUP(B53,КВСР!A53:B1218,2),IF(C53&gt;0,VLOOKUP(C53,КФСР!A53:B1565,2),IF(D53&gt;0,VLOOKUP(D53,Программа!A$1:B$5100,2),IF(F53&gt;0,VLOOKUP(F53,КВР!A$1:B$5001,2),IF(E53&gt;0,VLOOKUP(E53,Направление!A$1:B$4830,2))))))</f>
        <v>Муниципальная целевая программа «Повышение безопасности дорожного движения на территории Тутаевского муниципального района»</v>
      </c>
      <c r="B53" s="158"/>
      <c r="C53" s="153"/>
      <c r="D53" s="154" t="s">
        <v>871</v>
      </c>
      <c r="E53" s="153"/>
      <c r="F53" s="155"/>
      <c r="G53" s="495">
        <v>300000</v>
      </c>
      <c r="H53" s="495">
        <f>H54</f>
        <v>0</v>
      </c>
      <c r="I53" s="159">
        <f t="shared" si="2"/>
        <v>300000</v>
      </c>
      <c r="J53" s="495">
        <v>300000</v>
      </c>
      <c r="K53" s="495">
        <f>K54</f>
        <v>0</v>
      </c>
      <c r="L53" s="159">
        <f>SUM(J53:K53)</f>
        <v>300000</v>
      </c>
    </row>
    <row r="54" spans="1:12" ht="56.45" customHeight="1" x14ac:dyDescent="0.2">
      <c r="A54" s="157" t="str">
        <f>IF(B54&gt;0,VLOOKUP(B54,КВСР!A54:B1219,2),IF(C54&gt;0,VLOOKUP(C54,КФСР!A54:B1566,2),IF(D54&gt;0,VLOOKUP(D54,Программа!A$1:B$5100,2),IF(F54&gt;0,VLOOKUP(F54,КВР!A$1:B$5001,2),IF(E54&gt;0,VLOOKUP(E54,Направление!A$1:B$4830,2))))))</f>
        <v>Повышение безопасности дорожного движения на автомобильных дорогах</v>
      </c>
      <c r="B54" s="158"/>
      <c r="C54" s="153"/>
      <c r="D54" s="154" t="s">
        <v>873</v>
      </c>
      <c r="E54" s="153"/>
      <c r="F54" s="155"/>
      <c r="G54" s="495">
        <v>300000</v>
      </c>
      <c r="H54" s="495">
        <f>H55+H57</f>
        <v>0</v>
      </c>
      <c r="I54" s="159">
        <f t="shared" si="2"/>
        <v>300000</v>
      </c>
      <c r="J54" s="495">
        <v>300000</v>
      </c>
      <c r="K54" s="495">
        <f>K55+K57</f>
        <v>0</v>
      </c>
      <c r="L54" s="159">
        <f>SUM(J54:K54)</f>
        <v>300000</v>
      </c>
    </row>
    <row r="55" spans="1:12" ht="51" customHeight="1" x14ac:dyDescent="0.2">
      <c r="A55" s="157" t="str">
        <f>IF(B55&gt;0,VLOOKUP(B55,КВСР!A55:B1220,2),IF(C55&gt;0,VLOOKUP(C55,КФСР!A55:B1567,2),IF(D55&gt;0,VLOOKUP(D55,Программа!A$1:B$5100,2),IF(F55&gt;0,VLOOKUP(F55,КВР!A$1:B$5001,2),IF(E55&gt;0,VLOOKUP(E55,Направление!A$1:B$4830,2))))))</f>
        <v>Содержание и ремонт  автомобильных дорог общего пользования</v>
      </c>
      <c r="B55" s="158"/>
      <c r="C55" s="153"/>
      <c r="D55" s="154"/>
      <c r="E55" s="153">
        <v>10200</v>
      </c>
      <c r="F55" s="155"/>
      <c r="G55" s="495">
        <v>300000</v>
      </c>
      <c r="H55" s="495"/>
      <c r="I55" s="159">
        <f t="shared" si="2"/>
        <v>300000</v>
      </c>
      <c r="J55" s="495">
        <v>300000</v>
      </c>
      <c r="K55" s="495"/>
      <c r="L55" s="159">
        <f>SUM(J55:K55)</f>
        <v>300000</v>
      </c>
    </row>
    <row r="56" spans="1:12" ht="83.45" customHeight="1" x14ac:dyDescent="0.2">
      <c r="A56" s="157" t="str">
        <f>IF(B56&gt;0,VLOOKUP(B56,КВСР!A56:B1221,2),IF(C56&gt;0,VLOOKUP(C56,КФСР!A56:B1568,2),IF(D56&gt;0,VLOOKUP(D56,Программа!A$1:B$5100,2),IF(F56&gt;0,VLOOKUP(F56,КВР!A$1:B$5001,2),IF(E56&gt;0,VLOOKUP(E56,Направление!A$1:B$4830,2))))))</f>
        <v>Предоставление субсидий бюджетным, автономным учреждениям и иным некоммерческим организациям</v>
      </c>
      <c r="B56" s="158"/>
      <c r="C56" s="153"/>
      <c r="D56" s="154"/>
      <c r="E56" s="153"/>
      <c r="F56" s="155">
        <v>600</v>
      </c>
      <c r="G56" s="495">
        <v>300000</v>
      </c>
      <c r="H56" s="194"/>
      <c r="I56" s="159">
        <f t="shared" si="2"/>
        <v>300000</v>
      </c>
      <c r="J56" s="495">
        <v>300000</v>
      </c>
      <c r="K56" s="194"/>
      <c r="L56" s="159">
        <f>SUM(J56:K56)</f>
        <v>300000</v>
      </c>
    </row>
    <row r="57" spans="1:12" ht="83.45" customHeight="1" x14ac:dyDescent="0.2">
      <c r="A57" s="157" t="str">
        <f>IF(B57&gt;0,VLOOKUP(B57,КВСР!A57:B1222,2),IF(C57&gt;0,VLOOKUP(C57,КФСР!A57:B1569,2),IF(D57&gt;0,VLOOKUP(D57,Программа!A$1:B$5100,2),IF(F57&gt;0,VLOOKUP(F57,КВР!A$1:B$5001,2),IF(E57&gt;0,VLOOKUP(E57,Направление!A$1:B$4830,2))))))</f>
        <v>Обеспечение   мероприятий в области  дорожного хозяйства  по повышению безопасности дорожного движения</v>
      </c>
      <c r="B57" s="158"/>
      <c r="C57" s="153"/>
      <c r="D57" s="154"/>
      <c r="E57" s="153">
        <v>29096</v>
      </c>
      <c r="F57" s="155"/>
      <c r="G57" s="495"/>
      <c r="H57" s="495">
        <f>H58</f>
        <v>0</v>
      </c>
      <c r="I57" s="495">
        <f>I58</f>
        <v>0</v>
      </c>
      <c r="J57" s="495">
        <f>J58</f>
        <v>0</v>
      </c>
      <c r="K57" s="495">
        <f>K58</f>
        <v>0</v>
      </c>
      <c r="L57" s="495">
        <f>L58</f>
        <v>0</v>
      </c>
    </row>
    <row r="58" spans="1:12" ht="83.45" customHeight="1" x14ac:dyDescent="0.2">
      <c r="A58" s="157" t="str">
        <f>IF(B58&gt;0,VLOOKUP(B58,КВСР!A58:B1223,2),IF(C58&gt;0,VLOOKUP(C58,КФСР!A58:B1570,2),IF(D58&gt;0,VLOOKUP(D58,Программа!A$1:B$5100,2),IF(F58&gt;0,VLOOKUP(F58,КВР!A$1:B$5001,2),IF(E58&gt;0,VLOOKUP(E58,Направление!A$1:B$4830,2))))))</f>
        <v>Предоставление субсидий бюджетным, автономным учреждениям и иным некоммерческим организациям</v>
      </c>
      <c r="B58" s="158"/>
      <c r="C58" s="153"/>
      <c r="D58" s="154"/>
      <c r="E58" s="153"/>
      <c r="F58" s="155">
        <v>600</v>
      </c>
      <c r="G58" s="495"/>
      <c r="H58" s="194"/>
      <c r="I58" s="159">
        <f>SUM(G58:H58)</f>
        <v>0</v>
      </c>
      <c r="J58" s="495"/>
      <c r="K58" s="194"/>
      <c r="L58" s="159">
        <f>SUM(J58:K58)</f>
        <v>0</v>
      </c>
    </row>
    <row r="59" spans="1:12" ht="83.45" customHeight="1" x14ac:dyDescent="0.2">
      <c r="A59" s="157" t="str">
        <f>IF(B59&gt;0,VLOOKUP(B59,КВСР!A57:B1222,2),IF(C59&gt;0,VLOOKUP(C59,КФСР!A57:B1569,2),IF(D59&gt;0,VLOOKUP(D59,Программа!A$1:B$5100,2),IF(F59&gt;0,VLOOKUP(F59,КВР!A$1:B$5001,2),IF(E59&gt;0,VLOOKUP(E59,Направление!A$1:B$4830,2))))))</f>
        <v>Муниципальная целевая программа «Сохранность автомобильных дорог общего пользования Тутаевского муниципального района»</v>
      </c>
      <c r="B59" s="158"/>
      <c r="C59" s="153"/>
      <c r="D59" s="154" t="s">
        <v>876</v>
      </c>
      <c r="E59" s="153"/>
      <c r="F59" s="155"/>
      <c r="G59" s="495">
        <v>11535090</v>
      </c>
      <c r="H59" s="495">
        <f>H60</f>
        <v>0</v>
      </c>
      <c r="I59" s="159">
        <f t="shared" si="2"/>
        <v>11535090</v>
      </c>
      <c r="J59" s="495">
        <v>24172240</v>
      </c>
      <c r="K59" s="495">
        <f>K60</f>
        <v>0</v>
      </c>
      <c r="L59" s="159">
        <f>SUM(J59:K59)</f>
        <v>24172240</v>
      </c>
    </row>
    <row r="60" spans="1:12" ht="55.15" customHeight="1" x14ac:dyDescent="0.2">
      <c r="A60" s="157" t="str">
        <f>IF(B60&gt;0,VLOOKUP(B60,КВСР!A58:B1223,2),IF(C60&gt;0,VLOOKUP(C60,КФСР!A58:B1570,2),IF(D60&gt;0,VLOOKUP(D60,Программа!A$1:B$5100,2),IF(F60&gt;0,VLOOKUP(F60,КВР!A$1:B$5001,2),IF(E60&gt;0,VLOOKUP(E60,Направление!A$1:B$4830,2))))))</f>
        <v>Приведение  в нормативное состояние автомобильных дорог общего пользования</v>
      </c>
      <c r="B60" s="158"/>
      <c r="C60" s="153"/>
      <c r="D60" s="154" t="s">
        <v>878</v>
      </c>
      <c r="E60" s="153"/>
      <c r="F60" s="155"/>
      <c r="G60" s="495">
        <v>11535090</v>
      </c>
      <c r="H60" s="818">
        <f>H63+H61</f>
        <v>0</v>
      </c>
      <c r="I60" s="159">
        <f t="shared" si="2"/>
        <v>11535090</v>
      </c>
      <c r="J60" s="495">
        <v>24172240</v>
      </c>
      <c r="K60" s="495">
        <f>K61+K63</f>
        <v>0</v>
      </c>
      <c r="L60" s="159">
        <f>SUM(J60:K60)</f>
        <v>24172240</v>
      </c>
    </row>
    <row r="61" spans="1:12" ht="55.15" customHeight="1" x14ac:dyDescent="0.2">
      <c r="A61" s="157" t="str">
        <f>IF(B61&gt;0,VLOOKUP(B61,КВСР!A59:B1224,2),IF(C61&gt;0,VLOOKUP(C61,КФСР!A59:B1571,2),IF(D61&gt;0,VLOOKUP(D61,Программа!A$1:B$5100,2),IF(F61&gt;0,VLOOKUP(F61,КВР!A$1:B$5001,2),IF(E61&gt;0,VLOOKUP(E61,Направление!A$1:B$4830,2))))))</f>
        <v>Обеспечение   мероприятий в области  дорожного хозяйства  на  ремонт и содержание автомобильных дорог</v>
      </c>
      <c r="B61" s="158"/>
      <c r="C61" s="153"/>
      <c r="D61" s="154"/>
      <c r="E61" s="153">
        <v>29086</v>
      </c>
      <c r="F61" s="155"/>
      <c r="G61" s="495"/>
      <c r="H61" s="818">
        <f>H62</f>
        <v>0</v>
      </c>
      <c r="I61" s="818">
        <f>I62</f>
        <v>0</v>
      </c>
      <c r="J61" s="818">
        <f>J62</f>
        <v>0</v>
      </c>
      <c r="K61" s="818">
        <f>K62</f>
        <v>0</v>
      </c>
      <c r="L61" s="818">
        <f>L62</f>
        <v>0</v>
      </c>
    </row>
    <row r="62" spans="1:12" ht="55.15" customHeight="1" x14ac:dyDescent="0.2">
      <c r="A62" s="157" t="str">
        <f>IF(B62&gt;0,VLOOKUP(B62,КВСР!A60:B1225,2),IF(C62&gt;0,VLOOKUP(C62,КФСР!A60:B1572,2),IF(D62&gt;0,VLOOKUP(D62,Программа!A$1:B$5100,2),IF(F62&gt;0,VLOOKUP(F62,КВР!A$1:B$5001,2),IF(E62&gt;0,VLOOKUP(E62,Направление!A$1:B$4830,2))))))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8"/>
      <c r="C62" s="153"/>
      <c r="D62" s="154"/>
      <c r="E62" s="153"/>
      <c r="F62" s="155">
        <v>600</v>
      </c>
      <c r="G62" s="495"/>
      <c r="H62" s="820"/>
      <c r="I62" s="159">
        <f>SUM(G62:H62)</f>
        <v>0</v>
      </c>
      <c r="J62" s="495"/>
      <c r="K62" s="821"/>
      <c r="L62" s="159">
        <f>SUM(J62:K62)</f>
        <v>0</v>
      </c>
    </row>
    <row r="63" spans="1:12" ht="52.9" customHeight="1" x14ac:dyDescent="0.2">
      <c r="A63" s="157" t="str">
        <f>IF(B63&gt;0,VLOOKUP(B63,КВСР!A59:B1224,2),IF(C63&gt;0,VLOOKUP(C63,КФСР!A59:B1571,2),IF(D63&gt;0,VLOOKUP(D63,Программа!A$1:B$5100,2),IF(F63&gt;0,VLOOKUP(F63,КВР!A$1:B$5001,2),IF(E63&gt;0,VLOOKUP(E63,Направление!A$1:B$4830,2))))))</f>
        <v>Содержание и ремонт  автомобильных дорог общего пользования</v>
      </c>
      <c r="B63" s="158"/>
      <c r="C63" s="153"/>
      <c r="D63" s="154"/>
      <c r="E63" s="153">
        <v>10200</v>
      </c>
      <c r="F63" s="155"/>
      <c r="G63" s="495">
        <v>11535090</v>
      </c>
      <c r="H63" s="495">
        <f>H64</f>
        <v>0</v>
      </c>
      <c r="I63" s="159">
        <f t="shared" si="2"/>
        <v>11535090</v>
      </c>
      <c r="J63" s="495">
        <v>24172240</v>
      </c>
      <c r="K63" s="495"/>
      <c r="L63" s="159">
        <f>SUM(J63:K63)</f>
        <v>24172240</v>
      </c>
    </row>
    <row r="64" spans="1:12" ht="78.75" x14ac:dyDescent="0.2">
      <c r="A64" s="157" t="str">
        <f>IF(B64&gt;0,VLOOKUP(B64,КВСР!A60:B1225,2),IF(C64&gt;0,VLOOKUP(C64,КФСР!A60:B1572,2),IF(D64&gt;0,VLOOKUP(D64,Программа!A$1:B$5100,2),IF(F64&gt;0,VLOOKUP(F64,КВР!A$1:B$5001,2),IF(E64&gt;0,VLOOKUP(E64,Направление!A$1:B$4830,2))))))</f>
        <v>Предоставление субсидий бюджетным, автономным учреждениям и иным некоммерческим организациям</v>
      </c>
      <c r="B64" s="158"/>
      <c r="C64" s="153"/>
      <c r="D64" s="154"/>
      <c r="E64" s="153"/>
      <c r="F64" s="155">
        <v>600</v>
      </c>
      <c r="G64" s="495">
        <v>11535090</v>
      </c>
      <c r="H64" s="194"/>
      <c r="I64" s="159">
        <f t="shared" si="2"/>
        <v>11535090</v>
      </c>
      <c r="J64" s="495">
        <v>24172240</v>
      </c>
      <c r="K64" s="194"/>
      <c r="L64" s="159">
        <f>SUM(J64:K64)</f>
        <v>24172240</v>
      </c>
    </row>
    <row r="65" spans="1:12" ht="78.75" x14ac:dyDescent="0.2">
      <c r="A65" s="157" t="str">
        <f>IF(B65&gt;0,VLOOKUP(B65,КВСР!A61:B1226,2),IF(C65&gt;0,VLOOKUP(C65,КФСР!A61:B1573,2),IF(D65&gt;0,VLOOKUP(D65,Программа!A$1:B$5100,2),IF(F65&gt;0,VLOOKUP(F65,КВР!A$1:B$5001,2),IF(E65&gt;0,VLOOKUP(E65,Направление!A$1:B$4830,2))))))</f>
        <v>Муниципальная программа "Формирование  современной городской среды"  Тутаевского муниципального района</v>
      </c>
      <c r="B65" s="158"/>
      <c r="C65" s="153"/>
      <c r="D65" s="154" t="s">
        <v>3167</v>
      </c>
      <c r="E65" s="153"/>
      <c r="F65" s="155"/>
      <c r="G65" s="495"/>
      <c r="H65" s="495">
        <f>H66</f>
        <v>0</v>
      </c>
      <c r="I65" s="495">
        <f t="shared" ref="I65:L66" si="4">I66</f>
        <v>0</v>
      </c>
      <c r="J65" s="495">
        <f t="shared" si="4"/>
        <v>0</v>
      </c>
      <c r="K65" s="495">
        <f t="shared" si="4"/>
        <v>0</v>
      </c>
      <c r="L65" s="495">
        <f t="shared" si="4"/>
        <v>0</v>
      </c>
    </row>
    <row r="66" spans="1:12" ht="94.5" x14ac:dyDescent="0.2">
      <c r="A66" s="157" t="str">
        <f>IF(B66&gt;0,VLOOKUP(B66,КВСР!A62:B1227,2),IF(C66&gt;0,VLOOKUP(C66,КФСР!A62:B1574,2),IF(D66&gt;0,VLOOKUP(D66,Программа!A$1:B$5100,2),IF(F66&gt;0,VLOOKUP(F66,КВР!A$1:B$5001,2),IF(E66&gt;0,VLOOKUP(E66,Направление!A$1:B$4830,2))))))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66" s="158"/>
      <c r="C66" s="153"/>
      <c r="D66" s="154" t="s">
        <v>3197</v>
      </c>
      <c r="E66" s="153"/>
      <c r="F66" s="155"/>
      <c r="G66" s="495"/>
      <c r="H66" s="495">
        <f>H67</f>
        <v>0</v>
      </c>
      <c r="I66" s="495">
        <f t="shared" si="4"/>
        <v>0</v>
      </c>
      <c r="J66" s="495">
        <f t="shared" si="4"/>
        <v>0</v>
      </c>
      <c r="K66" s="495">
        <f t="shared" si="4"/>
        <v>0</v>
      </c>
      <c r="L66" s="495">
        <f t="shared" si="4"/>
        <v>0</v>
      </c>
    </row>
    <row r="67" spans="1:12" ht="78.75" x14ac:dyDescent="0.2">
      <c r="A67" s="157" t="str">
        <f>IF(B67&gt;0,VLOOKUP(B67,КВСР!A63:B1228,2),IF(C67&gt;0,VLOOKUP(C67,КФСР!A63:B1575,2),IF(D67&gt;0,VLOOKUP(D67,Программа!A$1:B$5100,2),IF(F67&gt;0,VLOOKUP(F67,КВР!A$1:B$5001,2),IF(E67&gt;0,VLOOKUP(E67,Направление!A$1:B$4830,2))))))</f>
        <v>Обеспечение мероприятий по  формированию современной городской среды в области дорожного хозяйства</v>
      </c>
      <c r="B67" s="158"/>
      <c r="C67" s="153"/>
      <c r="D67" s="154"/>
      <c r="E67" s="153">
        <v>29646</v>
      </c>
      <c r="F67" s="155"/>
      <c r="G67" s="495"/>
      <c r="H67" s="495">
        <f>H68</f>
        <v>0</v>
      </c>
      <c r="I67" s="495">
        <f>I68</f>
        <v>0</v>
      </c>
      <c r="J67" s="495">
        <f>J68</f>
        <v>0</v>
      </c>
      <c r="K67" s="495">
        <f>K68</f>
        <v>0</v>
      </c>
      <c r="L67" s="495">
        <f>L68</f>
        <v>0</v>
      </c>
    </row>
    <row r="68" spans="1:12" ht="78.75" x14ac:dyDescent="0.2">
      <c r="A68" s="157" t="str">
        <f>IF(B68&gt;0,VLOOKUP(B68,КВСР!A64:B1229,2),IF(C68&gt;0,VLOOKUP(C68,КФСР!A64:B1576,2),IF(D68&gt;0,VLOOKUP(D68,Программа!A$1:B$5100,2),IF(F68&gt;0,VLOOKUP(F68,КВР!A$1:B$5001,2),IF(E68&gt;0,VLOOKUP(E68,Направление!A$1:B$4830,2))))))</f>
        <v>Предоставление субсидий бюджетным, автономным учреждениям и иным некоммерческим организациям</v>
      </c>
      <c r="B68" s="158"/>
      <c r="C68" s="153"/>
      <c r="D68" s="154"/>
      <c r="E68" s="153"/>
      <c r="F68" s="155">
        <v>600</v>
      </c>
      <c r="G68" s="495"/>
      <c r="H68" s="194"/>
      <c r="I68" s="159">
        <f>SUM(G68:H68)</f>
        <v>0</v>
      </c>
      <c r="J68" s="495"/>
      <c r="K68" s="194"/>
      <c r="L68" s="159">
        <f>SUM(J68:K68)</f>
        <v>0</v>
      </c>
    </row>
    <row r="69" spans="1:12" ht="47.25" x14ac:dyDescent="0.2">
      <c r="A69" s="157" t="str">
        <f>IF(B69&gt;0,VLOOKUP(B69,КВСР!A61:B1226,2),IF(C69&gt;0,VLOOKUP(C69,КФСР!A61:B1573,2),IF(D69&gt;0,VLOOKUP(D69,Программа!A$1:B$5100,2),IF(F69&gt;0,VLOOKUP(F69,КВР!A$1:B$5001,2),IF(E69&gt;0,VLOOKUP(E69,Направление!A$1:B$4830,2))))))</f>
        <v>Межбюджетные трансферты  поселениям района</v>
      </c>
      <c r="B69" s="158"/>
      <c r="C69" s="153"/>
      <c r="D69" s="154" t="s">
        <v>801</v>
      </c>
      <c r="E69" s="153"/>
      <c r="F69" s="155"/>
      <c r="G69" s="818">
        <v>8500000</v>
      </c>
      <c r="H69" s="818">
        <f t="shared" ref="H69:L70" si="5">H70</f>
        <v>0</v>
      </c>
      <c r="I69" s="818">
        <f t="shared" si="5"/>
        <v>8500000</v>
      </c>
      <c r="J69" s="818">
        <f t="shared" si="5"/>
        <v>0</v>
      </c>
      <c r="K69" s="818">
        <f t="shared" si="5"/>
        <v>0</v>
      </c>
      <c r="L69" s="818">
        <f t="shared" si="5"/>
        <v>0</v>
      </c>
    </row>
    <row r="70" spans="1:12" ht="47.25" x14ac:dyDescent="0.2">
      <c r="A70" s="157" t="str">
        <f>IF(B70&gt;0,VLOOKUP(B70,КВСР!A62:B1227,2),IF(C70&gt;0,VLOOKUP(C70,КФСР!A62:B1574,2),IF(D70&gt;0,VLOOKUP(D70,Программа!A$1:B$5100,2),IF(F70&gt;0,VLOOKUP(F70,КВР!A$1:B$5001,2),IF(E70&gt;0,VLOOKUP(E70,Направление!A$1:B$4830,2))))))</f>
        <v>Содержание и ремонт  автомобильных дорог общего пользования</v>
      </c>
      <c r="B70" s="158"/>
      <c r="C70" s="153"/>
      <c r="D70" s="154"/>
      <c r="E70" s="153">
        <v>10200</v>
      </c>
      <c r="F70" s="155"/>
      <c r="G70" s="818">
        <v>8500000</v>
      </c>
      <c r="H70" s="818">
        <f t="shared" si="5"/>
        <v>0</v>
      </c>
      <c r="I70" s="818">
        <f t="shared" si="5"/>
        <v>8500000</v>
      </c>
      <c r="J70" s="818">
        <f t="shared" si="5"/>
        <v>0</v>
      </c>
      <c r="K70" s="818">
        <f t="shared" si="5"/>
        <v>0</v>
      </c>
      <c r="L70" s="818">
        <f t="shared" si="5"/>
        <v>0</v>
      </c>
    </row>
    <row r="71" spans="1:12" ht="31.5" x14ac:dyDescent="0.2">
      <c r="A71" s="157" t="str">
        <f>IF(B71&gt;0,VLOOKUP(B71,КВСР!A63:B1228,2),IF(C71&gt;0,VLOOKUP(C71,КФСР!A63:B1575,2),IF(D71&gt;0,VLOOKUP(D71,Программа!A$1:B$5100,2),IF(F71&gt;0,VLOOKUP(F71,КВР!A$1:B$5001,2),IF(E71&gt;0,VLOOKUP(E71,Направление!A$1:B$4830,2))))))</f>
        <v xml:space="preserve"> Межбюджетные трансферты</v>
      </c>
      <c r="B71" s="158"/>
      <c r="C71" s="153"/>
      <c r="D71" s="154"/>
      <c r="E71" s="153"/>
      <c r="F71" s="155">
        <v>500</v>
      </c>
      <c r="G71" s="818">
        <v>8500000</v>
      </c>
      <c r="H71" s="194"/>
      <c r="I71" s="159">
        <f t="shared" si="2"/>
        <v>8500000</v>
      </c>
      <c r="J71" s="495"/>
      <c r="K71" s="194"/>
      <c r="L71" s="159">
        <f>SUM(J71:K71)</f>
        <v>0</v>
      </c>
    </row>
    <row r="72" spans="1:12" ht="15.75" x14ac:dyDescent="0.2">
      <c r="A72" s="157" t="str">
        <f>IF(B72&gt;0,VLOOKUP(B72,КВСР!A64:B1229,2),IF(C72&gt;0,VLOOKUP(C72,КФСР!A64:B1576,2),IF(D72&gt;0,VLOOKUP(D72,Программа!A$1:B$5100,2),IF(F72&gt;0,VLOOKUP(F72,КВР!A$1:B$5001,2),IF(E72&gt;0,VLOOKUP(E72,Направление!A$1:B$4830,2))))))</f>
        <v>Благоустройство</v>
      </c>
      <c r="B72" s="158"/>
      <c r="C72" s="153">
        <v>503</v>
      </c>
      <c r="D72" s="154"/>
      <c r="E72" s="153"/>
      <c r="F72" s="155"/>
      <c r="G72" s="818"/>
      <c r="H72" s="495">
        <f>H73</f>
        <v>0</v>
      </c>
      <c r="I72" s="495">
        <f t="shared" ref="I72:L74" si="6">I73</f>
        <v>0</v>
      </c>
      <c r="J72" s="495">
        <f t="shared" si="6"/>
        <v>0</v>
      </c>
      <c r="K72" s="495">
        <f t="shared" si="6"/>
        <v>0</v>
      </c>
      <c r="L72" s="495">
        <f t="shared" si="6"/>
        <v>0</v>
      </c>
    </row>
    <row r="73" spans="1:12" ht="94.5" x14ac:dyDescent="0.2">
      <c r="A73" s="157" t="str">
        <f>IF(B73&gt;0,VLOOKUP(B73,КВСР!A65:B1230,2),IF(C73&gt;0,VLOOKUP(C73,КФСР!A65:B1577,2),IF(D73&gt;0,VLOOKUP(D73,Программа!A$1:B$5100,2),IF(F73&gt;0,VLOOKUP(F73,КВР!A$1:B$5001,2),IF(E73&gt;0,VLOOKUP(E73,Направление!A$1:B$4830,2))))))</f>
        <v>Муниципальная программа "Благоустройство  и санитарно-эпидемиологическая безопасность  Тутаевского муниципального района</v>
      </c>
      <c r="B73" s="158"/>
      <c r="C73" s="153"/>
      <c r="D73" s="154" t="s">
        <v>974</v>
      </c>
      <c r="E73" s="153"/>
      <c r="F73" s="155"/>
      <c r="G73" s="818"/>
      <c r="H73" s="495">
        <f>H74</f>
        <v>0</v>
      </c>
      <c r="I73" s="495">
        <f t="shared" si="6"/>
        <v>0</v>
      </c>
      <c r="J73" s="495">
        <f t="shared" si="6"/>
        <v>0</v>
      </c>
      <c r="K73" s="495">
        <f t="shared" si="6"/>
        <v>0</v>
      </c>
      <c r="L73" s="495">
        <f t="shared" si="6"/>
        <v>0</v>
      </c>
    </row>
    <row r="74" spans="1:12" ht="94.5" x14ac:dyDescent="0.2">
      <c r="A74" s="157" t="str">
        <f>IF(B74&gt;0,VLOOKUP(B74,КВСР!A66:B1231,2),IF(C74&gt;0,VLOOKUP(C74,КФСР!A66:B1578,2),IF(D74&gt;0,VLOOKUP(D74,Программа!A$1:B$5100,2),IF(F74&gt;0,VLOOKUP(F74,КВР!A$1:B$5001,2),IF(E74&gt;0,VLOOKUP(E74,Направление!A$1:B$4830,2))))))</f>
        <v>Муниципальная целевая программа "Благоустройство и озеленение территории  в Тутаевского муниципального  района"</v>
      </c>
      <c r="B74" s="158"/>
      <c r="C74" s="153"/>
      <c r="D74" s="154" t="s">
        <v>980</v>
      </c>
      <c r="E74" s="153"/>
      <c r="F74" s="155"/>
      <c r="G74" s="818"/>
      <c r="H74" s="495">
        <f>H75</f>
        <v>0</v>
      </c>
      <c r="I74" s="495">
        <f t="shared" si="6"/>
        <v>0</v>
      </c>
      <c r="J74" s="495">
        <f t="shared" si="6"/>
        <v>0</v>
      </c>
      <c r="K74" s="495">
        <f t="shared" si="6"/>
        <v>0</v>
      </c>
      <c r="L74" s="495">
        <f t="shared" si="6"/>
        <v>0</v>
      </c>
    </row>
    <row r="75" spans="1:12" ht="78.75" x14ac:dyDescent="0.2">
      <c r="A75" s="157" t="str">
        <f>IF(B75&gt;0,VLOOKUP(B75,КВСР!A67:B1232,2),IF(C75&gt;0,VLOOKUP(C75,КФСР!A67:B1579,2),IF(D75&gt;0,VLOOKUP(D75,Программа!A$1:B$5100,2),IF(F75&gt;0,VLOOKUP(F75,КВР!A$1:B$5001,2),IF(E75&gt;0,VLOOKUP(E75,Направление!A$1:B$4830,2))))))</f>
        <v>Улучшение уровня внешнего благоустройства и санитарного  состояния территорий Тутаевского муниципального района</v>
      </c>
      <c r="B75" s="158"/>
      <c r="C75" s="153"/>
      <c r="D75" s="154" t="s">
        <v>982</v>
      </c>
      <c r="E75" s="153"/>
      <c r="F75" s="155"/>
      <c r="G75" s="818"/>
      <c r="H75" s="495">
        <f>H76+H78+H80</f>
        <v>0</v>
      </c>
      <c r="I75" s="495">
        <f>I76+I78+I80</f>
        <v>0</v>
      </c>
      <c r="J75" s="495">
        <f>J76+J78+J80</f>
        <v>0</v>
      </c>
      <c r="K75" s="495">
        <f>K76+K78+K80</f>
        <v>0</v>
      </c>
      <c r="L75" s="495">
        <f>L76+L78+L80</f>
        <v>0</v>
      </c>
    </row>
    <row r="76" spans="1:12" ht="31.5" x14ac:dyDescent="0.2">
      <c r="A76" s="157" t="str">
        <f>IF(B76&gt;0,VLOOKUP(B76,КВСР!A68:B1233,2),IF(C76&gt;0,VLOOKUP(C76,КФСР!A68:B1580,2),IF(D76&gt;0,VLOOKUP(D76,Программа!A$1:B$5100,2),IF(F76&gt;0,VLOOKUP(F76,КВР!A$1:B$5001,2),IF(E76&gt;0,VLOOKUP(E76,Направление!A$1:B$4830,2))))))</f>
        <v>Обеспечение мероприятий по уличному освещению</v>
      </c>
      <c r="B76" s="158"/>
      <c r="C76" s="153"/>
      <c r="D76" s="154"/>
      <c r="E76" s="153">
        <v>29236</v>
      </c>
      <c r="F76" s="155"/>
      <c r="G76" s="818"/>
      <c r="H76" s="495">
        <f>H77</f>
        <v>0</v>
      </c>
      <c r="I76" s="495">
        <f>I77</f>
        <v>0</v>
      </c>
      <c r="J76" s="495">
        <f>J77</f>
        <v>0</v>
      </c>
      <c r="K76" s="495">
        <f>K77</f>
        <v>0</v>
      </c>
      <c r="L76" s="495">
        <f>L77</f>
        <v>0</v>
      </c>
    </row>
    <row r="77" spans="1:12" ht="78.75" x14ac:dyDescent="0.2">
      <c r="A77" s="157" t="str">
        <f>IF(B77&gt;0,VLOOKUP(B77,КВСР!A69:B1234,2),IF(C77&gt;0,VLOOKUP(C77,КФСР!A69:B1581,2),IF(D77&gt;0,VLOOKUP(D77,Программа!A$1:B$5100,2),IF(F77&gt;0,VLOOKUP(F77,КВР!A$1:B$5001,2),IF(E77&gt;0,VLOOKUP(E77,Направление!A$1:B$4830,2))))))</f>
        <v>Предоставление субсидий бюджетным, автономным учреждениям и иным некоммерческим организациям</v>
      </c>
      <c r="B77" s="158"/>
      <c r="C77" s="153"/>
      <c r="D77" s="154"/>
      <c r="E77" s="153"/>
      <c r="F77" s="155">
        <v>600</v>
      </c>
      <c r="G77" s="818"/>
      <c r="H77" s="194"/>
      <c r="I77" s="159">
        <f>SUM(G77:H77)</f>
        <v>0</v>
      </c>
      <c r="J77" s="495"/>
      <c r="K77" s="194"/>
      <c r="L77" s="159">
        <f>SUM(J77:K77)</f>
        <v>0</v>
      </c>
    </row>
    <row r="78" spans="1:12" ht="78.75" x14ac:dyDescent="0.2">
      <c r="A78" s="157" t="str">
        <f>IF(B78&gt;0,VLOOKUP(B78,КВСР!A70:B1235,2),IF(C78&gt;0,VLOOKUP(C78,КФСР!A70:B1582,2),IF(D78&gt;0,VLOOKUP(D78,Программа!A$1:B$5100,2),IF(F78&gt;0,VLOOKUP(F78,КВР!A$1:B$5001,2),IF(E78&gt;0,VLOOKUP(E78,Направление!A$1:B$4830,2))))))</f>
        <v>Обеспечение мероприятий по техническому содержанию, текущему и капитальному ремонту сетей уличного освещения</v>
      </c>
      <c r="B78" s="158"/>
      <c r="C78" s="153"/>
      <c r="D78" s="154"/>
      <c r="E78" s="153">
        <v>29246</v>
      </c>
      <c r="F78" s="155"/>
      <c r="G78" s="818"/>
      <c r="H78" s="495">
        <f>H79</f>
        <v>0</v>
      </c>
      <c r="I78" s="495">
        <f>I79</f>
        <v>0</v>
      </c>
      <c r="J78" s="495">
        <f>J79</f>
        <v>0</v>
      </c>
      <c r="K78" s="495">
        <f>K79</f>
        <v>0</v>
      </c>
      <c r="L78" s="495">
        <f>L79</f>
        <v>0</v>
      </c>
    </row>
    <row r="79" spans="1:12" ht="78.75" x14ac:dyDescent="0.2">
      <c r="A79" s="157" t="str">
        <f>IF(B79&gt;0,VLOOKUP(B79,КВСР!A71:B1236,2),IF(C79&gt;0,VLOOKUP(C79,КФСР!A71:B1583,2),IF(D79&gt;0,VLOOKUP(D79,Программа!A$1:B$5100,2),IF(F79&gt;0,VLOOKUP(F79,КВР!A$1:B$5001,2),IF(E79&gt;0,VLOOKUP(E79,Направление!A$1:B$4830,2))))))</f>
        <v>Предоставление субсидий бюджетным, автономным учреждениям и иным некоммерческим организациям</v>
      </c>
      <c r="B79" s="158"/>
      <c r="C79" s="153"/>
      <c r="D79" s="154"/>
      <c r="E79" s="153"/>
      <c r="F79" s="155">
        <v>600</v>
      </c>
      <c r="G79" s="818"/>
      <c r="H79" s="194"/>
      <c r="I79" s="159">
        <f>SUM(G79:H79)</f>
        <v>0</v>
      </c>
      <c r="J79" s="495"/>
      <c r="K79" s="194"/>
      <c r="L79" s="159">
        <f>SUM(J79:K79)</f>
        <v>0</v>
      </c>
    </row>
    <row r="80" spans="1:12" ht="60" customHeight="1" x14ac:dyDescent="0.2">
      <c r="A80" s="157" t="str">
        <f>IF(B80&gt;0,VLOOKUP(B80,КВСР!A72:B1237,2),IF(C80&gt;0,VLOOKUP(C80,КФСР!A72:B1584,2),IF(D80&gt;0,VLOOKUP(D80,Программа!A$1:B$5100,2),IF(F80&gt;0,VLOOKUP(F80,КВР!A$1:B$5001,2),IF(E80&gt;0,VLOOKUP(E80,Направление!A$1:B$4830,2))))))</f>
        <v>Содержание и организация деятельности по благоустройству на территории поселения</v>
      </c>
      <c r="B80" s="158"/>
      <c r="C80" s="153"/>
      <c r="D80" s="154"/>
      <c r="E80" s="153">
        <v>29256</v>
      </c>
      <c r="F80" s="155"/>
      <c r="G80" s="818"/>
      <c r="H80" s="495">
        <f>H81</f>
        <v>0</v>
      </c>
      <c r="I80" s="495">
        <f>I81</f>
        <v>0</v>
      </c>
      <c r="J80" s="495">
        <f>J81</f>
        <v>0</v>
      </c>
      <c r="K80" s="495">
        <f>K81</f>
        <v>0</v>
      </c>
      <c r="L80" s="495">
        <f>L81</f>
        <v>0</v>
      </c>
    </row>
    <row r="81" spans="1:12" ht="78.75" x14ac:dyDescent="0.2">
      <c r="A81" s="157" t="str">
        <f>IF(B81&gt;0,VLOOKUP(B81,КВСР!A73:B1238,2),IF(C81&gt;0,VLOOKUP(C81,КФСР!A73:B1585,2),IF(D81&gt;0,VLOOKUP(D81,Программа!A$1:B$5100,2),IF(F81&gt;0,VLOOKUP(F81,КВР!A$1:B$5001,2),IF(E81&gt;0,VLOOKUP(E81,Направление!A$1:B$4830,2))))))</f>
        <v>Предоставление субсидий бюджетным, автономным учреждениям и иным некоммерческим организациям</v>
      </c>
      <c r="B81" s="158"/>
      <c r="C81" s="153"/>
      <c r="D81" s="154"/>
      <c r="E81" s="153"/>
      <c r="F81" s="155">
        <v>600</v>
      </c>
      <c r="G81" s="818"/>
      <c r="H81" s="194"/>
      <c r="I81" s="159">
        <f>SUM(G81:H81)</f>
        <v>0</v>
      </c>
      <c r="J81" s="495"/>
      <c r="K81" s="194"/>
      <c r="L81" s="159">
        <f>SUM(J81:K81)</f>
        <v>0</v>
      </c>
    </row>
    <row r="82" spans="1:12" ht="63" x14ac:dyDescent="0.2">
      <c r="A82" s="151" t="str">
        <f>IF(B82&gt;0,VLOOKUP(B82,КВСР!A51:B1216,2),IF(C82&gt;0,VLOOKUP(C82,КФСР!A51:B1563,2),IF(D82&gt;0,VLOOKUP(D82,Программа!A$1:B$5100,2),IF(F82&gt;0,VLOOKUP(F82,КВР!A$1:B$5001,2),IF(E82&gt;0,VLOOKUP(E82,Направление!A$1:B$4830,2))))))</f>
        <v>Департамент муниципального имущества Администрации ТМР</v>
      </c>
      <c r="B82" s="152">
        <v>952</v>
      </c>
      <c r="C82" s="153"/>
      <c r="D82" s="154"/>
      <c r="E82" s="153"/>
      <c r="F82" s="155"/>
      <c r="G82" s="610">
        <v>9544562</v>
      </c>
      <c r="H82" s="156">
        <f>H83</f>
        <v>0</v>
      </c>
      <c r="I82" s="625">
        <f t="shared" si="2"/>
        <v>9544562</v>
      </c>
      <c r="J82" s="626">
        <v>8494562</v>
      </c>
      <c r="K82" s="625">
        <f>K83</f>
        <v>0</v>
      </c>
      <c r="L82" s="625">
        <f t="shared" si="3"/>
        <v>8494562</v>
      </c>
    </row>
    <row r="83" spans="1:12" ht="47.25" x14ac:dyDescent="0.2">
      <c r="A83" s="157" t="str">
        <f>IF(B83&gt;0,VLOOKUP(B83,КВСР!A52:B1217,2),IF(C83&gt;0,VLOOKUP(C83,КФСР!A52:B1564,2),IF(D83&gt;0,VLOOKUP(D83,Программа!A$1:B$5100,2),IF(F83&gt;0,VLOOKUP(F83,КВР!A$1:B$5001,2),IF(E83&gt;0,VLOOKUP(E83,Направление!A$1:B$4830,2))))))</f>
        <v>Другие общегосударственные вопросы</v>
      </c>
      <c r="B83" s="158"/>
      <c r="C83" s="153">
        <v>113</v>
      </c>
      <c r="D83" s="154"/>
      <c r="E83" s="153"/>
      <c r="F83" s="155"/>
      <c r="G83" s="504">
        <v>9544562</v>
      </c>
      <c r="H83" s="504">
        <f>H88+H84</f>
        <v>0</v>
      </c>
      <c r="I83" s="504">
        <f>I88+I84</f>
        <v>9544562</v>
      </c>
      <c r="J83" s="504">
        <v>8494562</v>
      </c>
      <c r="K83" s="504">
        <f>K88+K84</f>
        <v>0</v>
      </c>
      <c r="L83" s="504">
        <f>L88+L84</f>
        <v>8494562</v>
      </c>
    </row>
    <row r="84" spans="1:12" ht="110.25" x14ac:dyDescent="0.2">
      <c r="A84" s="157" t="str">
        <f>IF(B84&gt;0,VLOOKUP(B84,КВСР!A53:B1218,2),IF(C84&gt;0,VLOOKUP(C84,КФСР!A53:B1565,2),IF(D84&gt;0,VLOOKUP(D84,Программа!A$1:B$5100,2),IF(F84&gt;0,VLOOKUP(F84,КВР!A$1:B$5001,2),IF(E84&gt;0,VLOOKUP(E84,Направление!A$1:B$4830,2))))))</f>
        <v>Муниципальная программа "Информатизация управленческой деятельности Администрации Тутаевского муниципального района"</v>
      </c>
      <c r="B84" s="158"/>
      <c r="C84" s="153"/>
      <c r="D84" s="154" t="s">
        <v>642</v>
      </c>
      <c r="E84" s="153"/>
      <c r="F84" s="155"/>
      <c r="G84" s="504">
        <v>318000</v>
      </c>
      <c r="H84" s="504">
        <f t="shared" ref="H84:L85" si="7">H85</f>
        <v>0</v>
      </c>
      <c r="I84" s="504">
        <f t="shared" si="7"/>
        <v>318000</v>
      </c>
      <c r="J84" s="504">
        <v>118000</v>
      </c>
      <c r="K84" s="504">
        <f t="shared" si="7"/>
        <v>0</v>
      </c>
      <c r="L84" s="504">
        <f>L85</f>
        <v>118000</v>
      </c>
    </row>
    <row r="85" spans="1:12" ht="47.25" x14ac:dyDescent="0.2">
      <c r="A85" s="157" t="str">
        <f>IF(B85&gt;0,VLOOKUP(B85,КВСР!A54:B1219,2),IF(C85&gt;0,VLOOKUP(C85,КФСР!A54:B1566,2),IF(D85&gt;0,VLOOKUP(D85,Программа!A$1:B$5100,2),IF(F85&gt;0,VLOOKUP(F85,КВР!A$1:B$5001,2),IF(E85&gt;0,VLOOKUP(E85,Направление!A$1:B$4830,2))))))</f>
        <v>Бесперебойное функционирование информационных систем</v>
      </c>
      <c r="B85" s="158"/>
      <c r="C85" s="153"/>
      <c r="D85" s="154" t="s">
        <v>679</v>
      </c>
      <c r="E85" s="153"/>
      <c r="F85" s="155"/>
      <c r="G85" s="504">
        <v>318000</v>
      </c>
      <c r="H85" s="504">
        <f t="shared" si="7"/>
        <v>0</v>
      </c>
      <c r="I85" s="504">
        <f t="shared" si="7"/>
        <v>318000</v>
      </c>
      <c r="J85" s="504">
        <v>118000</v>
      </c>
      <c r="K85" s="504">
        <f t="shared" si="7"/>
        <v>0</v>
      </c>
      <c r="L85" s="504">
        <f t="shared" si="7"/>
        <v>118000</v>
      </c>
    </row>
    <row r="86" spans="1:12" ht="47.25" x14ac:dyDescent="0.2">
      <c r="A86" s="157" t="str">
        <f>IF(B86&gt;0,VLOOKUP(B86,КВСР!A55:B1220,2),IF(C86&gt;0,VLOOKUP(C86,КФСР!A55:B1567,2),IF(D86&gt;0,VLOOKUP(D86,Программа!A$1:B$5100,2),IF(F86&gt;0,VLOOKUP(F86,КВР!A$1:B$5001,2),IF(E86&gt;0,VLOOKUP(E86,Направление!A$1:B$4830,2))))))</f>
        <v>Расходы на проведение мероприятий по информатизации</v>
      </c>
      <c r="B86" s="158"/>
      <c r="C86" s="153"/>
      <c r="D86" s="154"/>
      <c r="E86" s="153">
        <v>12210</v>
      </c>
      <c r="F86" s="155"/>
      <c r="G86" s="504">
        <v>318000</v>
      </c>
      <c r="H86" s="504">
        <f>H87</f>
        <v>0</v>
      </c>
      <c r="I86" s="504">
        <f>I87</f>
        <v>318000</v>
      </c>
      <c r="J86" s="504">
        <v>118000</v>
      </c>
      <c r="K86" s="504">
        <f>K87</f>
        <v>0</v>
      </c>
      <c r="L86" s="504">
        <f>L87</f>
        <v>118000</v>
      </c>
    </row>
    <row r="87" spans="1:12" ht="78.75" x14ac:dyDescent="0.2">
      <c r="A87" s="157" t="str">
        <f>IF(B87&gt;0,VLOOKUP(B87,КВСР!A56:B1221,2),IF(C87&gt;0,VLOOKUP(C87,КФСР!A56:B1568,2),IF(D87&gt;0,VLOOKUP(D87,Программа!A$1:B$5100,2),IF(F87&gt;0,VLOOKUP(F87,КВР!A$1:B$5001,2),IF(E87&gt;0,VLOOKUP(E87,Направление!A$1:B$4830,2))))))</f>
        <v xml:space="preserve">Закупка товаров, работ и услуг для обеспечения государственных (муниципальных) нужд
</v>
      </c>
      <c r="B87" s="158"/>
      <c r="C87" s="153"/>
      <c r="D87" s="154"/>
      <c r="E87" s="153"/>
      <c r="F87" s="155">
        <v>200</v>
      </c>
      <c r="G87" s="504">
        <v>318000</v>
      </c>
      <c r="H87" s="159"/>
      <c r="I87" s="159">
        <f>G87+H87</f>
        <v>318000</v>
      </c>
      <c r="J87" s="504">
        <v>118000</v>
      </c>
      <c r="K87" s="159"/>
      <c r="L87" s="504">
        <f>J87+K87</f>
        <v>118000</v>
      </c>
    </row>
    <row r="88" spans="1:12" ht="31.5" x14ac:dyDescent="0.2">
      <c r="A88" s="157" t="str">
        <f>IF(B88&gt;0,VLOOKUP(B88,КВСР!A53:B1218,2),IF(C88&gt;0,VLOOKUP(C88,КФСР!A53:B1565,2),IF(D88&gt;0,VLOOKUP(D88,Программа!A$1:B$5100,2),IF(F88&gt;0,VLOOKUP(F88,КВР!A$1:B$5001,2),IF(E88&gt;0,VLOOKUP(E88,Направление!A$1:B$4830,2))))))</f>
        <v>Непрограммные расходы бюджета</v>
      </c>
      <c r="B88" s="158"/>
      <c r="C88" s="153"/>
      <c r="D88" s="154" t="s">
        <v>626</v>
      </c>
      <c r="E88" s="153"/>
      <c r="F88" s="155"/>
      <c r="G88" s="504">
        <v>9226562</v>
      </c>
      <c r="H88" s="504">
        <f>H89+H95+H93</f>
        <v>0</v>
      </c>
      <c r="I88" s="504">
        <f>I89+I95+I93</f>
        <v>9226562</v>
      </c>
      <c r="J88" s="504">
        <v>8376562</v>
      </c>
      <c r="K88" s="504">
        <f>K89+K95+K93</f>
        <v>0</v>
      </c>
      <c r="L88" s="504">
        <f>L89+L95+L93</f>
        <v>8376562</v>
      </c>
    </row>
    <row r="89" spans="1:12" ht="31.5" x14ac:dyDescent="0.2">
      <c r="A89" s="157" t="str">
        <f>IF(B89&gt;0,VLOOKUP(B89,КВСР!A54:B1219,2),IF(C89&gt;0,VLOOKUP(C89,КФСР!A54:B1566,2),IF(D89&gt;0,VLOOKUP(D89,Программа!A$1:B$5100,2),IF(F89&gt;0,VLOOKUP(F89,КВР!A$1:B$5001,2),IF(E89&gt;0,VLOOKUP(E89,Направление!A$1:B$4830,2))))))</f>
        <v>Содержание центрального аппарата</v>
      </c>
      <c r="B89" s="158"/>
      <c r="C89" s="153"/>
      <c r="D89" s="154"/>
      <c r="E89" s="153">
        <v>12010</v>
      </c>
      <c r="F89" s="155"/>
      <c r="G89" s="504">
        <v>8376562</v>
      </c>
      <c r="H89" s="504">
        <f>H90+H91+H92</f>
        <v>0</v>
      </c>
      <c r="I89" s="504">
        <f>I90+I91+I92</f>
        <v>8376562</v>
      </c>
      <c r="J89" s="504">
        <v>8376562</v>
      </c>
      <c r="K89" s="504">
        <f>K90+K91+K92</f>
        <v>0</v>
      </c>
      <c r="L89" s="504">
        <f>L90+L91+L92</f>
        <v>8376562</v>
      </c>
    </row>
    <row r="90" spans="1:12" ht="173.25" x14ac:dyDescent="0.2">
      <c r="A90" s="157" t="str">
        <f>IF(B90&gt;0,VLOOKUP(B90,КВСР!A55:B1220,2),IF(C90&gt;0,VLOOKUP(C90,КФСР!A55:B1567,2),IF(D90&gt;0,VLOOKUP(D90,Программа!A$1:B$5100,2),IF(F90&gt;0,VLOOKUP(F90,КВР!A$1:B$5001,2),IF(E90&gt;0,VLOOKUP(E90,Направление!A$1:B$4830,2))))))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 s="158"/>
      <c r="C90" s="153"/>
      <c r="D90" s="154"/>
      <c r="E90" s="153"/>
      <c r="F90" s="155">
        <v>100</v>
      </c>
      <c r="G90" s="495">
        <v>7541378</v>
      </c>
      <c r="H90" s="194"/>
      <c r="I90" s="159">
        <f>SUM(G90:H90)</f>
        <v>7541378</v>
      </c>
      <c r="J90" s="495">
        <v>7541378</v>
      </c>
      <c r="K90" s="194"/>
      <c r="L90" s="159">
        <f t="shared" si="3"/>
        <v>7541378</v>
      </c>
    </row>
    <row r="91" spans="1:12" ht="78.75" x14ac:dyDescent="0.2">
      <c r="A91" s="157" t="str">
        <f>IF(B91&gt;0,VLOOKUP(B91,КВСР!A56:B1221,2),IF(C91&gt;0,VLOOKUP(C91,КФСР!A56:B1568,2),IF(D91&gt;0,VLOOKUP(D91,Программа!A$1:B$5100,2),IF(F91&gt;0,VLOOKUP(F91,КВР!A$1:B$5001,2),IF(E91&gt;0,VLOOKUP(E91,Направление!A$1:B$4830,2))))))</f>
        <v xml:space="preserve">Закупка товаров, работ и услуг для обеспечения государственных (муниципальных) нужд
</v>
      </c>
      <c r="B91" s="158"/>
      <c r="C91" s="153"/>
      <c r="D91" s="154"/>
      <c r="E91" s="153"/>
      <c r="F91" s="155">
        <v>200</v>
      </c>
      <c r="G91" s="495">
        <v>745184</v>
      </c>
      <c r="H91" s="194"/>
      <c r="I91" s="159">
        <f>SUM(G91:H91)</f>
        <v>745184</v>
      </c>
      <c r="J91" s="495">
        <v>745184</v>
      </c>
      <c r="K91" s="194"/>
      <c r="L91" s="159">
        <f t="shared" si="3"/>
        <v>745184</v>
      </c>
    </row>
    <row r="92" spans="1:12" ht="31.5" x14ac:dyDescent="0.2">
      <c r="A92" s="157" t="str">
        <f>IF(B92&gt;0,VLOOKUP(B92,КВСР!A57:B1222,2),IF(C92&gt;0,VLOOKUP(C92,КФСР!A57:B1569,2),IF(D92&gt;0,VLOOKUP(D92,Программа!A$1:B$5100,2),IF(F92&gt;0,VLOOKUP(F92,КВР!A$1:B$5001,2),IF(E92&gt;0,VLOOKUP(E92,Направление!A$1:B$4830,2))))))</f>
        <v>Иные бюджетные ассигнования</v>
      </c>
      <c r="B92" s="158"/>
      <c r="C92" s="153"/>
      <c r="D92" s="154"/>
      <c r="E92" s="153"/>
      <c r="F92" s="155">
        <v>800</v>
      </c>
      <c r="G92" s="495">
        <v>90000</v>
      </c>
      <c r="H92" s="194"/>
      <c r="I92" s="159">
        <f>SUM(G92:H92)</f>
        <v>90000</v>
      </c>
      <c r="J92" s="495">
        <v>90000</v>
      </c>
      <c r="K92" s="194"/>
      <c r="L92" s="159">
        <f t="shared" si="3"/>
        <v>90000</v>
      </c>
    </row>
    <row r="93" spans="1:12" ht="47.25" x14ac:dyDescent="0.2">
      <c r="A93" s="157" t="str">
        <f>IF(B93&gt;0,VLOOKUP(B93,КВСР!A57:B1222,2),IF(C93&gt;0,VLOOKUP(C93,КФСР!A57:B1569,2),IF(D93&gt;0,VLOOKUP(D93,Программа!A$1:B$5100,2),IF(F93&gt;0,VLOOKUP(F93,КВР!A$1:B$5001,2),IF(E93&gt;0,VLOOKUP(E93,Направление!A$1:B$4830,2))))))</f>
        <v>Выполнение других обязательств органов местного самоуправления</v>
      </c>
      <c r="B93" s="158"/>
      <c r="C93" s="153"/>
      <c r="D93" s="154"/>
      <c r="E93" s="153">
        <v>12080</v>
      </c>
      <c r="F93" s="155"/>
      <c r="G93" s="495">
        <v>850000</v>
      </c>
      <c r="H93" s="495">
        <f>H94</f>
        <v>0</v>
      </c>
      <c r="I93" s="495">
        <f>I94</f>
        <v>850000</v>
      </c>
      <c r="J93" s="495">
        <v>0</v>
      </c>
      <c r="K93" s="495">
        <f>K94</f>
        <v>0</v>
      </c>
      <c r="L93" s="159">
        <f t="shared" si="3"/>
        <v>0</v>
      </c>
    </row>
    <row r="94" spans="1:12" ht="78.75" x14ac:dyDescent="0.2">
      <c r="A94" s="157" t="str">
        <f>IF(B94&gt;0,VLOOKUP(B94,КВСР!A58:B1223,2),IF(C94&gt;0,VLOOKUP(C94,КФСР!A58:B1570,2),IF(D94&gt;0,VLOOKUP(D94,Программа!A$1:B$5100,2),IF(F94&gt;0,VLOOKUP(F94,КВР!A$1:B$5001,2),IF(E94&gt;0,VLOOKUP(E94,Направление!A$1:B$4830,2))))))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8"/>
      <c r="C94" s="153"/>
      <c r="D94" s="154"/>
      <c r="E94" s="153"/>
      <c r="F94" s="155">
        <v>200</v>
      </c>
      <c r="G94" s="495">
        <v>850000</v>
      </c>
      <c r="H94" s="194"/>
      <c r="I94" s="159">
        <f>G94+H94</f>
        <v>850000</v>
      </c>
      <c r="J94" s="495">
        <v>0</v>
      </c>
      <c r="K94" s="194"/>
      <c r="L94" s="159">
        <f t="shared" si="3"/>
        <v>0</v>
      </c>
    </row>
    <row r="95" spans="1:12" ht="47.25" hidden="1" x14ac:dyDescent="0.2">
      <c r="A95" s="157" t="str">
        <f>IF(B95&gt;0,VLOOKUP(B95,КВСР!A56:B1221,2),IF(C95&gt;0,VLOOKUP(C95,КФСР!A56:B1568,2),IF(D95&gt;0,VLOOKUP(D95,Программа!A$1:B$5100,2),IF(F95&gt;0,VLOOKUP(F95,КВР!A$1:B$5001,2),IF(E95&gt;0,VLOOKUP(E95,Направление!A$1:B$4830,2))))))</f>
        <v>Содержание органов местного самоуправления за счет средств поселений</v>
      </c>
      <c r="B95" s="158"/>
      <c r="C95" s="153"/>
      <c r="D95" s="154"/>
      <c r="E95" s="153">
        <v>29016</v>
      </c>
      <c r="F95" s="155"/>
      <c r="G95" s="504">
        <v>0</v>
      </c>
      <c r="H95" s="159">
        <f>H96+H97</f>
        <v>0</v>
      </c>
      <c r="I95" s="159">
        <f t="shared" si="2"/>
        <v>0</v>
      </c>
      <c r="J95" s="504">
        <v>0</v>
      </c>
      <c r="K95" s="159">
        <f>K96+K97</f>
        <v>0</v>
      </c>
      <c r="L95" s="159">
        <f t="shared" si="3"/>
        <v>0</v>
      </c>
    </row>
    <row r="96" spans="1:12" ht="173.25" hidden="1" x14ac:dyDescent="0.2">
      <c r="A96" s="157" t="str">
        <f>IF(B96&gt;0,VLOOKUP(B96,КВСР!A57:B1222,2),IF(C96&gt;0,VLOOKUP(C96,КФСР!A57:B1569,2),IF(D96&gt;0,VLOOKUP(D96,Программа!A$1:B$5100,2),IF(F96&gt;0,VLOOKUP(F96,КВР!A$1:B$5001,2),IF(E96&gt;0,VLOOKUP(E96,Направление!A$1:B$4830,2))))))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6" s="158"/>
      <c r="C96" s="153"/>
      <c r="D96" s="154"/>
      <c r="E96" s="153"/>
      <c r="F96" s="155">
        <v>100</v>
      </c>
      <c r="G96" s="495">
        <v>0</v>
      </c>
      <c r="H96" s="194"/>
      <c r="I96" s="159">
        <f t="shared" si="2"/>
        <v>0</v>
      </c>
      <c r="J96" s="495">
        <v>0</v>
      </c>
      <c r="K96" s="194"/>
      <c r="L96" s="159">
        <f t="shared" si="3"/>
        <v>0</v>
      </c>
    </row>
    <row r="97" spans="1:12" ht="78.75" hidden="1" x14ac:dyDescent="0.2">
      <c r="A97" s="157" t="str">
        <f>IF(B97&gt;0,VLOOKUP(B97,КВСР!A58:B1223,2),IF(C97&gt;0,VLOOKUP(C97,КФСР!A58:B1570,2),IF(D97&gt;0,VLOOKUP(D97,Программа!A$1:B$5100,2),IF(F97&gt;0,VLOOKUP(F97,КВР!A$1:B$5001,2),IF(E97&gt;0,VLOOKUP(E97,Направление!A$1:B$4830,2))))))</f>
        <v xml:space="preserve">Закупка товаров, работ и услуг для обеспечения государственных (муниципальных) нужд
</v>
      </c>
      <c r="B97" s="158"/>
      <c r="C97" s="153"/>
      <c r="D97" s="154"/>
      <c r="E97" s="153"/>
      <c r="F97" s="155">
        <v>200</v>
      </c>
      <c r="G97" s="495">
        <v>0</v>
      </c>
      <c r="H97" s="194"/>
      <c r="I97" s="159">
        <f t="shared" si="2"/>
        <v>0</v>
      </c>
      <c r="J97" s="495">
        <v>0</v>
      </c>
      <c r="K97" s="194"/>
      <c r="L97" s="159">
        <f t="shared" si="3"/>
        <v>0</v>
      </c>
    </row>
    <row r="98" spans="1:12" s="196" customFormat="1" ht="31.5" x14ac:dyDescent="0.2">
      <c r="A98" s="151" t="str">
        <f>IF(B98&gt;0,VLOOKUP(B98,КВСР!A76:B1241,2),IF(C98&gt;0,VLOOKUP(C98,КФСР!A76:B1588,2),IF(D98&gt;0,VLOOKUP(D98,Программа!A$1:B$5100,2),IF(F98&gt;0,VLOOKUP(F98,КВР!A$1:B$5001,2),IF(E98&gt;0,VLOOKUP(E98,Направление!A$1:B$4830,2))))))</f>
        <v>Департамент образования Администрации ТМР</v>
      </c>
      <c r="B98" s="152">
        <v>953</v>
      </c>
      <c r="C98" s="187"/>
      <c r="D98" s="188"/>
      <c r="E98" s="187"/>
      <c r="F98" s="189"/>
      <c r="G98" s="610">
        <v>912438897</v>
      </c>
      <c r="H98" s="610">
        <f>H99+H113+H127+H139+H153+H187+H207+H181+H133</f>
        <v>0</v>
      </c>
      <c r="I98" s="610">
        <f>I99+I113+I127+I139+I153+I187+I207+I181+I133</f>
        <v>912438897</v>
      </c>
      <c r="J98" s="610">
        <v>776421353</v>
      </c>
      <c r="K98" s="610">
        <f>K99+K113+K127+K139+K153+K187+K207+K181+K133</f>
        <v>0</v>
      </c>
      <c r="L98" s="610">
        <f>L99+L113+L127+L139+L153+L187+L207+L181+L133</f>
        <v>776421353</v>
      </c>
    </row>
    <row r="99" spans="1:12" ht="15.75" x14ac:dyDescent="0.2">
      <c r="A99" s="157" t="str">
        <f>IF(B99&gt;0,VLOOKUP(B99,КВСР!A81:B1246,2),IF(C99&gt;0,VLOOKUP(C99,КФСР!A81:B1593,2),IF(D99&gt;0,VLOOKUP(D99,Программа!A$1:B$5100,2),IF(F99&gt;0,VLOOKUP(F99,КВР!A$1:B$5001,2),IF(E99&gt;0,VLOOKUP(E99,Направление!A$1:B$4830,2))))))</f>
        <v>Дошкольное образование</v>
      </c>
      <c r="B99" s="158"/>
      <c r="C99" s="153">
        <v>701</v>
      </c>
      <c r="D99" s="154"/>
      <c r="E99" s="153"/>
      <c r="F99" s="155"/>
      <c r="G99" s="504">
        <v>365941675</v>
      </c>
      <c r="H99" s="159">
        <f>H100</f>
        <v>0</v>
      </c>
      <c r="I99" s="159">
        <f t="shared" si="2"/>
        <v>365941675</v>
      </c>
      <c r="J99" s="504">
        <v>311620410</v>
      </c>
      <c r="K99" s="159">
        <f>K100</f>
        <v>0</v>
      </c>
      <c r="L99" s="159">
        <f t="shared" si="3"/>
        <v>311620410</v>
      </c>
    </row>
    <row r="100" spans="1:12" ht="78.75" x14ac:dyDescent="0.2">
      <c r="A100" s="157" t="str">
        <f>IF(B100&gt;0,VLOOKUP(B100,КВСР!A82:B1247,2),IF(C100&gt;0,VLOOKUP(C100,КФСР!A82:B1594,2),IF(D100&gt;0,VLOOKUP(D100,Программа!A$1:B$5100,2),IF(F100&gt;0,VLOOKUP(F100,КВР!A$1:B$5001,2),IF(E100&gt;0,VLOOKUP(E100,Направление!A$1:B$4830,2))))))</f>
        <v>Муниципальная программа "Развитие образования, физической культуры и спорта в Тутаевском муниципальном районе"</v>
      </c>
      <c r="B100" s="158"/>
      <c r="C100" s="153"/>
      <c r="D100" s="154" t="s">
        <v>686</v>
      </c>
      <c r="E100" s="153"/>
      <c r="F100" s="155"/>
      <c r="G100" s="504">
        <v>365941675</v>
      </c>
      <c r="H100" s="159">
        <f>H101</f>
        <v>0</v>
      </c>
      <c r="I100" s="159">
        <f t="shared" si="2"/>
        <v>365941675</v>
      </c>
      <c r="J100" s="504">
        <v>311620410</v>
      </c>
      <c r="K100" s="159">
        <f>K101</f>
        <v>0</v>
      </c>
      <c r="L100" s="159">
        <f t="shared" si="3"/>
        <v>311620410</v>
      </c>
    </row>
    <row r="101" spans="1:12" ht="94.5" x14ac:dyDescent="0.2">
      <c r="A101" s="157" t="str">
        <f>IF(B101&gt;0,VLOOKUP(B101,КВСР!A83:B1248,2),IF(C101&gt;0,VLOOKUP(C101,КФСР!A83:B1595,2),IF(D101&gt;0,VLOOKUP(D101,Программа!A$1:B$5100,2),IF(F101&gt;0,VLOOKUP(F101,КВР!A$1:B$5001,2),IF(E101&gt;0,VLOOKUP(E101,Направление!A$1:B$4830,2))))))</f>
        <v xml:space="preserve">Ведомственная целевая программа департамента образования Администрации Тутаевского муниципального района </v>
      </c>
      <c r="B101" s="158"/>
      <c r="C101" s="153"/>
      <c r="D101" s="154" t="s">
        <v>688</v>
      </c>
      <c r="E101" s="153"/>
      <c r="F101" s="155"/>
      <c r="G101" s="504">
        <v>365941675</v>
      </c>
      <c r="H101" s="159">
        <f>H102</f>
        <v>0</v>
      </c>
      <c r="I101" s="159">
        <f t="shared" si="2"/>
        <v>365941675</v>
      </c>
      <c r="J101" s="504">
        <v>311620410</v>
      </c>
      <c r="K101" s="159">
        <f>K102</f>
        <v>0</v>
      </c>
      <c r="L101" s="159">
        <f t="shared" si="3"/>
        <v>311620410</v>
      </c>
    </row>
    <row r="102" spans="1:12" ht="78.75" x14ac:dyDescent="0.2">
      <c r="A102" s="157" t="str">
        <f>IF(B102&gt;0,VLOOKUP(B102,КВСР!A83:B1248,2),IF(C102&gt;0,VLOOKUP(C102,КФСР!A83:B1595,2),IF(D102&gt;0,VLOOKUP(D102,Программа!A$1:B$5100,2),IF(F102&gt;0,VLOOKUP(F102,КВР!A$1:B$5001,2),IF(E102&gt;0,VLOOKUP(E102,Направление!A$1:B$4830,2))))))</f>
        <v>Обеспечение качества и доступности образовательных услуг в сфере дошкольного образования</v>
      </c>
      <c r="B102" s="158"/>
      <c r="C102" s="153"/>
      <c r="D102" s="154" t="s">
        <v>689</v>
      </c>
      <c r="E102" s="153"/>
      <c r="F102" s="155"/>
      <c r="G102" s="504">
        <v>365941675</v>
      </c>
      <c r="H102" s="504">
        <f>H103+H106+H110+H108</f>
        <v>0</v>
      </c>
      <c r="I102" s="504">
        <f>I103+I106+I110+I108</f>
        <v>365941675</v>
      </c>
      <c r="J102" s="504">
        <v>311620410</v>
      </c>
      <c r="K102" s="504">
        <f>K103+K106+K110+K108</f>
        <v>0</v>
      </c>
      <c r="L102" s="504">
        <f>L103+L106+L110+L108</f>
        <v>311620410</v>
      </c>
    </row>
    <row r="103" spans="1:12" ht="31.5" x14ac:dyDescent="0.2">
      <c r="A103" s="157" t="str">
        <f>IF(B103&gt;0,VLOOKUP(B103,КВСР!A84:B1249,2),IF(C103&gt;0,VLOOKUP(C103,КФСР!A84:B1596,2),IF(D103&gt;0,VLOOKUP(D103,Программа!A$1:B$5100,2),IF(F103&gt;0,VLOOKUP(F103,КВР!A$1:B$5001,2),IF(E103&gt;0,VLOOKUP(E103,Направление!A$1:B$4830,2))))))</f>
        <v>Обеспечение деятельности дошкольных учреждений</v>
      </c>
      <c r="B103" s="158"/>
      <c r="C103" s="153"/>
      <c r="D103" s="154"/>
      <c r="E103" s="153">
        <v>13010</v>
      </c>
      <c r="F103" s="155"/>
      <c r="G103" s="504">
        <v>136519975</v>
      </c>
      <c r="H103" s="504">
        <f>H104+H105</f>
        <v>0</v>
      </c>
      <c r="I103" s="504">
        <f>I104+I105</f>
        <v>136519975</v>
      </c>
      <c r="J103" s="504">
        <v>82198710</v>
      </c>
      <c r="K103" s="504">
        <f>K104+K105</f>
        <v>0</v>
      </c>
      <c r="L103" s="504">
        <f>L104+L105</f>
        <v>82198710</v>
      </c>
    </row>
    <row r="104" spans="1:12" ht="173.25" x14ac:dyDescent="0.2">
      <c r="A104" s="157" t="str">
        <f>IF(B104&gt;0,VLOOKUP(B104,КВСР!A85:B1250,2),IF(C104&gt;0,VLOOKUP(C104,КФСР!A85:B1597,2),IF(D104&gt;0,VLOOKUP(D104,Программа!A$1:B$5100,2),IF(F104&gt;0,VLOOKUP(F104,КВР!A$1:B$5001,2),IF(E104&gt;0,VLOOKUP(E104,Направление!A$1:B$4830,2))))))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8"/>
      <c r="C104" s="153"/>
      <c r="D104" s="154"/>
      <c r="E104" s="153"/>
      <c r="F104" s="155">
        <v>100</v>
      </c>
      <c r="G104" s="495">
        <v>58307261</v>
      </c>
      <c r="H104" s="194"/>
      <c r="I104" s="159">
        <f t="shared" si="2"/>
        <v>58307261</v>
      </c>
      <c r="J104" s="495">
        <v>29357710</v>
      </c>
      <c r="K104" s="194"/>
      <c r="L104" s="159">
        <f t="shared" si="3"/>
        <v>29357710</v>
      </c>
    </row>
    <row r="105" spans="1:12" ht="78.75" x14ac:dyDescent="0.2">
      <c r="A105" s="157" t="str">
        <f>IF(B105&gt;0,VLOOKUP(B105,КВСР!A86:B1251,2),IF(C105&gt;0,VLOOKUP(C105,КФСР!A86:B1598,2),IF(D105&gt;0,VLOOKUP(D105,Программа!A$1:B$5100,2),IF(F105&gt;0,VLOOKUP(F105,КВР!A$1:B$5001,2),IF(E105&gt;0,VLOOKUP(E105,Направление!A$1:B$4830,2))))))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8"/>
      <c r="C105" s="153"/>
      <c r="D105" s="154"/>
      <c r="E105" s="153"/>
      <c r="F105" s="155">
        <v>200</v>
      </c>
      <c r="G105" s="495">
        <v>78212714</v>
      </c>
      <c r="H105" s="194"/>
      <c r="I105" s="159">
        <f t="shared" si="2"/>
        <v>78212714</v>
      </c>
      <c r="J105" s="495">
        <v>52841000</v>
      </c>
      <c r="K105" s="194"/>
      <c r="L105" s="159">
        <f t="shared" si="3"/>
        <v>52841000</v>
      </c>
    </row>
    <row r="106" spans="1:12" ht="157.5" x14ac:dyDescent="0.2">
      <c r="A106" s="157" t="str">
        <f>IF(B106&gt;0,VLOOKUP(B106,КВСР!A89:B1254,2),IF(C106&gt;0,VLOOKUP(C106,КФСР!A89:B1601,2),IF(D106&gt;0,VLOOKUP(D106,Программа!A$1:B$5100,2),IF(F106&gt;0,VLOOKUP(F106,КВР!A$1:B$5001,2),IF(E106&gt;0,VLOOKUP(E106,Направление!A$1:B$4830,2))))))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06" s="158"/>
      <c r="C106" s="153"/>
      <c r="D106" s="154"/>
      <c r="E106" s="153">
        <v>70510</v>
      </c>
      <c r="F106" s="155"/>
      <c r="G106" s="504">
        <v>1279700</v>
      </c>
      <c r="H106" s="159">
        <f>H107</f>
        <v>0</v>
      </c>
      <c r="I106" s="159">
        <f t="shared" si="2"/>
        <v>1279700</v>
      </c>
      <c r="J106" s="504">
        <v>1279700</v>
      </c>
      <c r="K106" s="159">
        <f>K107</f>
        <v>0</v>
      </c>
      <c r="L106" s="159">
        <f t="shared" si="3"/>
        <v>1279700</v>
      </c>
    </row>
    <row r="107" spans="1:12" ht="78.75" x14ac:dyDescent="0.2">
      <c r="A107" s="157" t="str">
        <f>IF(B107&gt;0,VLOOKUP(B107,КВСР!A90:B1255,2),IF(C107&gt;0,VLOOKUP(C107,КФСР!A90:B1602,2),IF(D107&gt;0,VLOOKUP(D107,Программа!A$1:B$5100,2),IF(F107&gt;0,VLOOKUP(F107,КВР!A$1:B$5001,2),IF(E107&gt;0,VLOOKUP(E107,Направление!A$1:B$4830,2))))))</f>
        <v>Предоставление субсидий бюджетным, автономным учреждениям и иным некоммерческим организациям</v>
      </c>
      <c r="B107" s="158"/>
      <c r="C107" s="153"/>
      <c r="D107" s="154"/>
      <c r="E107" s="153"/>
      <c r="F107" s="155">
        <v>600</v>
      </c>
      <c r="G107" s="495">
        <v>1279700</v>
      </c>
      <c r="H107" s="194"/>
      <c r="I107" s="159">
        <f t="shared" si="2"/>
        <v>1279700</v>
      </c>
      <c r="J107" s="495">
        <v>1279700</v>
      </c>
      <c r="K107" s="194"/>
      <c r="L107" s="159">
        <f t="shared" si="3"/>
        <v>1279700</v>
      </c>
    </row>
    <row r="108" spans="1:12" ht="78.75" x14ac:dyDescent="0.2">
      <c r="A108" s="157" t="str">
        <f>IF(B108&gt;0,VLOOKUP(B108,КВСР!A91:B1256,2),IF(C108&gt;0,VLOOKUP(C108,КФСР!A91:B1603,2),IF(D108&gt;0,VLOOKUP(D108,Программа!A$1:B$5100,2),IF(F108&gt;0,VLOOKUP(F108,КВР!A$1:B$5001,2),IF(E108&gt;0,VLOOKUP(E108,Направление!A$1:B$4830,2))))))</f>
        <v>Организация образовательного процесса в образовательных учреждениях за счет средств областного бюджета</v>
      </c>
      <c r="B108" s="158"/>
      <c r="C108" s="153"/>
      <c r="D108" s="154"/>
      <c r="E108" s="153">
        <v>70520</v>
      </c>
      <c r="F108" s="155"/>
      <c r="G108" s="495">
        <v>22683000</v>
      </c>
      <c r="H108" s="495">
        <f>H109</f>
        <v>0</v>
      </c>
      <c r="I108" s="159">
        <f t="shared" si="2"/>
        <v>22683000</v>
      </c>
      <c r="J108" s="495">
        <v>22683000</v>
      </c>
      <c r="K108" s="495">
        <f>K109</f>
        <v>0</v>
      </c>
      <c r="L108" s="159">
        <f t="shared" si="3"/>
        <v>22683000</v>
      </c>
    </row>
    <row r="109" spans="1:12" ht="78.75" x14ac:dyDescent="0.2">
      <c r="A109" s="157" t="str">
        <f>IF(B109&gt;0,VLOOKUP(B109,КВСР!A92:B1257,2),IF(C109&gt;0,VLOOKUP(C109,КФСР!A92:B1604,2),IF(D109&gt;0,VLOOKUP(D109,Программа!A$1:B$5100,2),IF(F109&gt;0,VLOOKUP(F109,КВР!A$1:B$5001,2),IF(E109&gt;0,VLOOKUP(E109,Направление!A$1:B$4830,2))))))</f>
        <v>Предоставление субсидий бюджетным, автономным учреждениям и иным некоммерческим организациям</v>
      </c>
      <c r="B109" s="158"/>
      <c r="C109" s="153"/>
      <c r="D109" s="154"/>
      <c r="E109" s="153"/>
      <c r="F109" s="155">
        <v>600</v>
      </c>
      <c r="G109" s="495">
        <v>22683000</v>
      </c>
      <c r="H109" s="194"/>
      <c r="I109" s="159">
        <f t="shared" si="2"/>
        <v>22683000</v>
      </c>
      <c r="J109" s="495">
        <v>22683000</v>
      </c>
      <c r="K109" s="194"/>
      <c r="L109" s="159">
        <f t="shared" si="3"/>
        <v>22683000</v>
      </c>
    </row>
    <row r="110" spans="1:12" ht="94.5" x14ac:dyDescent="0.2">
      <c r="A110" s="157" t="str">
        <f>IF(B110&gt;0,VLOOKUP(B110,КВСР!A91:B1256,2),IF(C110&gt;0,VLOOKUP(C110,КФСР!A91:B1603,2),IF(D110&gt;0,VLOOKUP(D110,Программа!A$1:B$5100,2),IF(F110&gt;0,VLOOKUP(F110,КВР!A$1:B$5001,2),IF(E110&gt;0,VLOOKUP(E110,Направление!A$1:B$4830,2))))))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110" s="158"/>
      <c r="C110" s="153"/>
      <c r="D110" s="154"/>
      <c r="E110" s="153">
        <v>73110</v>
      </c>
      <c r="F110" s="155"/>
      <c r="G110" s="504">
        <v>205459000</v>
      </c>
      <c r="H110" s="504">
        <f>H111+H112</f>
        <v>0</v>
      </c>
      <c r="I110" s="504">
        <f>I111+I112</f>
        <v>205459000</v>
      </c>
      <c r="J110" s="504">
        <v>205459000</v>
      </c>
      <c r="K110" s="504">
        <f>K111+K112</f>
        <v>0</v>
      </c>
      <c r="L110" s="504">
        <f>L111+L112</f>
        <v>205459000</v>
      </c>
    </row>
    <row r="111" spans="1:12" ht="173.25" x14ac:dyDescent="0.2">
      <c r="A111" s="157" t="str">
        <f>IF(B111&gt;0,VLOOKUP(B111,КВСР!A92:B1257,2),IF(C111&gt;0,VLOOKUP(C111,КФСР!A92:B1604,2),IF(D111&gt;0,VLOOKUP(D111,Программа!A$1:B$5100,2),IF(F111&gt;0,VLOOKUP(F111,КВР!A$1:B$5001,2),IF(E111&gt;0,VLOOKUP(E111,Направление!A$1:B$4830,2))))))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1" s="158"/>
      <c r="C111" s="153"/>
      <c r="D111" s="154"/>
      <c r="E111" s="153"/>
      <c r="F111" s="155">
        <v>100</v>
      </c>
      <c r="G111" s="495">
        <v>192573000</v>
      </c>
      <c r="H111" s="194"/>
      <c r="I111" s="159">
        <f t="shared" si="2"/>
        <v>192573000</v>
      </c>
      <c r="J111" s="495">
        <v>192573000</v>
      </c>
      <c r="K111" s="194"/>
      <c r="L111" s="159">
        <f t="shared" si="3"/>
        <v>192573000</v>
      </c>
    </row>
    <row r="112" spans="1:12" ht="78.75" x14ac:dyDescent="0.2">
      <c r="A112" s="157" t="str">
        <f>IF(B112&gt;0,VLOOKUP(B112,КВСР!A93:B1258,2),IF(C112&gt;0,VLOOKUP(C112,КФСР!A93:B1605,2),IF(D112&gt;0,VLOOKUP(D112,Программа!A$1:B$5100,2),IF(F112&gt;0,VLOOKUP(F112,КВР!A$1:B$5001,2),IF(E112&gt;0,VLOOKUP(E112,Направление!A$1:B$4830,2))))))</f>
        <v xml:space="preserve">Закупка товаров, работ и услуг для обеспечения государственных (муниципальных) нужд
</v>
      </c>
      <c r="B112" s="158"/>
      <c r="C112" s="153"/>
      <c r="D112" s="154"/>
      <c r="E112" s="153"/>
      <c r="F112" s="155">
        <v>200</v>
      </c>
      <c r="G112" s="495">
        <v>12886000</v>
      </c>
      <c r="H112" s="194"/>
      <c r="I112" s="159">
        <f t="shared" si="2"/>
        <v>12886000</v>
      </c>
      <c r="J112" s="495">
        <v>12886000</v>
      </c>
      <c r="K112" s="194"/>
      <c r="L112" s="159">
        <f t="shared" si="3"/>
        <v>12886000</v>
      </c>
    </row>
    <row r="113" spans="1:12" ht="15.75" x14ac:dyDescent="0.2">
      <c r="A113" s="157" t="str">
        <f>IF(B113&gt;0,VLOOKUP(B113,КВСР!A90:B1255,2),IF(C113&gt;0,VLOOKUP(C113,КФСР!A90:B1602,2),IF(D113&gt;0,VLOOKUP(D113,Программа!A$1:B$5100,2),IF(F113&gt;0,VLOOKUP(F113,КВР!A$1:B$5001,2),IF(E113&gt;0,VLOOKUP(E113,Направление!A$1:B$4830,2))))))</f>
        <v>Общее образование</v>
      </c>
      <c r="B113" s="158"/>
      <c r="C113" s="153">
        <v>702</v>
      </c>
      <c r="D113" s="154"/>
      <c r="E113" s="153"/>
      <c r="F113" s="155"/>
      <c r="G113" s="504">
        <v>388710089</v>
      </c>
      <c r="H113" s="159">
        <f>H114</f>
        <v>0</v>
      </c>
      <c r="I113" s="159">
        <f t="shared" si="2"/>
        <v>388710089</v>
      </c>
      <c r="J113" s="504">
        <v>352733800</v>
      </c>
      <c r="K113" s="159">
        <f>K114</f>
        <v>0</v>
      </c>
      <c r="L113" s="159">
        <f t="shared" si="3"/>
        <v>352733800</v>
      </c>
    </row>
    <row r="114" spans="1:12" ht="78.75" x14ac:dyDescent="0.2">
      <c r="A114" s="157" t="str">
        <f>IF(B114&gt;0,VLOOKUP(B114,КВСР!A91:B1256,2),IF(C114&gt;0,VLOOKUP(C114,КФСР!A91:B1603,2),IF(D114&gt;0,VLOOKUP(D114,Программа!A$1:B$5100,2),IF(F114&gt;0,VLOOKUP(F114,КВР!A$1:B$5001,2),IF(E114&gt;0,VLOOKUP(E114,Направление!A$1:B$4830,2))))))</f>
        <v>Муниципальная программа "Развитие образования, физической культуры и спорта в Тутаевском муниципальном районе"</v>
      </c>
      <c r="B114" s="158"/>
      <c r="C114" s="153"/>
      <c r="D114" s="154" t="s">
        <v>686</v>
      </c>
      <c r="E114" s="153"/>
      <c r="F114" s="155"/>
      <c r="G114" s="504">
        <v>388710089</v>
      </c>
      <c r="H114" s="159">
        <f>H116</f>
        <v>0</v>
      </c>
      <c r="I114" s="159">
        <f t="shared" si="2"/>
        <v>388710089</v>
      </c>
      <c r="J114" s="504">
        <v>352733800</v>
      </c>
      <c r="K114" s="159">
        <f>K116</f>
        <v>0</v>
      </c>
      <c r="L114" s="159">
        <f t="shared" si="3"/>
        <v>352733800</v>
      </c>
    </row>
    <row r="115" spans="1:12" ht="94.5" x14ac:dyDescent="0.2">
      <c r="A115" s="157" t="str">
        <f>IF(B115&gt;0,VLOOKUP(B115,КВСР!A92:B1257,2),IF(C115&gt;0,VLOOKUP(C115,КФСР!A92:B1604,2),IF(D115&gt;0,VLOOKUP(D115,Программа!A$1:B$5100,2),IF(F115&gt;0,VLOOKUP(F115,КВР!A$1:B$5001,2),IF(E115&gt;0,VLOOKUP(E115,Направление!A$1:B$4830,2))))))</f>
        <v xml:space="preserve">Ведомственная целевая программа департамента образования Администрации Тутаевского муниципального района </v>
      </c>
      <c r="B115" s="158"/>
      <c r="C115" s="153"/>
      <c r="D115" s="154" t="s">
        <v>688</v>
      </c>
      <c r="E115" s="153"/>
      <c r="F115" s="155"/>
      <c r="G115" s="504">
        <v>388710089</v>
      </c>
      <c r="H115" s="159">
        <f>H116</f>
        <v>0</v>
      </c>
      <c r="I115" s="159">
        <f t="shared" si="2"/>
        <v>388710089</v>
      </c>
      <c r="J115" s="504">
        <v>352733800</v>
      </c>
      <c r="K115" s="159">
        <f>K116</f>
        <v>0</v>
      </c>
      <c r="L115" s="159">
        <f t="shared" si="3"/>
        <v>352733800</v>
      </c>
    </row>
    <row r="116" spans="1:12" ht="63" x14ac:dyDescent="0.2">
      <c r="A116" s="157" t="str">
        <f>IF(B116&gt;0,VLOOKUP(B116,КВСР!A93:B1258,2),IF(C116&gt;0,VLOOKUP(C116,КФСР!A93:B1605,2),IF(D116&gt;0,VLOOKUP(D116,Программа!A$1:B$5100,2),IF(F116&gt;0,VLOOKUP(F116,КВР!A$1:B$5001,2),IF(E116&gt;0,VLOOKUP(E116,Направление!A$1:B$4830,2))))))</f>
        <v>Обеспечение качества и доступности образовательных услуг в сфере общего образования</v>
      </c>
      <c r="B116" s="158"/>
      <c r="C116" s="153"/>
      <c r="D116" s="154" t="s">
        <v>729</v>
      </c>
      <c r="E116" s="153"/>
      <c r="F116" s="155"/>
      <c r="G116" s="504">
        <v>388710089</v>
      </c>
      <c r="H116" s="159">
        <f>H117+H119+H121+H123+H125</f>
        <v>0</v>
      </c>
      <c r="I116" s="159">
        <f t="shared" si="2"/>
        <v>388710089</v>
      </c>
      <c r="J116" s="504">
        <v>352733800</v>
      </c>
      <c r="K116" s="159">
        <f>K117+K119+K121+K123+K125</f>
        <v>0</v>
      </c>
      <c r="L116" s="159">
        <f t="shared" si="3"/>
        <v>352733800</v>
      </c>
    </row>
    <row r="117" spans="1:12" ht="47.25" x14ac:dyDescent="0.2">
      <c r="A117" s="157" t="str">
        <f>IF(B117&gt;0,VLOOKUP(B117,КВСР!A94:B1259,2),IF(C117&gt;0,VLOOKUP(C117,КФСР!A94:B1606,2),IF(D117&gt;0,VLOOKUP(D117,Программа!A$1:B$5100,2),IF(F117&gt;0,VLOOKUP(F117,КВР!A$1:B$5001,2),IF(E117&gt;0,VLOOKUP(E117,Направление!A$1:B$4830,2))))))</f>
        <v>Обеспечение деятельности общеобразовательных учреждений</v>
      </c>
      <c r="B117" s="158"/>
      <c r="C117" s="153"/>
      <c r="D117" s="154"/>
      <c r="E117" s="153">
        <v>13110</v>
      </c>
      <c r="F117" s="155"/>
      <c r="G117" s="504">
        <v>57976289</v>
      </c>
      <c r="H117" s="159">
        <f>H118</f>
        <v>0</v>
      </c>
      <c r="I117" s="159">
        <f t="shared" si="2"/>
        <v>57976289</v>
      </c>
      <c r="J117" s="504">
        <v>22000000</v>
      </c>
      <c r="K117" s="159">
        <f>K118</f>
        <v>0</v>
      </c>
      <c r="L117" s="159">
        <f t="shared" si="3"/>
        <v>22000000</v>
      </c>
    </row>
    <row r="118" spans="1:12" ht="78.75" x14ac:dyDescent="0.2">
      <c r="A118" s="157" t="str">
        <f>IF(B118&gt;0,VLOOKUP(B118,КВСР!A96:B1261,2),IF(C118&gt;0,VLOOKUP(C118,КФСР!A96:B1608,2),IF(D118&gt;0,VLOOKUP(D118,Программа!A$1:B$5100,2),IF(F118&gt;0,VLOOKUP(F118,КВР!A$1:B$5001,2),IF(E118&gt;0,VLOOKUP(E118,Направление!A$1:B$4830,2))))))</f>
        <v>Предоставление субсидий бюджетным, автономным учреждениям и иным некоммерческим организациям</v>
      </c>
      <c r="B118" s="171"/>
      <c r="C118" s="172"/>
      <c r="D118" s="174"/>
      <c r="E118" s="172"/>
      <c r="F118" s="173">
        <v>600</v>
      </c>
      <c r="G118" s="495">
        <v>57976289</v>
      </c>
      <c r="H118" s="194"/>
      <c r="I118" s="159">
        <f t="shared" si="2"/>
        <v>57976289</v>
      </c>
      <c r="J118" s="495">
        <v>22000000</v>
      </c>
      <c r="K118" s="194"/>
      <c r="L118" s="159">
        <f t="shared" si="3"/>
        <v>22000000</v>
      </c>
    </row>
    <row r="119" spans="1:12" ht="63" hidden="1" x14ac:dyDescent="0.2">
      <c r="A119" s="157" t="str">
        <f>IF(B119&gt;0,VLOOKUP(B119,КВСР!A98:B1263,2),IF(C119&gt;0,VLOOKUP(C119,КФСР!A98:B1610,2),IF(D119&gt;0,VLOOKUP(D119,Программа!A$1:B$5100,2),IF(F119&gt;0,VLOOKUP(F119,КВР!A$1:B$5001,2),IF(E119&gt;0,VLOOKUP(E119,Направление!A$1:B$4830,2))))))</f>
        <v>Обеспечение деятельности учреждений дополнительного образования</v>
      </c>
      <c r="B119" s="171"/>
      <c r="C119" s="172"/>
      <c r="D119" s="154"/>
      <c r="E119" s="153">
        <v>13210</v>
      </c>
      <c r="F119" s="173"/>
      <c r="G119" s="504">
        <v>0</v>
      </c>
      <c r="H119" s="159">
        <f>H120</f>
        <v>0</v>
      </c>
      <c r="I119" s="159">
        <f t="shared" si="2"/>
        <v>0</v>
      </c>
      <c r="J119" s="504">
        <v>0</v>
      </c>
      <c r="K119" s="159">
        <f>K120</f>
        <v>0</v>
      </c>
      <c r="L119" s="159">
        <f t="shared" si="3"/>
        <v>0</v>
      </c>
    </row>
    <row r="120" spans="1:12" ht="78.75" hidden="1" x14ac:dyDescent="0.2">
      <c r="A120" s="157" t="str">
        <f>IF(B120&gt;0,VLOOKUP(B120,КВСР!A99:B1264,2),IF(C120&gt;0,VLOOKUP(C120,КФСР!A99:B1611,2),IF(D120&gt;0,VLOOKUP(D120,Программа!A$1:B$5100,2),IF(F120&gt;0,VLOOKUP(F120,КВР!A$1:B$5001,2),IF(E120&gt;0,VLOOKUP(E120,Направление!A$1:B$4830,2))))))</f>
        <v>Предоставление субсидий бюджетным, автономным учреждениям и иным некоммерческим организациям</v>
      </c>
      <c r="B120" s="171"/>
      <c r="C120" s="172"/>
      <c r="D120" s="154"/>
      <c r="E120" s="153"/>
      <c r="F120" s="173">
        <v>600</v>
      </c>
      <c r="G120" s="495">
        <v>0</v>
      </c>
      <c r="H120" s="194"/>
      <c r="I120" s="159">
        <f t="shared" si="2"/>
        <v>0</v>
      </c>
      <c r="J120" s="495">
        <v>0</v>
      </c>
      <c r="K120" s="194"/>
      <c r="L120" s="159">
        <f t="shared" si="3"/>
        <v>0</v>
      </c>
    </row>
    <row r="121" spans="1:12" ht="157.5" hidden="1" x14ac:dyDescent="0.2">
      <c r="A121" s="157" t="str">
        <f>IF(B121&gt;0,VLOOKUP(B121,КВСР!A100:B1265,2),IF(C121&gt;0,VLOOKUP(C121,КФСР!A100:B1612,2),IF(D121&gt;0,VLOOKUP(D121,Программа!A$1:B$5100,2),IF(F121&gt;0,VLOOKUP(F121,КВР!A$1:B$5001,2),IF(E121&gt;0,VLOOKUP(E121,Направление!A$1:B$4830,2))))))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21" s="171"/>
      <c r="C121" s="172"/>
      <c r="D121" s="154"/>
      <c r="E121" s="153">
        <v>70510</v>
      </c>
      <c r="F121" s="173"/>
      <c r="G121" s="504">
        <v>0</v>
      </c>
      <c r="H121" s="159">
        <f>H122</f>
        <v>0</v>
      </c>
      <c r="I121" s="159">
        <f t="shared" si="2"/>
        <v>0</v>
      </c>
      <c r="J121" s="504">
        <v>0</v>
      </c>
      <c r="K121" s="159">
        <f>K122</f>
        <v>0</v>
      </c>
      <c r="L121" s="159">
        <f t="shared" si="3"/>
        <v>0</v>
      </c>
    </row>
    <row r="122" spans="1:12" ht="78.75" hidden="1" x14ac:dyDescent="0.2">
      <c r="A122" s="157" t="str">
        <f>IF(B122&gt;0,VLOOKUP(B122,КВСР!A101:B1266,2),IF(C122&gt;0,VLOOKUP(C122,КФСР!A101:B1613,2),IF(D122&gt;0,VLOOKUP(D122,Программа!A$1:B$5100,2),IF(F122&gt;0,VLOOKUP(F122,КВР!A$1:B$5001,2),IF(E122&gt;0,VLOOKUP(E122,Направление!A$1:B$4830,2))))))</f>
        <v>Предоставление субсидий бюджетным, автономным учреждениям и иным некоммерческим организациям</v>
      </c>
      <c r="B122" s="171"/>
      <c r="C122" s="172"/>
      <c r="D122" s="174"/>
      <c r="E122" s="172"/>
      <c r="F122" s="173">
        <v>600</v>
      </c>
      <c r="G122" s="495">
        <v>0</v>
      </c>
      <c r="H122" s="194"/>
      <c r="I122" s="159">
        <f t="shared" si="2"/>
        <v>0</v>
      </c>
      <c r="J122" s="495">
        <v>0</v>
      </c>
      <c r="K122" s="194"/>
      <c r="L122" s="159">
        <f t="shared" si="3"/>
        <v>0</v>
      </c>
    </row>
    <row r="123" spans="1:12" ht="79.5" customHeight="1" x14ac:dyDescent="0.2">
      <c r="A123" s="157" t="str">
        <f>IF(B123&gt;0,VLOOKUP(B123,КВСР!A102:B1267,2),IF(C123&gt;0,VLOOKUP(C123,КФСР!A102:B1614,2),IF(D123&gt;0,VLOOKUP(D123,Программа!A$1:B$5100,2),IF(F123&gt;0,VLOOKUP(F123,КВР!A$1:B$5001,2),IF(E123&gt;0,VLOOKUP(E123,Направление!A$1:B$4830,2))))))</f>
        <v>Организация образовательного процесса в образовательных учреждениях за счет средств областного бюджета</v>
      </c>
      <c r="B123" s="171"/>
      <c r="C123" s="172"/>
      <c r="D123" s="174"/>
      <c r="E123" s="172">
        <v>70520</v>
      </c>
      <c r="F123" s="173"/>
      <c r="G123" s="504">
        <v>307791000</v>
      </c>
      <c r="H123" s="159">
        <f>H124</f>
        <v>0</v>
      </c>
      <c r="I123" s="159">
        <f t="shared" si="2"/>
        <v>307791000</v>
      </c>
      <c r="J123" s="504">
        <v>307791000</v>
      </c>
      <c r="K123" s="159">
        <f>K124</f>
        <v>0</v>
      </c>
      <c r="L123" s="159">
        <f t="shared" si="3"/>
        <v>307791000</v>
      </c>
    </row>
    <row r="124" spans="1:12" ht="78.75" x14ac:dyDescent="0.2">
      <c r="A124" s="157" t="str">
        <f>IF(B124&gt;0,VLOOKUP(B124,КВСР!A103:B1268,2),IF(C124&gt;0,VLOOKUP(C124,КФСР!A103:B1615,2),IF(D124&gt;0,VLOOKUP(D124,Программа!A$1:B$5100,2),IF(F124&gt;0,VLOOKUP(F124,КВР!A$1:B$5001,2),IF(E124&gt;0,VLOOKUP(E124,Направление!A$1:B$4830,2))))))</f>
        <v>Предоставление субсидий бюджетным, автономным учреждениям и иным некоммерческим организациям</v>
      </c>
      <c r="B124" s="171"/>
      <c r="C124" s="172"/>
      <c r="D124" s="174"/>
      <c r="E124" s="172"/>
      <c r="F124" s="173">
        <v>600</v>
      </c>
      <c r="G124" s="495">
        <v>307791000</v>
      </c>
      <c r="H124" s="194"/>
      <c r="I124" s="159">
        <f t="shared" si="2"/>
        <v>307791000</v>
      </c>
      <c r="J124" s="495">
        <v>307791000</v>
      </c>
      <c r="K124" s="194"/>
      <c r="L124" s="159">
        <f t="shared" si="3"/>
        <v>307791000</v>
      </c>
    </row>
    <row r="125" spans="1:12" ht="94.5" x14ac:dyDescent="0.2">
      <c r="A125" s="157" t="str">
        <f>IF(B125&gt;0,VLOOKUP(B125,КВСР!A109:B1274,2),IF(C125&gt;0,VLOOKUP(C125,КФСР!A109:B1621,2),IF(D125&gt;0,VLOOKUP(D125,Программа!A$1:B$5100,2),IF(F125&gt;0,VLOOKUP(F125,КВР!A$1:B$5001,2),IF(E125&gt;0,VLOOKUP(E125,Направление!A$1:B$4830,2))))))</f>
        <v>Обеспечение бесплатным питанием обучающихся муниципальных образовательных учреждений за счет средств областного бюджета</v>
      </c>
      <c r="B125" s="171"/>
      <c r="C125" s="172"/>
      <c r="D125" s="174"/>
      <c r="E125" s="172">
        <v>70530</v>
      </c>
      <c r="F125" s="173"/>
      <c r="G125" s="504">
        <v>22942800</v>
      </c>
      <c r="H125" s="159">
        <f>H126</f>
        <v>0</v>
      </c>
      <c r="I125" s="159">
        <f t="shared" si="2"/>
        <v>22942800</v>
      </c>
      <c r="J125" s="504">
        <v>22942800</v>
      </c>
      <c r="K125" s="159">
        <f>K126</f>
        <v>0</v>
      </c>
      <c r="L125" s="159">
        <f t="shared" si="3"/>
        <v>22942800</v>
      </c>
    </row>
    <row r="126" spans="1:12" ht="78.75" x14ac:dyDescent="0.2">
      <c r="A126" s="157" t="str">
        <f>IF(B126&gt;0,VLOOKUP(B126,КВСР!A110:B1275,2),IF(C126&gt;0,VLOOKUP(C126,КФСР!A110:B1622,2),IF(D126&gt;0,VLOOKUP(D126,Программа!A$1:B$5100,2),IF(F126&gt;0,VLOOKUP(F126,КВР!A$1:B$5001,2),IF(E126&gt;0,VLOOKUP(E126,Направление!A$1:B$4830,2))))))</f>
        <v>Предоставление субсидий бюджетным, автономным учреждениям и иным некоммерческим организациям</v>
      </c>
      <c r="B126" s="171"/>
      <c r="C126" s="172"/>
      <c r="D126" s="174"/>
      <c r="E126" s="172"/>
      <c r="F126" s="173">
        <v>600</v>
      </c>
      <c r="G126" s="495">
        <v>22942800</v>
      </c>
      <c r="H126" s="194"/>
      <c r="I126" s="159">
        <f t="shared" si="2"/>
        <v>22942800</v>
      </c>
      <c r="J126" s="495">
        <v>22942800</v>
      </c>
      <c r="K126" s="194"/>
      <c r="L126" s="159">
        <f t="shared" si="3"/>
        <v>22942800</v>
      </c>
    </row>
    <row r="127" spans="1:12" ht="31.5" x14ac:dyDescent="0.2">
      <c r="A127" s="157" t="str">
        <f>IF(B127&gt;0,VLOOKUP(B127,КВСР!A111:B1276,2),IF(C127&gt;0,VLOOKUP(C127,КФСР!A111:B1623,2),IF(D127&gt;0,VLOOKUP(D127,Программа!A$1:B$5100,2),IF(F127&gt;0,VLOOKUP(F127,КВР!A$1:B$5001,2),IF(E127&gt;0,VLOOKUP(E127,Направление!A$1:B$4830,2))))))</f>
        <v>Дополнительное образование детей</v>
      </c>
      <c r="B127" s="171"/>
      <c r="C127" s="172">
        <v>703</v>
      </c>
      <c r="D127" s="173"/>
      <c r="E127" s="172"/>
      <c r="F127" s="173"/>
      <c r="G127" s="504">
        <v>37000000</v>
      </c>
      <c r="H127" s="538">
        <f>H128</f>
        <v>0</v>
      </c>
      <c r="I127" s="159">
        <f t="shared" si="2"/>
        <v>37000000</v>
      </c>
      <c r="J127" s="504">
        <v>13000000</v>
      </c>
      <c r="K127" s="538">
        <f>K128</f>
        <v>0</v>
      </c>
      <c r="L127" s="159">
        <f t="shared" si="3"/>
        <v>13000000</v>
      </c>
    </row>
    <row r="128" spans="1:12" ht="78.75" x14ac:dyDescent="0.2">
      <c r="A128" s="157" t="str">
        <f>IF(B128&gt;0,VLOOKUP(B128,КВСР!A112:B1277,2),IF(C128&gt;0,VLOOKUP(C128,КФСР!A112:B1624,2),IF(D128&gt;0,VLOOKUP(D128,Программа!A$1:B$5100,2),IF(F128&gt;0,VLOOKUP(F128,КВР!A$1:B$5001,2),IF(E128&gt;0,VLOOKUP(E128,Направление!A$1:B$4830,2))))))</f>
        <v>Муниципальная программа "Развитие образования, физической культуры и спорта в Тутаевском муниципальном районе"</v>
      </c>
      <c r="B128" s="171"/>
      <c r="C128" s="172"/>
      <c r="D128" s="154" t="s">
        <v>686</v>
      </c>
      <c r="E128" s="172"/>
      <c r="F128" s="173"/>
      <c r="G128" s="504">
        <v>37000000</v>
      </c>
      <c r="H128" s="538">
        <f>H129</f>
        <v>0</v>
      </c>
      <c r="I128" s="159">
        <f t="shared" si="2"/>
        <v>37000000</v>
      </c>
      <c r="J128" s="504">
        <v>13000000</v>
      </c>
      <c r="K128" s="538">
        <f>K129</f>
        <v>0</v>
      </c>
      <c r="L128" s="159">
        <f t="shared" si="3"/>
        <v>13000000</v>
      </c>
    </row>
    <row r="129" spans="1:12" ht="94.5" x14ac:dyDescent="0.2">
      <c r="A129" s="157" t="str">
        <f>IF(B129&gt;0,VLOOKUP(B129,КВСР!A113:B1278,2),IF(C129&gt;0,VLOOKUP(C129,КФСР!A113:B1625,2),IF(D129&gt;0,VLOOKUP(D129,Программа!A$1:B$5100,2),IF(F129&gt;0,VLOOKUP(F129,КВР!A$1:B$5001,2),IF(E129&gt;0,VLOOKUP(E129,Направление!A$1:B$4830,2))))))</f>
        <v xml:space="preserve">Ведомственная целевая программа департамента образования Администрации Тутаевского муниципального района </v>
      </c>
      <c r="B129" s="171"/>
      <c r="C129" s="172"/>
      <c r="D129" s="154" t="s">
        <v>688</v>
      </c>
      <c r="E129" s="172"/>
      <c r="F129" s="173"/>
      <c r="G129" s="504">
        <v>37000000</v>
      </c>
      <c r="H129" s="538">
        <f>H130</f>
        <v>0</v>
      </c>
      <c r="I129" s="159">
        <f t="shared" si="2"/>
        <v>37000000</v>
      </c>
      <c r="J129" s="504">
        <v>13000000</v>
      </c>
      <c r="K129" s="538">
        <f>K130</f>
        <v>0</v>
      </c>
      <c r="L129" s="159">
        <f t="shared" si="3"/>
        <v>13000000</v>
      </c>
    </row>
    <row r="130" spans="1:12" ht="78.75" x14ac:dyDescent="0.2">
      <c r="A130" s="157" t="str">
        <f>IF(B130&gt;0,VLOOKUP(B130,КВСР!A114:B1279,2),IF(C130&gt;0,VLOOKUP(C130,КФСР!A114:B1626,2),IF(D130&gt;0,VLOOKUP(D130,Программа!A$1:B$5100,2),IF(F130&gt;0,VLOOKUP(F130,КВР!A$1:B$5001,2),IF(E130&gt;0,VLOOKUP(E130,Направление!A$1:B$4830,2))))))</f>
        <v>Обеспечение качества и доступности образовательных услуг в сфере дополнительного образования</v>
      </c>
      <c r="B130" s="171"/>
      <c r="C130" s="172"/>
      <c r="D130" s="174" t="s">
        <v>753</v>
      </c>
      <c r="E130" s="172"/>
      <c r="F130" s="173"/>
      <c r="G130" s="504">
        <v>37000000</v>
      </c>
      <c r="H130" s="538">
        <f>H131</f>
        <v>0</v>
      </c>
      <c r="I130" s="159">
        <f t="shared" si="2"/>
        <v>37000000</v>
      </c>
      <c r="J130" s="504">
        <v>13000000</v>
      </c>
      <c r="K130" s="538">
        <f>K131</f>
        <v>0</v>
      </c>
      <c r="L130" s="159">
        <f t="shared" si="3"/>
        <v>13000000</v>
      </c>
    </row>
    <row r="131" spans="1:12" ht="63" x14ac:dyDescent="0.2">
      <c r="A131" s="157" t="str">
        <f>IF(B131&gt;0,VLOOKUP(B131,КВСР!A115:B1280,2),IF(C131&gt;0,VLOOKUP(C131,КФСР!A115:B1627,2),IF(D131&gt;0,VLOOKUP(D131,Программа!A$1:B$5100,2),IF(F131&gt;0,VLOOKUP(F131,КВР!A$1:B$5001,2),IF(E131&gt;0,VLOOKUP(E131,Направление!A$1:B$4830,2))))))</f>
        <v>Обеспечение деятельности учреждений дополнительного образования</v>
      </c>
      <c r="B131" s="171"/>
      <c r="C131" s="172"/>
      <c r="D131" s="173"/>
      <c r="E131" s="172">
        <v>13210</v>
      </c>
      <c r="F131" s="173"/>
      <c r="G131" s="504">
        <v>37000000</v>
      </c>
      <c r="H131" s="538">
        <f>H132</f>
        <v>0</v>
      </c>
      <c r="I131" s="159">
        <f t="shared" ref="I131:I205" si="8">SUM(G131:H131)</f>
        <v>37000000</v>
      </c>
      <c r="J131" s="504">
        <v>13000000</v>
      </c>
      <c r="K131" s="538">
        <f>K132</f>
        <v>0</v>
      </c>
      <c r="L131" s="159">
        <f t="shared" ref="L131:L205" si="9">SUM(J131:K131)</f>
        <v>13000000</v>
      </c>
    </row>
    <row r="132" spans="1:12" ht="78.75" x14ac:dyDescent="0.2">
      <c r="A132" s="157" t="str">
        <f>IF(B132&gt;0,VLOOKUP(B132,КВСР!A116:B1281,2),IF(C132&gt;0,VLOOKUP(C132,КФСР!A116:B1628,2),IF(D132&gt;0,VLOOKUP(D132,Программа!A$1:B$5100,2),IF(F132&gt;0,VLOOKUP(F132,КВР!A$1:B$5001,2),IF(E132&gt;0,VLOOKUP(E132,Направление!A$1:B$4830,2))))))</f>
        <v>Предоставление субсидий бюджетным, автономным учреждениям и иным некоммерческим организациям</v>
      </c>
      <c r="B132" s="171"/>
      <c r="C132" s="172"/>
      <c r="D132" s="173"/>
      <c r="E132" s="172"/>
      <c r="F132" s="173">
        <v>600</v>
      </c>
      <c r="G132" s="495">
        <v>37000000</v>
      </c>
      <c r="H132" s="194"/>
      <c r="I132" s="159">
        <f t="shared" si="8"/>
        <v>37000000</v>
      </c>
      <c r="J132" s="495">
        <v>13000000</v>
      </c>
      <c r="K132" s="194"/>
      <c r="L132" s="159">
        <f t="shared" si="9"/>
        <v>13000000</v>
      </c>
    </row>
    <row r="133" spans="1:12" ht="47.25" x14ac:dyDescent="0.2">
      <c r="A133" s="157" t="str">
        <f>IF(B133&gt;0,VLOOKUP(B133,КВСР!A117:B1282,2),IF(C133&gt;0,VLOOKUP(C133,КФСР!A117:B1629,2),IF(D133&gt;0,VLOOKUP(D133,Программа!A$1:B$5100,2),IF(F133&gt;0,VLOOKUP(F133,КВР!A$1:B$5001,2),IF(E133&gt;0,VLOOKUP(E133,Направление!A$1:B$4830,2))))))</f>
        <v>Профессиональная подготовка, переподготовка и повышение квалификации</v>
      </c>
      <c r="B133" s="171"/>
      <c r="C133" s="172">
        <v>705</v>
      </c>
      <c r="D133" s="173"/>
      <c r="E133" s="172"/>
      <c r="F133" s="173"/>
      <c r="G133" s="495">
        <v>1247200</v>
      </c>
      <c r="H133" s="495">
        <f t="shared" ref="H133:L137" si="10">H134</f>
        <v>0</v>
      </c>
      <c r="I133" s="495">
        <f t="shared" si="10"/>
        <v>1247200</v>
      </c>
      <c r="J133" s="495">
        <v>1247200</v>
      </c>
      <c r="K133" s="495">
        <f t="shared" si="10"/>
        <v>0</v>
      </c>
      <c r="L133" s="495">
        <f t="shared" si="10"/>
        <v>1247200</v>
      </c>
    </row>
    <row r="134" spans="1:12" ht="78.75" x14ac:dyDescent="0.2">
      <c r="A134" s="157" t="str">
        <f>IF(B134&gt;0,VLOOKUP(B134,КВСР!A118:B1283,2),IF(C134&gt;0,VLOOKUP(C134,КФСР!A118:B1630,2),IF(D134&gt;0,VLOOKUP(D134,Программа!A$1:B$5100,2),IF(F134&gt;0,VLOOKUP(F134,КВР!A$1:B$5001,2),IF(E134&gt;0,VLOOKUP(E134,Направление!A$1:B$4830,2))))))</f>
        <v>Муниципальная программа "Развитие образования, физической культуры и спорта в Тутаевском муниципальном районе"</v>
      </c>
      <c r="B134" s="171"/>
      <c r="C134" s="172"/>
      <c r="D134" s="174" t="s">
        <v>686</v>
      </c>
      <c r="E134" s="174"/>
      <c r="F134" s="174"/>
      <c r="G134" s="495">
        <v>1247200</v>
      </c>
      <c r="H134" s="495">
        <f t="shared" si="10"/>
        <v>0</v>
      </c>
      <c r="I134" s="495">
        <f t="shared" si="10"/>
        <v>1247200</v>
      </c>
      <c r="J134" s="495">
        <v>1247200</v>
      </c>
      <c r="K134" s="495">
        <f t="shared" si="10"/>
        <v>0</v>
      </c>
      <c r="L134" s="495">
        <f t="shared" si="10"/>
        <v>1247200</v>
      </c>
    </row>
    <row r="135" spans="1:12" ht="94.5" x14ac:dyDescent="0.2">
      <c r="A135" s="157" t="str">
        <f>IF(B135&gt;0,VLOOKUP(B135,КВСР!A119:B1284,2),IF(C135&gt;0,VLOOKUP(C135,КФСР!A119:B1631,2),IF(D135&gt;0,VLOOKUP(D135,Программа!A$1:B$5100,2),IF(F135&gt;0,VLOOKUP(F135,КВР!A$1:B$5001,2),IF(E135&gt;0,VLOOKUP(E135,Направление!A$1:B$4830,2))))))</f>
        <v xml:space="preserve">Ведомственная целевая программа департамента образования Администрации Тутаевского муниципального района </v>
      </c>
      <c r="B135" s="171"/>
      <c r="C135" s="172"/>
      <c r="D135" s="174" t="s">
        <v>688</v>
      </c>
      <c r="E135" s="174"/>
      <c r="F135" s="174"/>
      <c r="G135" s="495">
        <v>1247200</v>
      </c>
      <c r="H135" s="495">
        <f t="shared" si="10"/>
        <v>0</v>
      </c>
      <c r="I135" s="495">
        <f t="shared" si="10"/>
        <v>1247200</v>
      </c>
      <c r="J135" s="495">
        <v>1247200</v>
      </c>
      <c r="K135" s="495">
        <f t="shared" si="10"/>
        <v>0</v>
      </c>
      <c r="L135" s="495">
        <f t="shared" si="10"/>
        <v>1247200</v>
      </c>
    </row>
    <row r="136" spans="1:12" ht="126" x14ac:dyDescent="0.2">
      <c r="A136" s="157" t="str">
        <f>IF(B136&gt;0,VLOOKUP(B136,КВСР!A120:B1285,2),IF(C136&gt;0,VLOOKUP(C136,КФСР!A120:B1632,2),IF(D136&gt;0,VLOOKUP(D136,Программа!A$1:B$5100,2),IF(F136&gt;0,VLOOKUP(F136,КВР!A$1:B$5001,2),IF(E136&gt;0,VLOOKUP(E136,Направление!A$1:B$4830,2))))))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36" s="171"/>
      <c r="C136" s="172"/>
      <c r="D136" s="174" t="s">
        <v>708</v>
      </c>
      <c r="E136" s="174"/>
      <c r="F136" s="174"/>
      <c r="G136" s="495">
        <v>1247200</v>
      </c>
      <c r="H136" s="495">
        <f t="shared" si="10"/>
        <v>0</v>
      </c>
      <c r="I136" s="495">
        <f t="shared" si="10"/>
        <v>1247200</v>
      </c>
      <c r="J136" s="495">
        <v>1247200</v>
      </c>
      <c r="K136" s="495">
        <f t="shared" si="10"/>
        <v>0</v>
      </c>
      <c r="L136" s="495">
        <f t="shared" si="10"/>
        <v>1247200</v>
      </c>
    </row>
    <row r="137" spans="1:12" ht="110.25" x14ac:dyDescent="0.2">
      <c r="A137" s="157" t="str">
        <f>IF(B137&gt;0,VLOOKUP(B137,КВСР!A121:B1286,2),IF(C137&gt;0,VLOOKUP(C137,КФСР!A121:B1633,2),IF(D137&gt;0,VLOOKUP(D137,Программа!A$1:B$5100,2),IF(F137&gt;0,VLOOKUP(F137,КВР!A$1:B$5001,2),IF(E137&gt;0,VLOOKUP(E137,Направление!A$1:B$4830,2))))))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137" s="171"/>
      <c r="C137" s="172"/>
      <c r="D137" s="174"/>
      <c r="E137" s="174" t="s">
        <v>3216</v>
      </c>
      <c r="F137" s="174"/>
      <c r="G137" s="495">
        <v>1247200</v>
      </c>
      <c r="H137" s="495">
        <f t="shared" si="10"/>
        <v>0</v>
      </c>
      <c r="I137" s="495">
        <f t="shared" si="10"/>
        <v>1247200</v>
      </c>
      <c r="J137" s="495">
        <v>1247200</v>
      </c>
      <c r="K137" s="495">
        <f t="shared" si="10"/>
        <v>0</v>
      </c>
      <c r="L137" s="495">
        <f t="shared" si="10"/>
        <v>1247200</v>
      </c>
    </row>
    <row r="138" spans="1:12" ht="78.75" x14ac:dyDescent="0.2">
      <c r="A138" s="157" t="str">
        <f>IF(B138&gt;0,VLOOKUP(B138,КВСР!A122:B1287,2),IF(C138&gt;0,VLOOKUP(C138,КФСР!A122:B1634,2),IF(D138&gt;0,VLOOKUP(D138,Программа!A$1:B$5100,2),IF(F138&gt;0,VLOOKUP(F138,КВР!A$1:B$5001,2),IF(E138&gt;0,VLOOKUP(E138,Направление!A$1:B$4830,2))))))</f>
        <v>Предоставление субсидий бюджетным, автономным учреждениям и иным некоммерческим организациям</v>
      </c>
      <c r="B138" s="171"/>
      <c r="C138" s="172"/>
      <c r="D138" s="174"/>
      <c r="E138" s="174"/>
      <c r="F138" s="173">
        <v>600</v>
      </c>
      <c r="G138" s="495">
        <v>1247200</v>
      </c>
      <c r="H138" s="194"/>
      <c r="I138" s="159">
        <f>G138+H138</f>
        <v>1247200</v>
      </c>
      <c r="J138" s="495">
        <v>1247200</v>
      </c>
      <c r="K138" s="194"/>
      <c r="L138" s="159">
        <f>J138+K138</f>
        <v>1247200</v>
      </c>
    </row>
    <row r="139" spans="1:12" ht="15.75" x14ac:dyDescent="0.2">
      <c r="A139" s="157" t="str">
        <f>IF(B139&gt;0,VLOOKUP(B139,КВСР!A109:B1274,2),IF(C139&gt;0,VLOOKUP(C139,КФСР!A109:B1621,2),IF(D139&gt;0,VLOOKUP(D139,Программа!A$1:B$5100,2),IF(F139&gt;0,VLOOKUP(F139,КВР!A$1:B$5001,2),IF(E139&gt;0,VLOOKUP(E139,Направление!A$1:B$4830,2))))))</f>
        <v>Молодежная политика</v>
      </c>
      <c r="B139" s="171"/>
      <c r="C139" s="172">
        <v>707</v>
      </c>
      <c r="D139" s="174"/>
      <c r="E139" s="172"/>
      <c r="F139" s="173"/>
      <c r="G139" s="504">
        <v>5396850</v>
      </c>
      <c r="H139" s="159">
        <f>H140</f>
        <v>0</v>
      </c>
      <c r="I139" s="159">
        <f t="shared" si="8"/>
        <v>5396850</v>
      </c>
      <c r="J139" s="504">
        <v>5396850</v>
      </c>
      <c r="K139" s="159">
        <f>K140</f>
        <v>0</v>
      </c>
      <c r="L139" s="159">
        <f t="shared" si="9"/>
        <v>5396850</v>
      </c>
    </row>
    <row r="140" spans="1:12" ht="78.75" x14ac:dyDescent="0.2">
      <c r="A140" s="157" t="str">
        <f>IF(B140&gt;0,VLOOKUP(B140,КВСР!A110:B1275,2),IF(C140&gt;0,VLOOKUP(C140,КФСР!A110:B1622,2),IF(D140&gt;0,VLOOKUP(D140,Программа!A$1:B$5100,2),IF(F140&gt;0,VLOOKUP(F140,КВР!A$1:B$5001,2),IF(E140&gt;0,VLOOKUP(E140,Направление!A$1:B$4830,2))))))</f>
        <v>Муниципальная программа "Развитие образования, физической культуры и спорта в Тутаевском муниципальном районе"</v>
      </c>
      <c r="B140" s="171"/>
      <c r="C140" s="172"/>
      <c r="D140" s="174" t="s">
        <v>686</v>
      </c>
      <c r="E140" s="172"/>
      <c r="F140" s="173"/>
      <c r="G140" s="504">
        <v>5396850</v>
      </c>
      <c r="H140" s="159">
        <f>H141</f>
        <v>0</v>
      </c>
      <c r="I140" s="159">
        <f t="shared" si="8"/>
        <v>5396850</v>
      </c>
      <c r="J140" s="504">
        <v>5396850</v>
      </c>
      <c r="K140" s="159">
        <f>K141</f>
        <v>0</v>
      </c>
      <c r="L140" s="159">
        <f t="shared" si="9"/>
        <v>5396850</v>
      </c>
    </row>
    <row r="141" spans="1:12" ht="94.5" x14ac:dyDescent="0.2">
      <c r="A141" s="157" t="str">
        <f>IF(B141&gt;0,VLOOKUP(B141,КВСР!A111:B1276,2),IF(C141&gt;0,VLOOKUP(C141,КФСР!A111:B1623,2),IF(D141&gt;0,VLOOKUP(D141,Программа!A$1:B$5100,2),IF(F141&gt;0,VLOOKUP(F141,КВР!A$1:B$5001,2),IF(E141&gt;0,VLOOKUP(E141,Направление!A$1:B$4830,2))))))</f>
        <v xml:space="preserve">Ведомственная целевая программа департамента образования Администрации Тутаевского муниципального района </v>
      </c>
      <c r="B141" s="171"/>
      <c r="C141" s="172"/>
      <c r="D141" s="174" t="s">
        <v>688</v>
      </c>
      <c r="E141" s="172"/>
      <c r="F141" s="173"/>
      <c r="G141" s="504">
        <v>5396850</v>
      </c>
      <c r="H141" s="159">
        <f>H142+H150</f>
        <v>0</v>
      </c>
      <c r="I141" s="159">
        <f t="shared" si="8"/>
        <v>5396850</v>
      </c>
      <c r="J141" s="504">
        <v>5396850</v>
      </c>
      <c r="K141" s="159">
        <f>K142+K150</f>
        <v>0</v>
      </c>
      <c r="L141" s="159">
        <f t="shared" si="9"/>
        <v>5396850</v>
      </c>
    </row>
    <row r="142" spans="1:12" ht="63" x14ac:dyDescent="0.2">
      <c r="A142" s="157" t="str">
        <f>IF(B142&gt;0,VLOOKUP(B142,КВСР!A112:B1277,2),IF(C142&gt;0,VLOOKUP(C142,КФСР!A112:B1624,2),IF(D142&gt;0,VLOOKUP(D142,Программа!A$1:B$5100,2),IF(F142&gt;0,VLOOKUP(F142,КВР!A$1:B$5001,2),IF(E142&gt;0,VLOOKUP(E142,Направление!A$1:B$4830,2))))))</f>
        <v>Обеспечение реализации мероприятий в рамках областных целевых программ</v>
      </c>
      <c r="B142" s="171"/>
      <c r="C142" s="172"/>
      <c r="D142" s="174" t="s">
        <v>2949</v>
      </c>
      <c r="E142" s="172"/>
      <c r="F142" s="173"/>
      <c r="G142" s="504">
        <v>5396850</v>
      </c>
      <c r="H142" s="159">
        <f>H143+H145+H148</f>
        <v>0</v>
      </c>
      <c r="I142" s="159">
        <f t="shared" si="8"/>
        <v>5396850</v>
      </c>
      <c r="J142" s="504">
        <v>5396850</v>
      </c>
      <c r="K142" s="159">
        <f>K143+K145+K148</f>
        <v>0</v>
      </c>
      <c r="L142" s="159">
        <f t="shared" si="9"/>
        <v>5396850</v>
      </c>
    </row>
    <row r="143" spans="1:12" ht="78.75" x14ac:dyDescent="0.2">
      <c r="A143" s="157" t="str">
        <f>IF(B143&gt;0,VLOOKUP(B143,КВСР!A112:B1277,2),IF(C143&gt;0,VLOOKUP(C143,КФСР!A112:B1624,2),IF(D143&gt;0,VLOOKUP(D143,Программа!A$1:B$5100,2),IF(F143&gt;0,VLOOKUP(F143,КВР!A$1:B$5001,2),IF(E143&gt;0,VLOOKUP(E143,Направление!A$1:B$4830,2))))))</f>
        <v xml:space="preserve">Расходы на оплату стоимости набора продуктов питания в лагерях с дневной формой пребывания детей </v>
      </c>
      <c r="B143" s="171"/>
      <c r="C143" s="172"/>
      <c r="D143" s="174"/>
      <c r="E143" s="172" t="s">
        <v>710</v>
      </c>
      <c r="F143" s="173"/>
      <c r="G143" s="504">
        <v>739850</v>
      </c>
      <c r="H143" s="159">
        <f>H144</f>
        <v>0</v>
      </c>
      <c r="I143" s="159">
        <f t="shared" si="8"/>
        <v>739850</v>
      </c>
      <c r="J143" s="504">
        <v>739850</v>
      </c>
      <c r="K143" s="159">
        <f>K144</f>
        <v>0</v>
      </c>
      <c r="L143" s="159">
        <f t="shared" si="9"/>
        <v>739850</v>
      </c>
    </row>
    <row r="144" spans="1:12" ht="78.75" x14ac:dyDescent="0.2">
      <c r="A144" s="157" t="str">
        <f>IF(B144&gt;0,VLOOKUP(B144,КВСР!A114:B1279,2),IF(C144&gt;0,VLOOKUP(C144,КФСР!A114:B1626,2),IF(D144&gt;0,VLOOKUP(D144,Программа!A$1:B$5100,2),IF(F144&gt;0,VLOOKUP(F144,КВР!A$1:B$5001,2),IF(E144&gt;0,VLOOKUP(E144,Направление!A$1:B$4830,2))))))</f>
        <v>Предоставление субсидий бюджетным, автономным учреждениям и иным некоммерческим организациям</v>
      </c>
      <c r="B144" s="171"/>
      <c r="C144" s="172"/>
      <c r="D144" s="174"/>
      <c r="E144" s="172"/>
      <c r="F144" s="173">
        <v>600</v>
      </c>
      <c r="G144" s="547">
        <v>739850</v>
      </c>
      <c r="H144" s="195"/>
      <c r="I144" s="159">
        <f t="shared" si="8"/>
        <v>739850</v>
      </c>
      <c r="J144" s="547">
        <v>739850</v>
      </c>
      <c r="K144" s="195"/>
      <c r="L144" s="159">
        <f t="shared" si="9"/>
        <v>739850</v>
      </c>
    </row>
    <row r="145" spans="1:12" ht="173.25" x14ac:dyDescent="0.2">
      <c r="A145" s="157" t="str">
        <f>IF(B145&gt;0,VLOOKUP(B145,КВСР!A115:B1280,2),IF(C145&gt;0,VLOOKUP(C145,КФСР!A115:B1627,2),IF(D145&gt;0,VLOOKUP(D145,Программа!A$1:B$5100,2),IF(F145&gt;0,VLOOKUP(F145,КВР!A$1:B$5001,2),IF(E145&gt;0,VLOOKUP(E145,Направление!A$1:B$4830,2))))))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45" s="171"/>
      <c r="C145" s="172"/>
      <c r="D145" s="174"/>
      <c r="E145" s="172">
        <v>71060</v>
      </c>
      <c r="F145" s="173"/>
      <c r="G145" s="504">
        <v>4407000</v>
      </c>
      <c r="H145" s="159">
        <f>H147+H146</f>
        <v>0</v>
      </c>
      <c r="I145" s="159">
        <f t="shared" si="8"/>
        <v>4407000</v>
      </c>
      <c r="J145" s="504">
        <v>4407000</v>
      </c>
      <c r="K145" s="159">
        <f>K147+K146</f>
        <v>0</v>
      </c>
      <c r="L145" s="159">
        <f t="shared" si="9"/>
        <v>4407000</v>
      </c>
    </row>
    <row r="146" spans="1:12" ht="31.5" x14ac:dyDescent="0.2">
      <c r="A146" s="157" t="str">
        <f>IF(B146&gt;0,VLOOKUP(B146,КВСР!A116:B1281,2),IF(C146&gt;0,VLOOKUP(C146,КФСР!A116:B1628,2),IF(D146&gt;0,VLOOKUP(D146,Программа!A$1:B$5100,2),IF(F146&gt;0,VLOOKUP(F146,КВР!A$1:B$5001,2),IF(E146&gt;0,VLOOKUP(E146,Направление!A$1:B$4830,2))))))</f>
        <v>Социальное обеспечение и иные выплаты населению</v>
      </c>
      <c r="B146" s="171"/>
      <c r="C146" s="172"/>
      <c r="D146" s="174"/>
      <c r="E146" s="172"/>
      <c r="F146" s="173">
        <v>300</v>
      </c>
      <c r="G146" s="547">
        <v>3819200</v>
      </c>
      <c r="H146" s="195"/>
      <c r="I146" s="159">
        <f t="shared" si="8"/>
        <v>3819200</v>
      </c>
      <c r="J146" s="547">
        <v>3819200</v>
      </c>
      <c r="K146" s="195"/>
      <c r="L146" s="159">
        <f t="shared" si="9"/>
        <v>3819200</v>
      </c>
    </row>
    <row r="147" spans="1:12" ht="78" customHeight="1" x14ac:dyDescent="0.2">
      <c r="A147" s="157" t="str">
        <f>IF(B147&gt;0,VLOOKUP(B147,КВСР!A116:B1281,2),IF(C147&gt;0,VLOOKUP(C147,КФСР!A116:B1628,2),IF(D147&gt;0,VLOOKUP(D147,Программа!A$1:B$5100,2),IF(F147&gt;0,VLOOKUP(F147,КВР!A$1:B$5001,2),IF(E147&gt;0,VLOOKUP(E147,Направление!A$1:B$4830,2))))))</f>
        <v>Предоставление субсидий бюджетным, автономным учреждениям и иным некоммерческим организациям</v>
      </c>
      <c r="B147" s="171"/>
      <c r="C147" s="172"/>
      <c r="D147" s="174"/>
      <c r="E147" s="172"/>
      <c r="F147" s="173">
        <v>600</v>
      </c>
      <c r="G147" s="547">
        <v>587800</v>
      </c>
      <c r="H147" s="195"/>
      <c r="I147" s="159">
        <f t="shared" si="8"/>
        <v>587800</v>
      </c>
      <c r="J147" s="547">
        <v>587800</v>
      </c>
      <c r="K147" s="195"/>
      <c r="L147" s="159">
        <f t="shared" si="9"/>
        <v>587800</v>
      </c>
    </row>
    <row r="148" spans="1:12" ht="63" x14ac:dyDescent="0.2">
      <c r="A148" s="157" t="str">
        <f>IF(B148&gt;0,VLOOKUP(B148,КВСР!A117:B1282,2),IF(C148&gt;0,VLOOKUP(C148,КФСР!A117:B1629,2),IF(D148&gt;0,VLOOKUP(D148,Программа!A$1:B$5100,2),IF(F148&gt;0,VLOOKUP(F148,КВР!A$1:B$5001,2),IF(E148&gt;0,VLOOKUP(E148,Направление!A$1:B$4830,2))))))</f>
        <v>Субвенция на частичную оплату стоимости путевки в организации отдыха детей и их оздоровления</v>
      </c>
      <c r="B148" s="171"/>
      <c r="C148" s="172"/>
      <c r="D148" s="174"/>
      <c r="E148" s="172">
        <v>75160</v>
      </c>
      <c r="F148" s="173"/>
      <c r="G148" s="619">
        <v>250000</v>
      </c>
      <c r="H148" s="548">
        <f>H149</f>
        <v>0</v>
      </c>
      <c r="I148" s="159">
        <f t="shared" si="8"/>
        <v>250000</v>
      </c>
      <c r="J148" s="619">
        <v>250000</v>
      </c>
      <c r="K148" s="548">
        <f>K149</f>
        <v>0</v>
      </c>
      <c r="L148" s="159">
        <f t="shared" si="9"/>
        <v>250000</v>
      </c>
    </row>
    <row r="149" spans="1:12" ht="31.5" x14ac:dyDescent="0.2">
      <c r="A149" s="157" t="str">
        <f>IF(B149&gt;0,VLOOKUP(B149,КВСР!A118:B1283,2),IF(C149&gt;0,VLOOKUP(C149,КФСР!A118:B1630,2),IF(D149&gt;0,VLOOKUP(D149,Программа!A$1:B$5100,2),IF(F149&gt;0,VLOOKUP(F149,КВР!A$1:B$5001,2),IF(E149&gt;0,VLOOKUP(E149,Направление!A$1:B$4830,2))))))</f>
        <v>Социальное обеспечение и иные выплаты населению</v>
      </c>
      <c r="B149" s="171"/>
      <c r="C149" s="172"/>
      <c r="D149" s="174"/>
      <c r="E149" s="172"/>
      <c r="F149" s="173">
        <v>300</v>
      </c>
      <c r="G149" s="547">
        <v>250000</v>
      </c>
      <c r="H149" s="195"/>
      <c r="I149" s="159">
        <f t="shared" si="8"/>
        <v>250000</v>
      </c>
      <c r="J149" s="547">
        <v>250000</v>
      </c>
      <c r="K149" s="195"/>
      <c r="L149" s="159">
        <f t="shared" si="9"/>
        <v>250000</v>
      </c>
    </row>
    <row r="150" spans="1:12" ht="31.5" hidden="1" x14ac:dyDescent="0.2">
      <c r="A150" s="157" t="str">
        <f>IF(B150&gt;0,VLOOKUP(B150,КВСР!A117:B1282,2),IF(C150&gt;0,VLOOKUP(C150,КФСР!A117:B1629,2),IF(D150&gt;0,VLOOKUP(D150,Программа!A$1:B$5100,2),IF(F150&gt;0,VLOOKUP(F150,КВР!A$1:B$5001,2),IF(E150&gt;0,VLOOKUP(E150,Направление!A$1:B$4830,2))))))</f>
        <v>Обеспечение компенсационных выплат</v>
      </c>
      <c r="B150" s="171"/>
      <c r="C150" s="172"/>
      <c r="D150" s="174" t="s">
        <v>2955</v>
      </c>
      <c r="E150" s="172"/>
      <c r="F150" s="173"/>
      <c r="G150" s="547">
        <v>0</v>
      </c>
      <c r="H150" s="547">
        <f>H151</f>
        <v>0</v>
      </c>
      <c r="I150" s="159">
        <f t="shared" si="8"/>
        <v>0</v>
      </c>
      <c r="J150" s="547">
        <v>0</v>
      </c>
      <c r="K150" s="547">
        <f>K151</f>
        <v>0</v>
      </c>
      <c r="L150" s="159">
        <f t="shared" si="9"/>
        <v>0</v>
      </c>
    </row>
    <row r="151" spans="1:12" ht="78.75" hidden="1" x14ac:dyDescent="0.2">
      <c r="A151" s="157" t="str">
        <f>IF(B151&gt;0,VLOOKUP(B151,КВСР!A114:B1279,2),IF(C151&gt;0,VLOOKUP(C151,КФСР!A114:B1626,2),IF(D151&gt;0,VLOOKUP(D151,Программа!A$1:B$5100,2),IF(F151&gt;0,VLOOKUP(F151,КВР!A$1:B$5001,2),IF(E151&gt;0,VLOOKUP(E151,Направление!A$1:B$4830,2))))))</f>
        <v>Компенсация части расходов на приобретение путевки в организации отдыха детей и их оздоровления</v>
      </c>
      <c r="B151" s="171"/>
      <c r="C151" s="172"/>
      <c r="D151" s="174"/>
      <c r="E151" s="172">
        <v>74390</v>
      </c>
      <c r="F151" s="173"/>
      <c r="G151" s="504">
        <v>0</v>
      </c>
      <c r="H151" s="159">
        <f>H152</f>
        <v>0</v>
      </c>
      <c r="I151" s="159">
        <f t="shared" si="8"/>
        <v>0</v>
      </c>
      <c r="J151" s="504">
        <v>0</v>
      </c>
      <c r="K151" s="159">
        <f>K152</f>
        <v>0</v>
      </c>
      <c r="L151" s="159">
        <f t="shared" si="9"/>
        <v>0</v>
      </c>
    </row>
    <row r="152" spans="1:12" ht="31.5" hidden="1" x14ac:dyDescent="0.2">
      <c r="A152" s="157" t="str">
        <f>IF(B152&gt;0,VLOOKUP(B152,КВСР!A116:B1281,2),IF(C152&gt;0,VLOOKUP(C152,КФСР!A116:B1628,2),IF(D152&gt;0,VLOOKUP(D152,Программа!A$1:B$5100,2),IF(F152&gt;0,VLOOKUP(F152,КВР!A$1:B$5001,2),IF(E152&gt;0,VLOOKUP(E152,Направление!A$1:B$4830,2))))))</f>
        <v>Социальное обеспечение и иные выплаты населению</v>
      </c>
      <c r="B152" s="171"/>
      <c r="C152" s="172"/>
      <c r="D152" s="174"/>
      <c r="E152" s="172"/>
      <c r="F152" s="155">
        <v>300</v>
      </c>
      <c r="G152" s="495">
        <v>0</v>
      </c>
      <c r="H152" s="194"/>
      <c r="I152" s="159">
        <f t="shared" si="8"/>
        <v>0</v>
      </c>
      <c r="J152" s="495">
        <v>0</v>
      </c>
      <c r="K152" s="194"/>
      <c r="L152" s="159">
        <f t="shared" si="9"/>
        <v>0</v>
      </c>
    </row>
    <row r="153" spans="1:12" ht="31.5" x14ac:dyDescent="0.2">
      <c r="A153" s="157" t="str">
        <f>IF(B153&gt;0,VLOOKUP(B153,КВСР!A122:B1287,2),IF(C153&gt;0,VLOOKUP(C153,КФСР!A122:B1634,2),IF(D153&gt;0,VLOOKUP(D153,Программа!A$1:B$5100,2),IF(F153&gt;0,VLOOKUP(F153,КВР!A$1:B$5001,2),IF(E153&gt;0,VLOOKUP(E153,Направление!A$1:B$4830,2))))))</f>
        <v>Другие вопросы в области образования</v>
      </c>
      <c r="B153" s="171"/>
      <c r="C153" s="172">
        <v>709</v>
      </c>
      <c r="D153" s="174"/>
      <c r="E153" s="172"/>
      <c r="F153" s="173"/>
      <c r="G153" s="504">
        <v>36353999</v>
      </c>
      <c r="H153" s="159">
        <f>H159+H154</f>
        <v>0</v>
      </c>
      <c r="I153" s="159">
        <f t="shared" si="8"/>
        <v>36353999</v>
      </c>
      <c r="J153" s="504">
        <v>31353999</v>
      </c>
      <c r="K153" s="159">
        <f>K159+K154</f>
        <v>0</v>
      </c>
      <c r="L153" s="159">
        <f t="shared" si="9"/>
        <v>31353999</v>
      </c>
    </row>
    <row r="154" spans="1:12" ht="78.75" x14ac:dyDescent="0.2">
      <c r="A154" s="157" t="str">
        <f>IF(B154&gt;0,VLOOKUP(B154,КВСР!A123:B1288,2),IF(C154&gt;0,VLOOKUP(C154,КФСР!A123:B1635,2),IF(D154&gt;0,VLOOKUP(D154,Программа!A$1:B$5100,2),IF(F154&gt;0,VLOOKUP(F154,КВР!A$1:B$5001,2),IF(E154&gt;0,VLOOKUP(E154,Направление!A$1:B$4830,2))))))</f>
        <v>Муниципальная программа  "Развитие культуры, туризма и молодежной политики в Тутаевском муниципальном районе"</v>
      </c>
      <c r="B154" s="171"/>
      <c r="C154" s="172"/>
      <c r="D154" s="174" t="s">
        <v>716</v>
      </c>
      <c r="E154" s="172"/>
      <c r="F154" s="173"/>
      <c r="G154" s="504">
        <v>151581</v>
      </c>
      <c r="H154" s="159">
        <f>H155</f>
        <v>0</v>
      </c>
      <c r="I154" s="159">
        <f t="shared" si="8"/>
        <v>151581</v>
      </c>
      <c r="J154" s="504">
        <v>151581</v>
      </c>
      <c r="K154" s="159">
        <f>K155</f>
        <v>0</v>
      </c>
      <c r="L154" s="159">
        <f t="shared" si="9"/>
        <v>151581</v>
      </c>
    </row>
    <row r="155" spans="1:12" ht="94.5" x14ac:dyDescent="0.2">
      <c r="A155" s="157" t="str">
        <f>IF(B155&gt;0,VLOOKUP(B155,КВСР!A124:B1289,2),IF(C155&gt;0,VLOOKUP(C155,КФСР!A124:B1636,2),IF(D155&gt;0,VLOOKUP(D155,Программа!A$1:B$5100,2),IF(F155&gt;0,VLOOKUP(F155,КВР!A$1:B$5001,2),IF(E155&gt;0,VLOOKUP(E155,Направление!A$1:B$4830,2))))))</f>
        <v>Муниципальная целевая программа «Комплексные меры противодействия злоупотреблению наркотиками и их незаконному обороту»</v>
      </c>
      <c r="B155" s="171"/>
      <c r="C155" s="172"/>
      <c r="D155" s="174" t="s">
        <v>723</v>
      </c>
      <c r="E155" s="172"/>
      <c r="F155" s="173"/>
      <c r="G155" s="504">
        <v>151581</v>
      </c>
      <c r="H155" s="159">
        <f>H156</f>
        <v>0</v>
      </c>
      <c r="I155" s="159">
        <f t="shared" si="8"/>
        <v>151581</v>
      </c>
      <c r="J155" s="504">
        <v>151581</v>
      </c>
      <c r="K155" s="159">
        <f>K156</f>
        <v>0</v>
      </c>
      <c r="L155" s="159">
        <f t="shared" si="9"/>
        <v>151581</v>
      </c>
    </row>
    <row r="156" spans="1:12" ht="63" x14ac:dyDescent="0.2">
      <c r="A156" s="157" t="str">
        <f>IF(B156&gt;0,VLOOKUP(B156,КВСР!A125:B1290,2),IF(C156&gt;0,VLOOKUP(C156,КФСР!A125:B1637,2),IF(D156&gt;0,VLOOKUP(D156,Программа!A$1:B$5100,2),IF(F156&gt;0,VLOOKUP(F156,КВР!A$1:B$5001,2),IF(E156&gt;0,VLOOKUP(E156,Направление!A$1:B$4830,2))))))</f>
        <v>Развитие системы профилактики немедицинского потребления наркотиков</v>
      </c>
      <c r="B156" s="171"/>
      <c r="C156" s="172"/>
      <c r="D156" s="174" t="s">
        <v>725</v>
      </c>
      <c r="E156" s="172"/>
      <c r="F156" s="173"/>
      <c r="G156" s="504">
        <v>151581</v>
      </c>
      <c r="H156" s="159">
        <f>H157</f>
        <v>0</v>
      </c>
      <c r="I156" s="159">
        <f t="shared" si="8"/>
        <v>151581</v>
      </c>
      <c r="J156" s="504">
        <v>151581</v>
      </c>
      <c r="K156" s="159">
        <f>K157</f>
        <v>0</v>
      </c>
      <c r="L156" s="159">
        <f t="shared" si="9"/>
        <v>151581</v>
      </c>
    </row>
    <row r="157" spans="1:12" ht="94.5" x14ac:dyDescent="0.2">
      <c r="A157" s="157" t="str">
        <f>IF(B157&gt;0,VLOOKUP(B157,КВСР!A126:B1291,2),IF(C157&gt;0,VLOOKUP(C157,КФСР!A126:B1638,2),IF(D157&gt;0,VLOOKUP(D157,Программа!A$1:B$5100,2),IF(F157&gt;0,VLOOKUP(F157,КВР!A$1:B$5001,2),IF(E157&gt;0,VLOOKUP(E157,Направление!A$1:B$4830,2))))))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157" s="171"/>
      <c r="C157" s="172"/>
      <c r="D157" s="174"/>
      <c r="E157" s="172" t="s">
        <v>727</v>
      </c>
      <c r="F157" s="173"/>
      <c r="G157" s="504">
        <v>151581</v>
      </c>
      <c r="H157" s="159">
        <f>H158</f>
        <v>0</v>
      </c>
      <c r="I157" s="159">
        <f t="shared" si="8"/>
        <v>151581</v>
      </c>
      <c r="J157" s="504">
        <v>151581</v>
      </c>
      <c r="K157" s="159">
        <f>K158</f>
        <v>0</v>
      </c>
      <c r="L157" s="159">
        <f t="shared" si="9"/>
        <v>151581</v>
      </c>
    </row>
    <row r="158" spans="1:12" ht="78.75" x14ac:dyDescent="0.2">
      <c r="A158" s="157" t="str">
        <f>IF(B158&gt;0,VLOOKUP(B158,КВСР!A127:B1292,2),IF(C158&gt;0,VLOOKUP(C158,КФСР!A127:B1639,2),IF(D158&gt;0,VLOOKUP(D158,Программа!A$1:B$5100,2),IF(F158&gt;0,VLOOKUP(F158,КВР!A$1:B$5001,2),IF(E158&gt;0,VLOOKUP(E158,Направление!A$1:B$4830,2))))))</f>
        <v>Предоставление субсидий бюджетным, автономным учреждениям и иным некоммерческим организациям</v>
      </c>
      <c r="B158" s="171"/>
      <c r="C158" s="172"/>
      <c r="D158" s="174"/>
      <c r="E158" s="172"/>
      <c r="F158" s="173">
        <v>600</v>
      </c>
      <c r="G158" s="620">
        <v>151581</v>
      </c>
      <c r="H158" s="197"/>
      <c r="I158" s="159">
        <f t="shared" si="8"/>
        <v>151581</v>
      </c>
      <c r="J158" s="620">
        <v>151581</v>
      </c>
      <c r="K158" s="197"/>
      <c r="L158" s="159">
        <f t="shared" si="9"/>
        <v>151581</v>
      </c>
    </row>
    <row r="159" spans="1:12" ht="78.75" x14ac:dyDescent="0.2">
      <c r="A159" s="157" t="str">
        <f>IF(B159&gt;0,VLOOKUP(B159,КВСР!A123:B1288,2),IF(C159&gt;0,VLOOKUP(C159,КФСР!A123:B1635,2),IF(D159&gt;0,VLOOKUP(D159,Программа!A$1:B$5100,2),IF(F159&gt;0,VLOOKUP(F159,КВР!A$1:B$5001,2),IF(E159&gt;0,VLOOKUP(E159,Направление!A$1:B$4830,2))))))</f>
        <v>Муниципальная программа "Развитие образования, физической культуры и спорта в Тутаевском муниципальном районе"</v>
      </c>
      <c r="B159" s="171"/>
      <c r="C159" s="172"/>
      <c r="D159" s="174" t="s">
        <v>686</v>
      </c>
      <c r="E159" s="172"/>
      <c r="F159" s="173"/>
      <c r="G159" s="504">
        <v>36202418</v>
      </c>
      <c r="H159" s="159">
        <f>H160</f>
        <v>0</v>
      </c>
      <c r="I159" s="159">
        <f t="shared" si="8"/>
        <v>36202418</v>
      </c>
      <c r="J159" s="504">
        <v>31202418</v>
      </c>
      <c r="K159" s="159">
        <f>K160</f>
        <v>0</v>
      </c>
      <c r="L159" s="159">
        <f t="shared" si="9"/>
        <v>31202418</v>
      </c>
    </row>
    <row r="160" spans="1:12" ht="94.5" x14ac:dyDescent="0.2">
      <c r="A160" s="157" t="str">
        <f>IF(B160&gt;0,VLOOKUP(B160,КВСР!A124:B1289,2),IF(C160&gt;0,VLOOKUP(C160,КФСР!A124:B1636,2),IF(D160&gt;0,VLOOKUP(D160,Программа!A$1:B$5100,2),IF(F160&gt;0,VLOOKUP(F160,КВР!A$1:B$5001,2),IF(E160&gt;0,VLOOKUP(E160,Направление!A$1:B$4830,2))))))</f>
        <v xml:space="preserve">Ведомственная целевая программа департамента образования Администрации Тутаевского муниципального района </v>
      </c>
      <c r="B160" s="171"/>
      <c r="C160" s="172"/>
      <c r="D160" s="174" t="s">
        <v>688</v>
      </c>
      <c r="E160" s="172"/>
      <c r="F160" s="173"/>
      <c r="G160" s="504">
        <v>36202418</v>
      </c>
      <c r="H160" s="504">
        <f>H168+H161+H165</f>
        <v>0</v>
      </c>
      <c r="I160" s="504">
        <f>I168+I161+I165</f>
        <v>36202418</v>
      </c>
      <c r="J160" s="504">
        <v>31202418</v>
      </c>
      <c r="K160" s="504">
        <f>K168+K161+K165</f>
        <v>0</v>
      </c>
      <c r="L160" s="504">
        <f>L168+L161+L165</f>
        <v>31202418</v>
      </c>
    </row>
    <row r="161" spans="1:12" ht="78.75" hidden="1" customHeight="1" x14ac:dyDescent="0.2">
      <c r="A161" s="157" t="str">
        <f>IF(B161&gt;0,VLOOKUP(B161,КВСР!A125:B1290,2),IF(C161&gt;0,VLOOKUP(C161,КФСР!A125:B1637,2),IF(D161&gt;0,VLOOKUP(D161,Программа!A$1:B$5100,2),IF(F161&gt;0,VLOOKUP(F161,КВР!A$1:B$5001,2),IF(E161&gt;0,VLOOKUP(E161,Направление!A$1:B$4830,2))))))</f>
        <v>Обеспечение качества и доступности образовательных услуг в сфере дополнительного образования</v>
      </c>
      <c r="B161" s="171"/>
      <c r="C161" s="172"/>
      <c r="D161" s="174" t="s">
        <v>753</v>
      </c>
      <c r="E161" s="172"/>
      <c r="F161" s="173"/>
      <c r="G161" s="504">
        <v>0</v>
      </c>
      <c r="H161" s="159">
        <f>H162</f>
        <v>0</v>
      </c>
      <c r="I161" s="159">
        <f t="shared" si="8"/>
        <v>0</v>
      </c>
      <c r="J161" s="504">
        <v>0</v>
      </c>
      <c r="K161" s="159">
        <f>K162</f>
        <v>0</v>
      </c>
      <c r="L161" s="159">
        <f t="shared" si="9"/>
        <v>0</v>
      </c>
    </row>
    <row r="162" spans="1:12" ht="31.5" hidden="1" customHeight="1" x14ac:dyDescent="0.2">
      <c r="A162" s="157" t="str">
        <f>IF(B162&gt;0,VLOOKUP(B162,КВСР!A126:B1291,2),IF(C162&gt;0,VLOOKUP(C162,КФСР!A126:B1638,2),IF(D162&gt;0,VLOOKUP(D162,Программа!A$1:B$5100,2),IF(F162&gt;0,VLOOKUP(F162,КВР!A$1:B$5001,2),IF(E162&gt;0,VLOOKUP(E162,Направление!A$1:B$4830,2))))))</f>
        <v>Мероприятия в сфере образования</v>
      </c>
      <c r="B162" s="171"/>
      <c r="C162" s="172"/>
      <c r="D162" s="174"/>
      <c r="E162" s="172">
        <v>13320</v>
      </c>
      <c r="F162" s="173"/>
      <c r="G162" s="504">
        <v>0</v>
      </c>
      <c r="H162" s="159">
        <f>H163+H164</f>
        <v>0</v>
      </c>
      <c r="I162" s="159">
        <f t="shared" si="8"/>
        <v>0</v>
      </c>
      <c r="J162" s="504">
        <v>0</v>
      </c>
      <c r="K162" s="159">
        <f>K163+K164</f>
        <v>0</v>
      </c>
      <c r="L162" s="159">
        <f t="shared" si="9"/>
        <v>0</v>
      </c>
    </row>
    <row r="163" spans="1:12" ht="141.75" hidden="1" customHeight="1" x14ac:dyDescent="0.2">
      <c r="A163" s="157" t="str">
        <f>IF(B163&gt;0,VLOOKUP(B163,КВСР!A127:B1292,2),IF(C163&gt;0,VLOOKUP(C163,КФСР!A127:B1639,2),IF(D163&gt;0,VLOOKUP(D163,Программа!A$1:B$5100,2),IF(F163&gt;0,VLOOKUP(F163,КВР!A$1:B$5001,2),IF(E163&gt;0,VLOOKUP(E163,Направление!A$1:B$4830,2))))))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63" s="171"/>
      <c r="C163" s="172"/>
      <c r="D163" s="174"/>
      <c r="E163" s="172"/>
      <c r="F163" s="173">
        <v>100</v>
      </c>
      <c r="G163" s="547">
        <v>0</v>
      </c>
      <c r="H163" s="195"/>
      <c r="I163" s="159">
        <f t="shared" si="8"/>
        <v>0</v>
      </c>
      <c r="J163" s="547">
        <v>0</v>
      </c>
      <c r="K163" s="195"/>
      <c r="L163" s="159">
        <f t="shared" si="9"/>
        <v>0</v>
      </c>
    </row>
    <row r="164" spans="1:12" ht="78.75" hidden="1" customHeight="1" x14ac:dyDescent="0.2">
      <c r="A164" s="157" t="str">
        <f>IF(B164&gt;0,VLOOKUP(B164,КВСР!A128:B1293,2),IF(C164&gt;0,VLOOKUP(C164,КФСР!A128:B1640,2),IF(D164&gt;0,VLOOKUP(D164,Программа!A$1:B$5100,2),IF(F164&gt;0,VLOOKUP(F164,КВР!A$1:B$5001,2),IF(E164&gt;0,VLOOKUP(E164,Направление!A$1:B$4830,2))))))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71"/>
      <c r="C164" s="172"/>
      <c r="D164" s="174"/>
      <c r="E164" s="172"/>
      <c r="F164" s="173">
        <v>600</v>
      </c>
      <c r="G164" s="547">
        <v>0</v>
      </c>
      <c r="H164" s="195"/>
      <c r="I164" s="159">
        <f t="shared" si="8"/>
        <v>0</v>
      </c>
      <c r="J164" s="547">
        <v>0</v>
      </c>
      <c r="K164" s="195"/>
      <c r="L164" s="159">
        <f t="shared" si="9"/>
        <v>0</v>
      </c>
    </row>
    <row r="165" spans="1:12" ht="78.75" customHeight="1" x14ac:dyDescent="0.2">
      <c r="A165" s="157" t="str">
        <f>IF(B165&gt;0,VLOOKUP(B165,КВСР!A129:B1294,2),IF(C165&gt;0,VLOOKUP(C165,КФСР!A129:B1641,2),IF(D165&gt;0,VLOOKUP(D165,Программа!A$1:B$5100,2),IF(F165&gt;0,VLOOKUP(F165,КВР!A$1:B$5001,2),IF(E165&gt;0,VLOOKUP(E165,Направление!A$1:B$4830,2))))))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65" s="171"/>
      <c r="C165" s="172"/>
      <c r="D165" s="174" t="s">
        <v>708</v>
      </c>
      <c r="E165" s="172"/>
      <c r="F165" s="173"/>
      <c r="G165" s="547">
        <v>7752800</v>
      </c>
      <c r="H165" s="547">
        <f t="shared" ref="H165:L166" si="11">H166</f>
        <v>0</v>
      </c>
      <c r="I165" s="547">
        <f t="shared" si="11"/>
        <v>7752800</v>
      </c>
      <c r="J165" s="547">
        <v>2752800</v>
      </c>
      <c r="K165" s="547">
        <f t="shared" si="11"/>
        <v>0</v>
      </c>
      <c r="L165" s="547">
        <f t="shared" si="11"/>
        <v>2752800</v>
      </c>
    </row>
    <row r="166" spans="1:12" ht="47.25" x14ac:dyDescent="0.2">
      <c r="A166" s="157" t="str">
        <f>IF(B166&gt;0,VLOOKUP(B166,КВСР!A130:B1295,2),IF(C166&gt;0,VLOOKUP(C166,КФСР!A130:B1642,2),IF(D166&gt;0,VLOOKUP(D166,Программа!A$1:B$5100,2),IF(F166&gt;0,VLOOKUP(F166,КВР!A$1:B$5001,2),IF(E166&gt;0,VLOOKUP(E166,Направление!A$1:B$4830,2))))))</f>
        <v>Обеспечение деятельности прочих учреждений в сфере образования</v>
      </c>
      <c r="B166" s="171"/>
      <c r="C166" s="172"/>
      <c r="D166" s="174"/>
      <c r="E166" s="172">
        <v>13310</v>
      </c>
      <c r="F166" s="173"/>
      <c r="G166" s="547">
        <v>7752800</v>
      </c>
      <c r="H166" s="547">
        <f t="shared" si="11"/>
        <v>0</v>
      </c>
      <c r="I166" s="547">
        <f t="shared" si="11"/>
        <v>7752800</v>
      </c>
      <c r="J166" s="547">
        <v>2752800</v>
      </c>
      <c r="K166" s="547">
        <f t="shared" si="11"/>
        <v>0</v>
      </c>
      <c r="L166" s="547">
        <f t="shared" si="11"/>
        <v>2752800</v>
      </c>
    </row>
    <row r="167" spans="1:12" ht="78.75" customHeight="1" x14ac:dyDescent="0.2">
      <c r="A167" s="157" t="str">
        <f>IF(B167&gt;0,VLOOKUP(B167,КВСР!A131:B1296,2),IF(C167&gt;0,VLOOKUP(C167,КФСР!A131:B1643,2),IF(D167&gt;0,VLOOKUP(D167,Программа!A$1:B$5100,2),IF(F167&gt;0,VLOOKUP(F167,КВР!A$1:B$5001,2),IF(E167&gt;0,VLOOKUP(E167,Направление!A$1:B$4830,2))))))</f>
        <v>Предоставление субсидий бюджетным, автономным учреждениям и иным некоммерческим организациям</v>
      </c>
      <c r="B167" s="171"/>
      <c r="C167" s="172"/>
      <c r="D167" s="174"/>
      <c r="E167" s="172"/>
      <c r="F167" s="173">
        <v>600</v>
      </c>
      <c r="G167" s="547">
        <v>7752800</v>
      </c>
      <c r="H167" s="195"/>
      <c r="I167" s="159">
        <f t="shared" si="8"/>
        <v>7752800</v>
      </c>
      <c r="J167" s="547">
        <v>2752800</v>
      </c>
      <c r="K167" s="195"/>
      <c r="L167" s="159">
        <f t="shared" si="9"/>
        <v>2752800</v>
      </c>
    </row>
    <row r="168" spans="1:12" ht="47.25" x14ac:dyDescent="0.2">
      <c r="A168" s="157" t="str">
        <f>IF(B168&gt;0,VLOOKUP(B168,КВСР!A124:B1289,2),IF(C168&gt;0,VLOOKUP(C168,КФСР!A124:B1636,2),IF(D168&gt;0,VLOOKUP(D168,Программа!A$1:B$5100,2),IF(F168&gt;0,VLOOKUP(F168,КВР!A$1:B$5001,2),IF(E168&gt;0,VLOOKUP(E168,Направление!A$1:B$4830,2))))))</f>
        <v>Обеспечение эффективности управления системой образования</v>
      </c>
      <c r="B168" s="171"/>
      <c r="C168" s="172"/>
      <c r="D168" s="174" t="s">
        <v>2952</v>
      </c>
      <c r="E168" s="172"/>
      <c r="F168" s="173"/>
      <c r="G168" s="504">
        <v>28449618</v>
      </c>
      <c r="H168" s="504">
        <f>H169+H173+H177</f>
        <v>0</v>
      </c>
      <c r="I168" s="504">
        <f>I169+I173+I177</f>
        <v>28449618</v>
      </c>
      <c r="J168" s="504">
        <v>28449618</v>
      </c>
      <c r="K168" s="504">
        <f>K169+K173+K177</f>
        <v>0</v>
      </c>
      <c r="L168" s="504">
        <f>L169+L173+L177</f>
        <v>28449618</v>
      </c>
    </row>
    <row r="169" spans="1:12" ht="31.5" x14ac:dyDescent="0.2">
      <c r="A169" s="157" t="str">
        <f>IF(B169&gt;0,VLOOKUP(B169,КВСР!A125:B1290,2),IF(C169&gt;0,VLOOKUP(C169,КФСР!A125:B1637,2),IF(D169&gt;0,VLOOKUP(D169,Программа!A$1:B$5100,2),IF(F169&gt;0,VLOOKUP(F169,КВР!A$1:B$5001,2),IF(E169&gt;0,VLOOKUP(E169,Направление!A$1:B$4830,2))))))</f>
        <v>Содержание центрального аппарата</v>
      </c>
      <c r="B169" s="171"/>
      <c r="C169" s="172"/>
      <c r="D169" s="174"/>
      <c r="E169" s="172">
        <v>12010</v>
      </c>
      <c r="F169" s="155"/>
      <c r="G169" s="504">
        <v>5605112</v>
      </c>
      <c r="H169" s="504">
        <f>H170+H171+H172</f>
        <v>0</v>
      </c>
      <c r="I169" s="504">
        <f>I170+I171+I172</f>
        <v>5605112</v>
      </c>
      <c r="J169" s="504">
        <v>5605112</v>
      </c>
      <c r="K169" s="504">
        <f>K170+K171+K172</f>
        <v>0</v>
      </c>
      <c r="L169" s="504">
        <f>L170+L171+L172</f>
        <v>5605112</v>
      </c>
    </row>
    <row r="170" spans="1:12" ht="173.25" x14ac:dyDescent="0.2">
      <c r="A170" s="157" t="str">
        <f>IF(B170&gt;0,VLOOKUP(B170,КВСР!A126:B1291,2),IF(C170&gt;0,VLOOKUP(C170,КФСР!A126:B1638,2),IF(D170&gt;0,VLOOKUP(D170,Программа!A$1:B$5100,2),IF(F170&gt;0,VLOOKUP(F170,КВР!A$1:B$5001,2),IF(E170&gt;0,VLOOKUP(E170,Направление!A$1:B$4830,2))))))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0" s="171"/>
      <c r="C170" s="172"/>
      <c r="D170" s="174"/>
      <c r="E170" s="172"/>
      <c r="F170" s="155">
        <v>100</v>
      </c>
      <c r="G170" s="495">
        <v>4679017</v>
      </c>
      <c r="H170" s="194"/>
      <c r="I170" s="159">
        <f t="shared" si="8"/>
        <v>4679017</v>
      </c>
      <c r="J170" s="495">
        <v>4679017</v>
      </c>
      <c r="K170" s="194"/>
      <c r="L170" s="159">
        <f t="shared" si="9"/>
        <v>4679017</v>
      </c>
    </row>
    <row r="171" spans="1:12" ht="78.75" x14ac:dyDescent="0.2">
      <c r="A171" s="157" t="str">
        <f>IF(B171&gt;0,VLOOKUP(B171,КВСР!A127:B1292,2),IF(C171&gt;0,VLOOKUP(C171,КФСР!A127:B1639,2),IF(D171&gt;0,VLOOKUP(D171,Программа!A$1:B$5100,2),IF(F171&gt;0,VLOOKUP(F171,КВР!A$1:B$5001,2),IF(E171&gt;0,VLOOKUP(E171,Направление!A$1:B$4830,2))))))</f>
        <v xml:space="preserve">Закупка товаров, работ и услуг для обеспечения государственных (муниципальных) нужд
</v>
      </c>
      <c r="B171" s="171"/>
      <c r="C171" s="172"/>
      <c r="D171" s="174"/>
      <c r="E171" s="172"/>
      <c r="F171" s="155">
        <v>200</v>
      </c>
      <c r="G171" s="495">
        <v>895095</v>
      </c>
      <c r="H171" s="194"/>
      <c r="I171" s="159">
        <f t="shared" si="8"/>
        <v>895095</v>
      </c>
      <c r="J171" s="495">
        <v>895095</v>
      </c>
      <c r="K171" s="194"/>
      <c r="L171" s="159">
        <f t="shared" si="9"/>
        <v>895095</v>
      </c>
    </row>
    <row r="172" spans="1:12" ht="31.5" x14ac:dyDescent="0.2">
      <c r="A172" s="157" t="str">
        <f>IF(B172&gt;0,VLOOKUP(B172,КВСР!A128:B1293,2),IF(C172&gt;0,VLOOKUP(C172,КФСР!A128:B1640,2),IF(D172&gt;0,VLOOKUP(D172,Программа!A$1:B$5100,2),IF(F172&gt;0,VLOOKUP(F172,КВР!A$1:B$5001,2),IF(E172&gt;0,VLOOKUP(E172,Направление!A$1:B$4830,2))))))</f>
        <v>Иные бюджетные ассигнования</v>
      </c>
      <c r="B172" s="171"/>
      <c r="C172" s="172"/>
      <c r="D172" s="174"/>
      <c r="E172" s="172"/>
      <c r="F172" s="155">
        <v>800</v>
      </c>
      <c r="G172" s="495">
        <v>31000</v>
      </c>
      <c r="H172" s="194"/>
      <c r="I172" s="159">
        <f t="shared" si="8"/>
        <v>31000</v>
      </c>
      <c r="J172" s="495">
        <v>31000</v>
      </c>
      <c r="K172" s="194"/>
      <c r="L172" s="159">
        <f t="shared" si="9"/>
        <v>31000</v>
      </c>
    </row>
    <row r="173" spans="1:12" ht="48" customHeight="1" x14ac:dyDescent="0.2">
      <c r="A173" s="157" t="str">
        <f>IF(B173&gt;0,VLOOKUP(B173,КВСР!A135:B1300,2),IF(C173&gt;0,VLOOKUP(C173,КФСР!A135:B1647,2),IF(D173&gt;0,VLOOKUP(D173,Программа!A$1:B$5100,2),IF(F173&gt;0,VLOOKUP(F173,КВР!A$1:B$5001,2),IF(E173&gt;0,VLOOKUP(E173,Направление!A$1:B$4830,2))))))</f>
        <v>Обеспечение деятельности прочих учреждений в сфере образования</v>
      </c>
      <c r="B173" s="171"/>
      <c r="C173" s="172"/>
      <c r="D173" s="174"/>
      <c r="E173" s="172">
        <v>13310</v>
      </c>
      <c r="F173" s="155"/>
      <c r="G173" s="504">
        <v>18846512</v>
      </c>
      <c r="H173" s="504">
        <f>H174+H175+H176</f>
        <v>0</v>
      </c>
      <c r="I173" s="504">
        <f>I174+I175+I176</f>
        <v>18846512</v>
      </c>
      <c r="J173" s="504">
        <v>18846512</v>
      </c>
      <c r="K173" s="504">
        <f>K174+K175+K176</f>
        <v>0</v>
      </c>
      <c r="L173" s="504">
        <f>L174+L175+L176</f>
        <v>18846512</v>
      </c>
    </row>
    <row r="174" spans="1:12" ht="173.25" x14ac:dyDescent="0.2">
      <c r="A174" s="157" t="str">
        <f>IF(B174&gt;0,VLOOKUP(B174,КВСР!A136:B1301,2),IF(C174&gt;0,VLOOKUP(C174,КФСР!A136:B1648,2),IF(D174&gt;0,VLOOKUP(D174,Программа!A$1:B$5100,2),IF(F174&gt;0,VLOOKUP(F174,КВР!A$1:B$5001,2),IF(E174&gt;0,VLOOKUP(E174,Направление!A$1:B$4830,2))))))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4" s="171"/>
      <c r="C174" s="172"/>
      <c r="D174" s="174"/>
      <c r="E174" s="172"/>
      <c r="F174" s="155">
        <v>100</v>
      </c>
      <c r="G174" s="504">
        <v>17522537</v>
      </c>
      <c r="H174" s="538"/>
      <c r="I174" s="159">
        <f t="shared" si="8"/>
        <v>17522537</v>
      </c>
      <c r="J174" s="504">
        <v>17522537</v>
      </c>
      <c r="K174" s="538"/>
      <c r="L174" s="159">
        <f t="shared" si="9"/>
        <v>17522537</v>
      </c>
    </row>
    <row r="175" spans="1:12" ht="78.75" x14ac:dyDescent="0.2">
      <c r="A175" s="157" t="str">
        <f>IF(B175&gt;0,VLOOKUP(B175,КВСР!A137:B1302,2),IF(C175&gt;0,VLOOKUP(C175,КФСР!A137:B1649,2),IF(D175&gt;0,VLOOKUP(D175,Программа!A$1:B$5100,2),IF(F175&gt;0,VLOOKUP(F175,КВР!A$1:B$5001,2),IF(E175&gt;0,VLOOKUP(E175,Направление!A$1:B$4830,2))))))</f>
        <v xml:space="preserve">Закупка товаров, работ и услуг для обеспечения государственных (муниципальных) нужд
</v>
      </c>
      <c r="B175" s="171"/>
      <c r="C175" s="172"/>
      <c r="D175" s="174"/>
      <c r="E175" s="172"/>
      <c r="F175" s="155">
        <v>200</v>
      </c>
      <c r="G175" s="504">
        <v>1303275</v>
      </c>
      <c r="H175" s="538"/>
      <c r="I175" s="159">
        <f t="shared" si="8"/>
        <v>1303275</v>
      </c>
      <c r="J175" s="504">
        <v>1303275</v>
      </c>
      <c r="K175" s="538"/>
      <c r="L175" s="159">
        <f t="shared" si="9"/>
        <v>1303275</v>
      </c>
    </row>
    <row r="176" spans="1:12" ht="31.5" x14ac:dyDescent="0.2">
      <c r="A176" s="157" t="str">
        <f>IF(B176&gt;0,VLOOKUP(B176,КВСР!A138:B1303,2),IF(C176&gt;0,VLOOKUP(C176,КФСР!A138:B1650,2),IF(D176&gt;0,VLOOKUP(D176,Программа!A$1:B$5100,2),IF(F176&gt;0,VLOOKUP(F176,КВР!A$1:B$5001,2),IF(E176&gt;0,VLOOKUP(E176,Направление!A$1:B$4830,2))))))</f>
        <v>Иные бюджетные ассигнования</v>
      </c>
      <c r="B176" s="171"/>
      <c r="C176" s="172"/>
      <c r="D176" s="174"/>
      <c r="E176" s="172"/>
      <c r="F176" s="155">
        <v>800</v>
      </c>
      <c r="G176" s="504">
        <v>20700</v>
      </c>
      <c r="H176" s="538"/>
      <c r="I176" s="159">
        <f t="shared" si="8"/>
        <v>20700</v>
      </c>
      <c r="J176" s="504">
        <v>20700</v>
      </c>
      <c r="K176" s="538"/>
      <c r="L176" s="159">
        <f t="shared" si="9"/>
        <v>20700</v>
      </c>
    </row>
    <row r="177" spans="1:12" ht="78.75" x14ac:dyDescent="0.2">
      <c r="A177" s="157" t="str">
        <f>IF(B177&gt;0,VLOOKUP(B177,КВСР!A130:B1295,2),IF(C177&gt;0,VLOOKUP(C177,КФСР!A130:B1642,2),IF(D177&gt;0,VLOOKUP(D177,Программа!A$1:B$5100,2),IF(F177&gt;0,VLOOKUP(F177,КВР!A$1:B$5001,2),IF(E177&gt;0,VLOOKUP(E177,Направление!A$1:B$4830,2))))))</f>
        <v>Расходы на обеспечение деятельности органов опеки и попечительства за счет средств областного бюджета</v>
      </c>
      <c r="B177" s="171"/>
      <c r="C177" s="172"/>
      <c r="D177" s="174"/>
      <c r="E177" s="172">
        <v>70550</v>
      </c>
      <c r="F177" s="173"/>
      <c r="G177" s="504">
        <v>3997994</v>
      </c>
      <c r="H177" s="159">
        <f>H178+H179+H180</f>
        <v>0</v>
      </c>
      <c r="I177" s="159">
        <f t="shared" si="8"/>
        <v>3997994</v>
      </c>
      <c r="J177" s="504">
        <v>3997994</v>
      </c>
      <c r="K177" s="159">
        <f>K178+K179+K180</f>
        <v>0</v>
      </c>
      <c r="L177" s="159">
        <f t="shared" si="9"/>
        <v>3997994</v>
      </c>
    </row>
    <row r="178" spans="1:12" ht="173.25" x14ac:dyDescent="0.2">
      <c r="A178" s="157" t="str">
        <f>IF(B178&gt;0,VLOOKUP(B178,КВСР!A131:B1296,2),IF(C178&gt;0,VLOOKUP(C178,КФСР!A131:B1643,2),IF(D178&gt;0,VLOOKUP(D178,Программа!A$1:B$5100,2),IF(F178&gt;0,VLOOKUP(F178,КВР!A$1:B$5001,2),IF(E178&gt;0,VLOOKUP(E178,Направление!A$1:B$4830,2))))))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171"/>
      <c r="C178" s="172"/>
      <c r="D178" s="174"/>
      <c r="E178" s="172"/>
      <c r="F178" s="173">
        <v>100</v>
      </c>
      <c r="G178" s="495">
        <v>3114423</v>
      </c>
      <c r="H178" s="194"/>
      <c r="I178" s="159">
        <f t="shared" si="8"/>
        <v>3114423</v>
      </c>
      <c r="J178" s="495">
        <v>3114423</v>
      </c>
      <c r="K178" s="194"/>
      <c r="L178" s="159">
        <f t="shared" si="9"/>
        <v>3114423</v>
      </c>
    </row>
    <row r="179" spans="1:12" ht="78.75" x14ac:dyDescent="0.2">
      <c r="A179" s="157" t="str">
        <f>IF(B179&gt;0,VLOOKUP(B179,КВСР!A132:B1297,2),IF(C179&gt;0,VLOOKUP(C179,КФСР!A132:B1644,2),IF(D179&gt;0,VLOOKUP(D179,Программа!A$1:B$5100,2),IF(F179&gt;0,VLOOKUP(F179,КВР!A$1:B$5001,2),IF(E179&gt;0,VLOOKUP(E179,Направление!A$1:B$4830,2))))))</f>
        <v xml:space="preserve">Закупка товаров, работ и услуг для обеспечения государственных (муниципальных) нужд
</v>
      </c>
      <c r="B179" s="158"/>
      <c r="C179" s="172"/>
      <c r="D179" s="174"/>
      <c r="E179" s="172"/>
      <c r="F179" s="173">
        <v>200</v>
      </c>
      <c r="G179" s="495">
        <v>878571</v>
      </c>
      <c r="H179" s="194"/>
      <c r="I179" s="159">
        <f t="shared" si="8"/>
        <v>878571</v>
      </c>
      <c r="J179" s="495">
        <v>878571</v>
      </c>
      <c r="K179" s="194"/>
      <c r="L179" s="159">
        <f t="shared" si="9"/>
        <v>878571</v>
      </c>
    </row>
    <row r="180" spans="1:12" ht="31.5" x14ac:dyDescent="0.2">
      <c r="A180" s="157" t="str">
        <f>IF(B180&gt;0,VLOOKUP(B180,КВСР!A133:B1298,2),IF(C180&gt;0,VLOOKUP(C180,КФСР!A133:B1645,2),IF(D180&gt;0,VLOOKUP(D180,Программа!A$1:B$5100,2),IF(F180&gt;0,VLOOKUP(F180,КВР!A$1:B$5001,2),IF(E180&gt;0,VLOOKUP(E180,Направление!A$1:B$4830,2))))))</f>
        <v>Иные бюджетные ассигнования</v>
      </c>
      <c r="B180" s="158"/>
      <c r="C180" s="172"/>
      <c r="D180" s="174"/>
      <c r="E180" s="172"/>
      <c r="F180" s="173">
        <v>800</v>
      </c>
      <c r="G180" s="495">
        <v>5000</v>
      </c>
      <c r="H180" s="194"/>
      <c r="I180" s="159">
        <f t="shared" si="8"/>
        <v>5000</v>
      </c>
      <c r="J180" s="495">
        <v>5000</v>
      </c>
      <c r="K180" s="194"/>
      <c r="L180" s="159">
        <f t="shared" si="9"/>
        <v>5000</v>
      </c>
    </row>
    <row r="181" spans="1:12" ht="31.5" x14ac:dyDescent="0.2">
      <c r="A181" s="157" t="str">
        <f>IF(B181&gt;0,VLOOKUP(B181,КВСР!A134:B1299,2),IF(C181&gt;0,VLOOKUP(C181,КФСР!A134:B1646,2),IF(D181&gt;0,VLOOKUP(D181,Программа!A$1:B$5100,2),IF(F181&gt;0,VLOOKUP(F181,КВР!A$1:B$5001,2),IF(E181&gt;0,VLOOKUP(E181,Направление!A$1:B$4830,2))))))</f>
        <v>Социальное обеспечение населения</v>
      </c>
      <c r="B181" s="158"/>
      <c r="C181" s="172">
        <v>1003</v>
      </c>
      <c r="D181" s="174"/>
      <c r="E181" s="172"/>
      <c r="F181" s="173"/>
      <c r="G181" s="495">
        <v>1143467</v>
      </c>
      <c r="H181" s="495">
        <f t="shared" ref="H181:L185" si="12">H182</f>
        <v>0</v>
      </c>
      <c r="I181" s="495">
        <f t="shared" si="12"/>
        <v>1143467</v>
      </c>
      <c r="J181" s="495">
        <v>1143467</v>
      </c>
      <c r="K181" s="495">
        <f t="shared" si="12"/>
        <v>0</v>
      </c>
      <c r="L181" s="495">
        <f t="shared" si="12"/>
        <v>1143467</v>
      </c>
    </row>
    <row r="182" spans="1:12" ht="78.75" x14ac:dyDescent="0.2">
      <c r="A182" s="157" t="str">
        <f>IF(B182&gt;0,VLOOKUP(B182,КВСР!A135:B1300,2),IF(C182&gt;0,VLOOKUP(C182,КФСР!A135:B1647,2),IF(D182&gt;0,VLOOKUP(D182,Программа!A$1:B$5100,2),IF(F182&gt;0,VLOOKUP(F182,КВР!A$1:B$5001,2),IF(E182&gt;0,VLOOKUP(E182,Направление!A$1:B$4830,2))))))</f>
        <v>Муниципальная программа "Развитие образования, физической культуры и спорта в Тутаевском муниципальном районе"</v>
      </c>
      <c r="B182" s="158"/>
      <c r="C182" s="172"/>
      <c r="D182" s="174" t="s">
        <v>686</v>
      </c>
      <c r="E182" s="172"/>
      <c r="F182" s="173"/>
      <c r="G182" s="495">
        <v>1143467</v>
      </c>
      <c r="H182" s="495">
        <f t="shared" si="12"/>
        <v>0</v>
      </c>
      <c r="I182" s="495">
        <f t="shared" si="12"/>
        <v>1143467</v>
      </c>
      <c r="J182" s="495">
        <v>1143467</v>
      </c>
      <c r="K182" s="495">
        <f t="shared" si="12"/>
        <v>0</v>
      </c>
      <c r="L182" s="495">
        <f t="shared" si="12"/>
        <v>1143467</v>
      </c>
    </row>
    <row r="183" spans="1:12" ht="94.5" x14ac:dyDescent="0.2">
      <c r="A183" s="157" t="str">
        <f>IF(B183&gt;0,VLOOKUP(B183,КВСР!A136:B1301,2),IF(C183&gt;0,VLOOKUP(C183,КФСР!A136:B1648,2),IF(D183&gt;0,VLOOKUP(D183,Программа!A$1:B$5100,2),IF(F183&gt;0,VLOOKUP(F183,КВР!A$1:B$5001,2),IF(E183&gt;0,VLOOKUP(E183,Направление!A$1:B$4830,2))))))</f>
        <v xml:space="preserve">Ведомственная целевая программа департамента образования Администрации Тутаевского муниципального района </v>
      </c>
      <c r="B183" s="158"/>
      <c r="C183" s="172"/>
      <c r="D183" s="174" t="s">
        <v>688</v>
      </c>
      <c r="E183" s="172"/>
      <c r="F183" s="173"/>
      <c r="G183" s="495">
        <v>1143467</v>
      </c>
      <c r="H183" s="495">
        <f t="shared" si="12"/>
        <v>0</v>
      </c>
      <c r="I183" s="495">
        <f t="shared" si="12"/>
        <v>1143467</v>
      </c>
      <c r="J183" s="495">
        <v>1143467</v>
      </c>
      <c r="K183" s="495">
        <f t="shared" si="12"/>
        <v>0</v>
      </c>
      <c r="L183" s="495">
        <f t="shared" si="12"/>
        <v>1143467</v>
      </c>
    </row>
    <row r="184" spans="1:12" ht="31.5" x14ac:dyDescent="0.2">
      <c r="A184" s="157" t="str">
        <f>IF(B184&gt;0,VLOOKUP(B184,КВСР!A137:B1302,2),IF(C184&gt;0,VLOOKUP(C184,КФСР!A137:B1649,2),IF(D184&gt;0,VLOOKUP(D184,Программа!A$1:B$5100,2),IF(F184&gt;0,VLOOKUP(F184,КВР!A$1:B$5001,2),IF(E184&gt;0,VLOOKUP(E184,Направление!A$1:B$4830,2))))))</f>
        <v>Обеспечение компенсационных выплат</v>
      </c>
      <c r="B184" s="158"/>
      <c r="C184" s="172"/>
      <c r="D184" s="174" t="s">
        <v>2955</v>
      </c>
      <c r="E184" s="172"/>
      <c r="F184" s="173"/>
      <c r="G184" s="495">
        <v>1143467</v>
      </c>
      <c r="H184" s="495">
        <f t="shared" si="12"/>
        <v>0</v>
      </c>
      <c r="I184" s="495">
        <f t="shared" si="12"/>
        <v>1143467</v>
      </c>
      <c r="J184" s="495">
        <v>1143467</v>
      </c>
      <c r="K184" s="495">
        <f t="shared" si="12"/>
        <v>0</v>
      </c>
      <c r="L184" s="495">
        <f t="shared" si="12"/>
        <v>1143467</v>
      </c>
    </row>
    <row r="185" spans="1:12" ht="78.75" x14ac:dyDescent="0.2">
      <c r="A185" s="157" t="str">
        <f>IF(B185&gt;0,VLOOKUP(B185,КВСР!A138:B1303,2),IF(C185&gt;0,VLOOKUP(C185,КФСР!A138:B1650,2),IF(D185&gt;0,VLOOKUP(D185,Программа!A$1:B$5100,2),IF(F185&gt;0,VLOOKUP(F185,КВР!A$1:B$5001,2),IF(E185&gt;0,VLOOKUP(E185,Направление!A$1:B$4830,2))))))</f>
        <v>Компенсация части расходов на приобретение путевки в организации отдыха детей и их оздоровления</v>
      </c>
      <c r="B185" s="158"/>
      <c r="C185" s="172"/>
      <c r="D185" s="174"/>
      <c r="E185" s="172">
        <v>74390</v>
      </c>
      <c r="F185" s="173"/>
      <c r="G185" s="495">
        <v>1143467</v>
      </c>
      <c r="H185" s="495">
        <f t="shared" si="12"/>
        <v>0</v>
      </c>
      <c r="I185" s="495">
        <f t="shared" si="12"/>
        <v>1143467</v>
      </c>
      <c r="J185" s="495">
        <v>1143467</v>
      </c>
      <c r="K185" s="495">
        <f t="shared" si="12"/>
        <v>0</v>
      </c>
      <c r="L185" s="495">
        <f t="shared" si="12"/>
        <v>1143467</v>
      </c>
    </row>
    <row r="186" spans="1:12" ht="31.5" x14ac:dyDescent="0.2">
      <c r="A186" s="157" t="str">
        <f>IF(B186&gt;0,VLOOKUP(B186,КВСР!A139:B1304,2),IF(C186&gt;0,VLOOKUP(C186,КФСР!A139:B1651,2),IF(D186&gt;0,VLOOKUP(D186,Программа!A$1:B$5100,2),IF(F186&gt;0,VLOOKUP(F186,КВР!A$1:B$5001,2),IF(E186&gt;0,VLOOKUP(E186,Направление!A$1:B$4830,2))))))</f>
        <v>Социальное обеспечение и иные выплаты населению</v>
      </c>
      <c r="B186" s="158"/>
      <c r="C186" s="172"/>
      <c r="D186" s="174"/>
      <c r="E186" s="172"/>
      <c r="F186" s="173">
        <v>300</v>
      </c>
      <c r="G186" s="495">
        <v>1143467</v>
      </c>
      <c r="H186" s="194"/>
      <c r="I186" s="159">
        <f>G186+H186</f>
        <v>1143467</v>
      </c>
      <c r="J186" s="495">
        <v>1143467</v>
      </c>
      <c r="K186" s="194"/>
      <c r="L186" s="159">
        <f>J186+K186</f>
        <v>1143467</v>
      </c>
    </row>
    <row r="187" spans="1:12" ht="15.75" x14ac:dyDescent="0.2">
      <c r="A187" s="157" t="str">
        <f>IF(B187&gt;0,VLOOKUP(B187,КВСР!A134:B1299,2),IF(C187&gt;0,VLOOKUP(C187,КФСР!A134:B1646,2),IF(D187&gt;0,VLOOKUP(D187,Программа!A$1:B$5100,2),IF(F187&gt;0,VLOOKUP(F187,КВР!A$1:B$5001,2),IF(E187&gt;0,VLOOKUP(E187,Направление!A$1:B$4830,2))))))</f>
        <v>Охрана семьи и детства</v>
      </c>
      <c r="B187" s="171"/>
      <c r="C187" s="153">
        <v>1004</v>
      </c>
      <c r="D187" s="176"/>
      <c r="E187" s="177"/>
      <c r="F187" s="173"/>
      <c r="G187" s="504">
        <v>46645617</v>
      </c>
      <c r="H187" s="159">
        <f>H188</f>
        <v>0</v>
      </c>
      <c r="I187" s="159">
        <f t="shared" si="8"/>
        <v>46645617</v>
      </c>
      <c r="J187" s="504">
        <v>46646786</v>
      </c>
      <c r="K187" s="159">
        <f>K188</f>
        <v>0</v>
      </c>
      <c r="L187" s="159">
        <f t="shared" si="9"/>
        <v>46646786</v>
      </c>
    </row>
    <row r="188" spans="1:12" ht="78.75" x14ac:dyDescent="0.2">
      <c r="A188" s="157" t="str">
        <f>IF(B188&gt;0,VLOOKUP(B188,КВСР!A152:B1317,2),IF(C188&gt;0,VLOOKUP(C188,КФСР!A152:B1664,2),IF(D188&gt;0,VLOOKUP(D188,Программа!A$1:B$5100,2),IF(F188&gt;0,VLOOKUP(F188,КВР!A$1:B$5001,2),IF(E188&gt;0,VLOOKUP(E188,Направление!A$1:B$4830,2))))))</f>
        <v>Муниципальная программа "Развитие образования, физической культуры и спорта в Тутаевском муниципальном районе"</v>
      </c>
      <c r="B188" s="158"/>
      <c r="C188" s="153"/>
      <c r="D188" s="178" t="s">
        <v>686</v>
      </c>
      <c r="E188" s="179"/>
      <c r="F188" s="173"/>
      <c r="G188" s="504">
        <v>46645617</v>
      </c>
      <c r="H188" s="159">
        <f>H189</f>
        <v>0</v>
      </c>
      <c r="I188" s="159">
        <f t="shared" si="8"/>
        <v>46645617</v>
      </c>
      <c r="J188" s="504">
        <v>46646786</v>
      </c>
      <c r="K188" s="159">
        <f>K189</f>
        <v>0</v>
      </c>
      <c r="L188" s="159">
        <f t="shared" si="9"/>
        <v>46646786</v>
      </c>
    </row>
    <row r="189" spans="1:12" ht="94.5" x14ac:dyDescent="0.2">
      <c r="A189" s="157" t="str">
        <f>IF(B189&gt;0,VLOOKUP(B189,КВСР!A153:B1318,2),IF(C189&gt;0,VLOOKUP(C189,КФСР!A153:B1665,2),IF(D189&gt;0,VLOOKUP(D189,Программа!A$1:B$5100,2),IF(F189&gt;0,VLOOKUP(F189,КВР!A$1:B$5001,2),IF(E189&gt;0,VLOOKUP(E189,Направление!A$1:B$4830,2))))))</f>
        <v xml:space="preserve">Ведомственная целевая программа департамента образования Администрации Тутаевского муниципального района </v>
      </c>
      <c r="B189" s="158"/>
      <c r="C189" s="153"/>
      <c r="D189" s="178" t="s">
        <v>688</v>
      </c>
      <c r="E189" s="179"/>
      <c r="F189" s="173"/>
      <c r="G189" s="504">
        <v>46645617</v>
      </c>
      <c r="H189" s="159">
        <f>H190+H203</f>
        <v>0</v>
      </c>
      <c r="I189" s="159">
        <f t="shared" si="8"/>
        <v>46645617</v>
      </c>
      <c r="J189" s="504">
        <v>46646786</v>
      </c>
      <c r="K189" s="159">
        <f>K190+K203</f>
        <v>0</v>
      </c>
      <c r="L189" s="159">
        <f t="shared" si="9"/>
        <v>46646786</v>
      </c>
    </row>
    <row r="190" spans="1:12" ht="94.5" x14ac:dyDescent="0.2">
      <c r="A190" s="157" t="str">
        <f>IF(B190&gt;0,VLOOKUP(B190,КВСР!A154:B1319,2),IF(C190&gt;0,VLOOKUP(C190,КФСР!A154:B1666,2),IF(D190&gt;0,VLOOKUP(D190,Программа!A$1:B$5100,2),IF(F190&gt;0,VLOOKUP(F190,КВР!A$1:B$5001,2),IF(E190&gt;0,VLOOKUP(E190,Направление!A$1:B$4830,2))))))</f>
        <v>Обеспечение качества реализации мер по социальной поддержке детей-сирот и детей, оставшихся без попечения родителей</v>
      </c>
      <c r="B190" s="158"/>
      <c r="C190" s="153"/>
      <c r="D190" s="154" t="s">
        <v>738</v>
      </c>
      <c r="E190" s="179"/>
      <c r="F190" s="173"/>
      <c r="G190" s="504">
        <v>28667617</v>
      </c>
      <c r="H190" s="159">
        <f>H191+H193+H195+H198</f>
        <v>0</v>
      </c>
      <c r="I190" s="159">
        <f t="shared" si="8"/>
        <v>28667617</v>
      </c>
      <c r="J190" s="504">
        <v>28668786</v>
      </c>
      <c r="K190" s="159">
        <f>K191+K193+K195+K198</f>
        <v>0</v>
      </c>
      <c r="L190" s="159">
        <f t="shared" si="9"/>
        <v>28668786</v>
      </c>
    </row>
    <row r="191" spans="1:12" ht="110.25" x14ac:dyDescent="0.2">
      <c r="A191" s="157" t="str">
        <f>IF(B191&gt;0,VLOOKUP(B191,КВСР!A155:B1320,2),IF(C191&gt;0,VLOOKUP(C191,КФСР!A155:B1667,2),IF(D191&gt;0,VLOOKUP(D191,Программа!A$1:B$5100,2),IF(F191&gt;0,VLOOKUP(F191,КВР!A$1:B$5001,2),IF(E191&gt;0,VLOOKUP(E191,Направление!A$1:B$4830,2))))))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91" s="158"/>
      <c r="C191" s="153"/>
      <c r="D191" s="178"/>
      <c r="E191" s="179">
        <v>52600</v>
      </c>
      <c r="F191" s="173"/>
      <c r="G191" s="504">
        <v>546807</v>
      </c>
      <c r="H191" s="159">
        <f>H192</f>
        <v>0</v>
      </c>
      <c r="I191" s="159">
        <f t="shared" si="8"/>
        <v>546807</v>
      </c>
      <c r="J191" s="504">
        <v>547976</v>
      </c>
      <c r="K191" s="159">
        <f>K192</f>
        <v>0</v>
      </c>
      <c r="L191" s="159">
        <f t="shared" si="9"/>
        <v>547976</v>
      </c>
    </row>
    <row r="192" spans="1:12" ht="31.5" x14ac:dyDescent="0.2">
      <c r="A192" s="157" t="str">
        <f>IF(B192&gt;0,VLOOKUP(B192,КВСР!A158:B1323,2),IF(C192&gt;0,VLOOKUP(C192,КФСР!A158:B1670,2),IF(D192&gt;0,VLOOKUP(D192,Программа!A$1:B$5100,2),IF(F192&gt;0,VLOOKUP(F192,КВР!A$1:B$5001,2),IF(E192&gt;0,VLOOKUP(E192,Направление!A$1:B$4830,2))))))</f>
        <v>Социальное обеспечение и иные выплаты населению</v>
      </c>
      <c r="B192" s="158"/>
      <c r="C192" s="153"/>
      <c r="D192" s="178"/>
      <c r="E192" s="179"/>
      <c r="F192" s="173">
        <v>300</v>
      </c>
      <c r="G192" s="495">
        <v>546807</v>
      </c>
      <c r="H192" s="194"/>
      <c r="I192" s="159">
        <f t="shared" si="8"/>
        <v>546807</v>
      </c>
      <c r="J192" s="495">
        <v>547976</v>
      </c>
      <c r="K192" s="194"/>
      <c r="L192" s="159">
        <f t="shared" si="9"/>
        <v>547976</v>
      </c>
    </row>
    <row r="193" spans="1:12" ht="157.5" hidden="1" x14ac:dyDescent="0.2">
      <c r="A193" s="157" t="str">
        <f>IF(B193&gt;0,VLOOKUP(B193,КВСР!A159:B1324,2),IF(C193&gt;0,VLOOKUP(C193,КФСР!A159:B1671,2),IF(D193&gt;0,VLOOKUP(D193,Программа!A$1:B$5100,2),IF(F193&gt;0,VLOOKUP(F193,КВР!A$1:B$5001,2),IF(E193&gt;0,VLOOKUP(E193,Направление!A$1:B$4830,2))))))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93" s="158"/>
      <c r="C193" s="153"/>
      <c r="D193" s="178"/>
      <c r="E193" s="179">
        <v>70430</v>
      </c>
      <c r="F193" s="173"/>
      <c r="G193" s="504">
        <v>0</v>
      </c>
      <c r="H193" s="159">
        <f>H194</f>
        <v>0</v>
      </c>
      <c r="I193" s="159">
        <f t="shared" si="8"/>
        <v>0</v>
      </c>
      <c r="J193" s="504">
        <v>0</v>
      </c>
      <c r="K193" s="159">
        <f>K194</f>
        <v>0</v>
      </c>
      <c r="L193" s="159">
        <f t="shared" si="9"/>
        <v>0</v>
      </c>
    </row>
    <row r="194" spans="1:12" ht="31.5" hidden="1" x14ac:dyDescent="0.2">
      <c r="A194" s="157" t="str">
        <f>IF(B194&gt;0,VLOOKUP(B194,КВСР!A160:B1325,2),IF(C194&gt;0,VLOOKUP(C194,КФСР!A160:B1672,2),IF(D194&gt;0,VLOOKUP(D194,Программа!A$1:B$5100,2),IF(F194&gt;0,VLOOKUP(F194,КВР!A$1:B$5001,2),IF(E194&gt;0,VLOOKUP(E194,Направление!A$1:B$4830,2))))))</f>
        <v>Социальное обеспечение и иные выплаты населению</v>
      </c>
      <c r="B194" s="158"/>
      <c r="C194" s="153"/>
      <c r="D194" s="178"/>
      <c r="E194" s="179"/>
      <c r="F194" s="173">
        <v>300</v>
      </c>
      <c r="G194" s="495">
        <v>0</v>
      </c>
      <c r="H194" s="194"/>
      <c r="I194" s="159">
        <f t="shared" si="8"/>
        <v>0</v>
      </c>
      <c r="J194" s="495">
        <v>0</v>
      </c>
      <c r="K194" s="194"/>
      <c r="L194" s="159">
        <f t="shared" si="9"/>
        <v>0</v>
      </c>
    </row>
    <row r="195" spans="1:12" ht="110.25" x14ac:dyDescent="0.2">
      <c r="A195" s="157" t="str">
        <f>IF(B195&gt;0,VLOOKUP(B195,КВСР!A161:B1326,2),IF(C195&gt;0,VLOOKUP(C195,КФСР!A161:B1673,2),IF(D195&gt;0,VLOOKUP(D195,Программа!A$1:B$5100,2),IF(F195&gt;0,VLOOKUP(F195,КВР!A$1:B$5001,2),IF(E195&gt;0,VLOOKUP(E195,Направление!A$1:B$4830,2))))))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95" s="158"/>
      <c r="C195" s="153"/>
      <c r="D195" s="178"/>
      <c r="E195" s="179">
        <v>70460</v>
      </c>
      <c r="F195" s="173"/>
      <c r="G195" s="504">
        <v>24927509</v>
      </c>
      <c r="H195" s="159">
        <f>H196+H197</f>
        <v>0</v>
      </c>
      <c r="I195" s="159">
        <f t="shared" si="8"/>
        <v>24927509</v>
      </c>
      <c r="J195" s="504">
        <v>24927509</v>
      </c>
      <c r="K195" s="159">
        <f>K196+K197</f>
        <v>0</v>
      </c>
      <c r="L195" s="159">
        <f t="shared" si="9"/>
        <v>24927509</v>
      </c>
    </row>
    <row r="196" spans="1:12" ht="78.75" x14ac:dyDescent="0.25">
      <c r="A196" s="157" t="str">
        <f>IF(B196&gt;0,VLOOKUP(B196,КВСР!A162:B1327,2),IF(C196&gt;0,VLOOKUP(C196,КФСР!A162:B1674,2),IF(D196&gt;0,VLOOKUP(D196,Программа!A$1:B$5100,2),IF(F196&gt;0,VLOOKUP(F196,КВР!A$1:B$5001,2),IF(E196&gt;0,VLOOKUP(E196,Направление!A$1:B$4830,2))))))</f>
        <v xml:space="preserve">Закупка товаров, работ и услуг для обеспечения государственных (муниципальных) нужд
</v>
      </c>
      <c r="B196" s="158"/>
      <c r="C196" s="153"/>
      <c r="D196" s="198"/>
      <c r="E196" s="199"/>
      <c r="F196" s="173">
        <v>200</v>
      </c>
      <c r="G196" s="495">
        <v>82899</v>
      </c>
      <c r="H196" s="194"/>
      <c r="I196" s="159">
        <f t="shared" si="8"/>
        <v>82899</v>
      </c>
      <c r="J196" s="495">
        <v>82899</v>
      </c>
      <c r="K196" s="194"/>
      <c r="L196" s="159">
        <f t="shared" si="9"/>
        <v>82899</v>
      </c>
    </row>
    <row r="197" spans="1:12" ht="31.5" x14ac:dyDescent="0.25">
      <c r="A197" s="157" t="str">
        <f>IF(B197&gt;0,VLOOKUP(B197,КВСР!A163:B1328,2),IF(C197&gt;0,VLOOKUP(C197,КФСР!A163:B1675,2),IF(D197&gt;0,VLOOKUP(D197,Программа!A$1:B$5100,2),IF(F197&gt;0,VLOOKUP(F197,КВР!A$1:B$5001,2),IF(E197&gt;0,VLOOKUP(E197,Направление!A$1:B$4830,2))))))</f>
        <v>Социальное обеспечение и иные выплаты населению</v>
      </c>
      <c r="B197" s="158"/>
      <c r="C197" s="153"/>
      <c r="D197" s="198"/>
      <c r="E197" s="199"/>
      <c r="F197" s="173">
        <v>300</v>
      </c>
      <c r="G197" s="495">
        <v>24844610</v>
      </c>
      <c r="H197" s="194"/>
      <c r="I197" s="159">
        <f t="shared" si="8"/>
        <v>24844610</v>
      </c>
      <c r="J197" s="495">
        <v>24844610</v>
      </c>
      <c r="K197" s="194"/>
      <c r="L197" s="159">
        <f t="shared" si="9"/>
        <v>24844610</v>
      </c>
    </row>
    <row r="198" spans="1:12" ht="63" x14ac:dyDescent="0.25">
      <c r="A198" s="157" t="str">
        <f>IF(B198&gt;0,VLOOKUP(B198,КВСР!A164:B1329,2),IF(C198&gt;0,VLOOKUP(C198,КФСР!A164:B1676,2),IF(D198&gt;0,VLOOKUP(D198,Программа!A$1:B$5100,2),IF(F198&gt;0,VLOOKUP(F198,КВР!A$1:B$5001,2),IF(E198&gt;0,VLOOKUP(E198,Направление!A$1:B$4830,2))))))</f>
        <v>Государственная поддержка опеки и попечительства за счет средств областного бюджета</v>
      </c>
      <c r="B198" s="171"/>
      <c r="C198" s="153"/>
      <c r="D198" s="198"/>
      <c r="E198" s="153">
        <v>70500</v>
      </c>
      <c r="F198" s="173"/>
      <c r="G198" s="504">
        <v>3193301</v>
      </c>
      <c r="H198" s="159">
        <f>H199+H200+H201+H202</f>
        <v>0</v>
      </c>
      <c r="I198" s="159">
        <f t="shared" si="8"/>
        <v>3193301</v>
      </c>
      <c r="J198" s="504">
        <v>3193301</v>
      </c>
      <c r="K198" s="159">
        <f>K199+K200+K201+K202</f>
        <v>0</v>
      </c>
      <c r="L198" s="159">
        <f t="shared" si="9"/>
        <v>3193301</v>
      </c>
    </row>
    <row r="199" spans="1:12" ht="173.25" hidden="1" x14ac:dyDescent="0.2">
      <c r="A199" s="157" t="str">
        <f>IF(B199&gt;0,VLOOKUP(B199,КВСР!A165:B1330,2),IF(C199&gt;0,VLOOKUP(C199,КФСР!A165:B1677,2),IF(D199&gt;0,VLOOKUP(D199,Программа!A$1:B$5100,2),IF(F199&gt;0,VLOOKUP(F199,КВР!A$1:B$5001,2),IF(E199&gt;0,VLOOKUP(E199,Направление!A$1:B$4830,2))))))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99" s="171"/>
      <c r="C199" s="172"/>
      <c r="D199" s="174"/>
      <c r="E199" s="172"/>
      <c r="F199" s="173">
        <v>100</v>
      </c>
      <c r="G199" s="495">
        <v>0</v>
      </c>
      <c r="H199" s="194"/>
      <c r="I199" s="159">
        <f t="shared" si="8"/>
        <v>0</v>
      </c>
      <c r="J199" s="495">
        <v>0</v>
      </c>
      <c r="K199" s="194"/>
      <c r="L199" s="159">
        <f t="shared" si="9"/>
        <v>0</v>
      </c>
    </row>
    <row r="200" spans="1:12" ht="78.75" x14ac:dyDescent="0.2">
      <c r="A200" s="157" t="str">
        <f>IF(B200&gt;0,VLOOKUP(B200,КВСР!A166:B1331,2),IF(C200&gt;0,VLOOKUP(C200,КФСР!A166:B1678,2),IF(D200&gt;0,VLOOKUP(D200,Программа!A$1:B$5100,2),IF(F200&gt;0,VLOOKUP(F200,КВР!A$1:B$5001,2),IF(E200&gt;0,VLOOKUP(E200,Направление!A$1:B$4830,2))))))</f>
        <v xml:space="preserve">Закупка товаров, работ и услуг для обеспечения государственных (муниципальных) нужд
</v>
      </c>
      <c r="B200" s="171"/>
      <c r="C200" s="172"/>
      <c r="D200" s="174"/>
      <c r="E200" s="172"/>
      <c r="F200" s="173">
        <v>200</v>
      </c>
      <c r="G200" s="495">
        <v>52000</v>
      </c>
      <c r="H200" s="194"/>
      <c r="I200" s="159">
        <f t="shared" si="8"/>
        <v>52000</v>
      </c>
      <c r="J200" s="495">
        <v>52000</v>
      </c>
      <c r="K200" s="194"/>
      <c r="L200" s="159">
        <f t="shared" si="9"/>
        <v>52000</v>
      </c>
    </row>
    <row r="201" spans="1:12" ht="31.5" x14ac:dyDescent="0.2">
      <c r="A201" s="157" t="str">
        <f>IF(B201&gt;0,VLOOKUP(B201,КВСР!A167:B1332,2),IF(C201&gt;0,VLOOKUP(C201,КФСР!A167:B1679,2),IF(D201&gt;0,VLOOKUP(D201,Программа!A$1:B$5100,2),IF(F201&gt;0,VLOOKUP(F201,КВР!A$1:B$5001,2),IF(E201&gt;0,VLOOKUP(E201,Направление!A$1:B$4830,2))))))</f>
        <v>Социальное обеспечение и иные выплаты населению</v>
      </c>
      <c r="B201" s="171"/>
      <c r="C201" s="172"/>
      <c r="D201" s="174"/>
      <c r="E201" s="172"/>
      <c r="F201" s="173">
        <v>300</v>
      </c>
      <c r="G201" s="495">
        <v>1791141</v>
      </c>
      <c r="H201" s="194"/>
      <c r="I201" s="159">
        <f t="shared" si="8"/>
        <v>1791141</v>
      </c>
      <c r="J201" s="495">
        <v>1791141</v>
      </c>
      <c r="K201" s="194"/>
      <c r="L201" s="159">
        <f t="shared" si="9"/>
        <v>1791141</v>
      </c>
    </row>
    <row r="202" spans="1:12" ht="78.75" x14ac:dyDescent="0.2">
      <c r="A202" s="157" t="str">
        <f>IF(B202&gt;0,VLOOKUP(B202,КВСР!A168:B1333,2),IF(C202&gt;0,VLOOKUP(C202,КФСР!A168:B1680,2),IF(D202&gt;0,VLOOKUP(D202,Программа!A$1:B$5100,2),IF(F202&gt;0,VLOOKUP(F202,КВР!A$1:B$5001,2),IF(E202&gt;0,VLOOKUP(E202,Направление!A$1:B$4830,2))))))</f>
        <v>Предоставление субсидий бюджетным, автономным учреждениям и иным некоммерческим организациям</v>
      </c>
      <c r="B202" s="171"/>
      <c r="C202" s="172"/>
      <c r="D202" s="174"/>
      <c r="E202" s="172"/>
      <c r="F202" s="173">
        <v>600</v>
      </c>
      <c r="G202" s="495">
        <v>1350160</v>
      </c>
      <c r="H202" s="194"/>
      <c r="I202" s="159">
        <f t="shared" si="8"/>
        <v>1350160</v>
      </c>
      <c r="J202" s="495">
        <v>1350160</v>
      </c>
      <c r="K202" s="194"/>
      <c r="L202" s="159">
        <f t="shared" si="9"/>
        <v>1350160</v>
      </c>
    </row>
    <row r="203" spans="1:12" ht="31.5" x14ac:dyDescent="0.2">
      <c r="A203" s="157" t="str">
        <f>IF(B203&gt;0,VLOOKUP(B203,КВСР!A169:B1334,2),IF(C203&gt;0,VLOOKUP(C203,КФСР!A169:B1681,2),IF(D203&gt;0,VLOOKUP(D203,Программа!A$1:B$5100,2),IF(F203&gt;0,VLOOKUP(F203,КВР!A$1:B$5001,2),IF(E203&gt;0,VLOOKUP(E203,Направление!A$1:B$4830,2))))))</f>
        <v>Обеспечение компенсационных выплат</v>
      </c>
      <c r="B203" s="171"/>
      <c r="C203" s="172"/>
      <c r="D203" s="154" t="s">
        <v>2955</v>
      </c>
      <c r="E203" s="172"/>
      <c r="F203" s="173"/>
      <c r="G203" s="504">
        <v>17978000</v>
      </c>
      <c r="H203" s="538">
        <f>H204</f>
        <v>0</v>
      </c>
      <c r="I203" s="159">
        <f t="shared" si="8"/>
        <v>17978000</v>
      </c>
      <c r="J203" s="504">
        <v>17978000</v>
      </c>
      <c r="K203" s="538">
        <f>K204</f>
        <v>0</v>
      </c>
      <c r="L203" s="159">
        <f t="shared" si="9"/>
        <v>17978000</v>
      </c>
    </row>
    <row r="204" spans="1:12" ht="157.5" x14ac:dyDescent="0.2">
      <c r="A204" s="157" t="str">
        <f>IF(B204&gt;0,VLOOKUP(B204,КВСР!A168:B1333,2),IF(C204&gt;0,VLOOKUP(C204,КФСР!A168:B1680,2),IF(D204&gt;0,VLOOKUP(D204,Программа!A$1:B$5100,2),IF(F204&gt;0,VLOOKUP(F204,КВР!A$1:B$5001,2),IF(E204&gt;0,VLOOKUP(E204,Направление!A$1:B$4830,2))))))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04" s="171"/>
      <c r="C204" s="172"/>
      <c r="D204" s="174"/>
      <c r="E204" s="172">
        <v>70430</v>
      </c>
      <c r="F204" s="173"/>
      <c r="G204" s="504">
        <v>17978000</v>
      </c>
      <c r="H204" s="159">
        <f>H205+H206</f>
        <v>0</v>
      </c>
      <c r="I204" s="159">
        <f t="shared" si="8"/>
        <v>17978000</v>
      </c>
      <c r="J204" s="504">
        <v>17978000</v>
      </c>
      <c r="K204" s="159">
        <f>K205+K206</f>
        <v>0</v>
      </c>
      <c r="L204" s="159">
        <f t="shared" si="9"/>
        <v>17978000</v>
      </c>
    </row>
    <row r="205" spans="1:12" ht="78.75" x14ac:dyDescent="0.2">
      <c r="A205" s="157" t="str">
        <f>IF(B205&gt;0,VLOOKUP(B205,КВСР!A169:B1334,2),IF(C205&gt;0,VLOOKUP(C205,КФСР!A169:B1681,2),IF(D205&gt;0,VLOOKUP(D205,Программа!A$1:B$5100,2),IF(F205&gt;0,VLOOKUP(F205,КВР!A$1:B$5001,2),IF(E205&gt;0,VLOOKUP(E205,Направление!A$1:B$4830,2))))))</f>
        <v xml:space="preserve">Закупка товаров, работ и услуг для обеспечения государственных (муниципальных) нужд
</v>
      </c>
      <c r="B205" s="171"/>
      <c r="C205" s="172"/>
      <c r="D205" s="154"/>
      <c r="E205" s="153"/>
      <c r="F205" s="155">
        <v>200</v>
      </c>
      <c r="G205" s="495">
        <v>265685</v>
      </c>
      <c r="H205" s="194"/>
      <c r="I205" s="159">
        <f t="shared" si="8"/>
        <v>265685</v>
      </c>
      <c r="J205" s="495">
        <v>265685</v>
      </c>
      <c r="K205" s="194"/>
      <c r="L205" s="159">
        <f t="shared" si="9"/>
        <v>265685</v>
      </c>
    </row>
    <row r="206" spans="1:12" ht="31.5" x14ac:dyDescent="0.2">
      <c r="A206" s="157" t="str">
        <f>IF(B206&gt;0,VLOOKUP(B206,КВСР!A170:B1335,2),IF(C206&gt;0,VLOOKUP(C206,КФСР!A170:B1682,2),IF(D206&gt;0,VLOOKUP(D206,Программа!A$1:B$5100,2),IF(F206&gt;0,VLOOKUP(F206,КВР!A$1:B$5001,2),IF(E206&gt;0,VLOOKUP(E206,Направление!A$1:B$4830,2))))))</f>
        <v>Социальное обеспечение и иные выплаты населению</v>
      </c>
      <c r="B206" s="171"/>
      <c r="C206" s="172"/>
      <c r="D206" s="154"/>
      <c r="E206" s="153"/>
      <c r="F206" s="155">
        <v>300</v>
      </c>
      <c r="G206" s="495">
        <v>17712315</v>
      </c>
      <c r="H206" s="194"/>
      <c r="I206" s="159">
        <f t="shared" ref="I206:I226" si="13">SUM(G206:H206)</f>
        <v>17712315</v>
      </c>
      <c r="J206" s="495">
        <v>17712315</v>
      </c>
      <c r="K206" s="194"/>
      <c r="L206" s="159">
        <f t="shared" ref="L206:L244" si="14">SUM(J206:K206)</f>
        <v>17712315</v>
      </c>
    </row>
    <row r="207" spans="1:12" ht="15.75" x14ac:dyDescent="0.2">
      <c r="A207" s="157" t="str">
        <f>IF(B207&gt;0,VLOOKUP(B207,КВСР!A171:B1336,2),IF(C207&gt;0,VLOOKUP(C207,КФСР!A171:B1683,2),IF(D207&gt;0,VLOOKUP(D207,Программа!A$1:B$5100,2),IF(F207&gt;0,VLOOKUP(F207,КВР!A$1:B$5001,2),IF(E207&gt;0,VLOOKUP(E207,Направление!A$1:B$4830,2))))))</f>
        <v>Массовый спорт</v>
      </c>
      <c r="B207" s="171"/>
      <c r="C207" s="172">
        <v>1102</v>
      </c>
      <c r="D207" s="154"/>
      <c r="E207" s="153"/>
      <c r="F207" s="155"/>
      <c r="G207" s="504">
        <v>30000000</v>
      </c>
      <c r="H207" s="538">
        <f>H208</f>
        <v>0</v>
      </c>
      <c r="I207" s="159">
        <f t="shared" si="13"/>
        <v>30000000</v>
      </c>
      <c r="J207" s="504">
        <v>13278841</v>
      </c>
      <c r="K207" s="538">
        <f>K208</f>
        <v>0</v>
      </c>
      <c r="L207" s="159">
        <f t="shared" si="14"/>
        <v>13278841</v>
      </c>
    </row>
    <row r="208" spans="1:12" ht="78.75" x14ac:dyDescent="0.2">
      <c r="A208" s="157" t="str">
        <f>IF(B208&gt;0,VLOOKUP(B208,КВСР!A172:B1337,2),IF(C208&gt;0,VLOOKUP(C208,КФСР!A172:B1684,2),IF(D208&gt;0,VLOOKUP(D208,Программа!A$1:B$5100,2),IF(F208&gt;0,VLOOKUP(F208,КВР!A$1:B$5001,2),IF(E208&gt;0,VLOOKUP(E208,Направление!A$1:B$4830,2))))))</f>
        <v>Муниципальная программа "Развитие образования, физической культуры и спорта в Тутаевском муниципальном районе"</v>
      </c>
      <c r="B208" s="171"/>
      <c r="C208" s="172"/>
      <c r="D208" s="154" t="s">
        <v>686</v>
      </c>
      <c r="E208" s="153"/>
      <c r="F208" s="155"/>
      <c r="G208" s="504">
        <v>30000000</v>
      </c>
      <c r="H208" s="538">
        <f>H209</f>
        <v>0</v>
      </c>
      <c r="I208" s="159">
        <f t="shared" si="13"/>
        <v>30000000</v>
      </c>
      <c r="J208" s="504">
        <v>13278841</v>
      </c>
      <c r="K208" s="538">
        <f>K209</f>
        <v>0</v>
      </c>
      <c r="L208" s="159">
        <f t="shared" si="14"/>
        <v>13278841</v>
      </c>
    </row>
    <row r="209" spans="1:12" ht="78.75" x14ac:dyDescent="0.2">
      <c r="A209" s="157" t="str">
        <f>IF(B209&gt;0,VLOOKUP(B209,КВСР!A173:B1338,2),IF(C209&gt;0,VLOOKUP(C209,КФСР!A173:B1685,2),IF(D209&gt;0,VLOOKUP(D209,Программа!A$1:B$5100,2),IF(F209&gt;0,VLOOKUP(F209,КВР!A$1:B$5001,2),IF(E209&gt;0,VLOOKUP(E209,Направление!A$1:B$4830,2))))))</f>
        <v>Муниципальная целевая программа "Развитие физической культуры и спорта в Тутаевском муниципальном районе"</v>
      </c>
      <c r="B209" s="171"/>
      <c r="C209" s="172"/>
      <c r="D209" s="154" t="s">
        <v>706</v>
      </c>
      <c r="E209" s="153"/>
      <c r="F209" s="155"/>
      <c r="G209" s="504">
        <v>30000000</v>
      </c>
      <c r="H209" s="538">
        <f>H210</f>
        <v>0</v>
      </c>
      <c r="I209" s="159">
        <f t="shared" si="13"/>
        <v>30000000</v>
      </c>
      <c r="J209" s="504">
        <v>13278841</v>
      </c>
      <c r="K209" s="538">
        <f>K210</f>
        <v>0</v>
      </c>
      <c r="L209" s="159">
        <f t="shared" si="14"/>
        <v>13278841</v>
      </c>
    </row>
    <row r="210" spans="1:12" ht="141.75" x14ac:dyDescent="0.2">
      <c r="A210" s="157" t="str">
        <f>IF(B210&gt;0,VLOOKUP(B210,КВСР!A174:B1339,2),IF(C210&gt;0,VLOOKUP(C210,КФСР!A174:B1686,2),IF(D210&gt;0,VLOOKUP(D210,Программа!A$1:B$5100,2),IF(F210&gt;0,VLOOKUP(F210,КВР!A$1:B$5001,2),IF(E210&gt;0,VLOOKUP(E210,Направление!A$1:B$4830,2))))))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210" s="171"/>
      <c r="C210" s="172"/>
      <c r="D210" s="154" t="s">
        <v>763</v>
      </c>
      <c r="E210" s="153"/>
      <c r="F210" s="155"/>
      <c r="G210" s="504">
        <v>30000000</v>
      </c>
      <c r="H210" s="538">
        <f>H211</f>
        <v>0</v>
      </c>
      <c r="I210" s="159">
        <f t="shared" si="13"/>
        <v>30000000</v>
      </c>
      <c r="J210" s="504">
        <v>13278841</v>
      </c>
      <c r="K210" s="538">
        <f>K211</f>
        <v>0</v>
      </c>
      <c r="L210" s="159">
        <f t="shared" si="14"/>
        <v>13278841</v>
      </c>
    </row>
    <row r="211" spans="1:12" ht="31.5" x14ac:dyDescent="0.2">
      <c r="A211" s="157" t="str">
        <f>IF(B211&gt;0,VLOOKUP(B211,КВСР!A175:B1340,2),IF(C211&gt;0,VLOOKUP(C211,КФСР!A175:B1687,2),IF(D211&gt;0,VLOOKUP(D211,Программа!A$1:B$5100,2),IF(F211&gt;0,VLOOKUP(F211,КВР!A$1:B$5001,2),IF(E211&gt;0,VLOOKUP(E211,Направление!A$1:B$4830,2))))))</f>
        <v>Обеспечение деятельности учреждений спорта</v>
      </c>
      <c r="B211" s="171"/>
      <c r="C211" s="172"/>
      <c r="D211" s="154"/>
      <c r="E211" s="153">
        <v>14020</v>
      </c>
      <c r="F211" s="155"/>
      <c r="G211" s="504">
        <v>30000000</v>
      </c>
      <c r="H211" s="538">
        <f>H212</f>
        <v>0</v>
      </c>
      <c r="I211" s="159">
        <f t="shared" si="13"/>
        <v>30000000</v>
      </c>
      <c r="J211" s="504">
        <v>13278841</v>
      </c>
      <c r="K211" s="538">
        <f>K212</f>
        <v>0</v>
      </c>
      <c r="L211" s="159">
        <f t="shared" si="14"/>
        <v>13278841</v>
      </c>
    </row>
    <row r="212" spans="1:12" ht="78.75" x14ac:dyDescent="0.2">
      <c r="A212" s="157" t="str">
        <f>IF(B212&gt;0,VLOOKUP(B212,КВСР!A175:B1340,2),IF(C212&gt;0,VLOOKUP(C212,КФСР!A175:B1687,2),IF(D212&gt;0,VLOOKUP(D212,Программа!A$1:B$5100,2),IF(F212&gt;0,VLOOKUP(F212,КВР!A$1:B$5001,2),IF(E212&gt;0,VLOOKUP(E212,Направление!A$1:B$4830,2))))))</f>
        <v>Предоставление субсидий бюджетным, автономным учреждениям и иным некоммерческим организациям</v>
      </c>
      <c r="B212" s="171"/>
      <c r="C212" s="172"/>
      <c r="D212" s="154"/>
      <c r="E212" s="153"/>
      <c r="F212" s="155">
        <v>600</v>
      </c>
      <c r="G212" s="495">
        <v>30000000</v>
      </c>
      <c r="H212" s="194"/>
      <c r="I212" s="159">
        <f t="shared" si="13"/>
        <v>30000000</v>
      </c>
      <c r="J212" s="495">
        <v>13278841</v>
      </c>
      <c r="K212" s="194"/>
      <c r="L212" s="159">
        <f t="shared" si="14"/>
        <v>13278841</v>
      </c>
    </row>
    <row r="213" spans="1:12" ht="47.25" x14ac:dyDescent="0.2">
      <c r="A213" s="151" t="str">
        <f>IF(B213&gt;0,VLOOKUP(B213,КВСР!A182:B1347,2),IF(C213&gt;0,VLOOKUP(C213,КФСР!A182:B1694,2),IF(D213&gt;0,VLOOKUP(D213,Программа!A$1:B$5100,2),IF(F213&gt;0,VLOOKUP(F213,КВР!A$1:B$5001,2),IF(E213&gt;0,VLOOKUP(E213,Направление!A$1:B$4830,2))))))</f>
        <v>Департамент труда и соц. развития Администрации ТМР</v>
      </c>
      <c r="B213" s="152">
        <v>954</v>
      </c>
      <c r="C213" s="153"/>
      <c r="D213" s="154"/>
      <c r="E213" s="153"/>
      <c r="F213" s="155"/>
      <c r="G213" s="610">
        <v>369877136</v>
      </c>
      <c r="H213" s="156">
        <f>H214+H221+H227+H291+H309</f>
        <v>0</v>
      </c>
      <c r="I213" s="625">
        <f t="shared" si="13"/>
        <v>369877136</v>
      </c>
      <c r="J213" s="626">
        <v>371077136</v>
      </c>
      <c r="K213" s="625">
        <f>K214+K221+K227+K291+K309</f>
        <v>0</v>
      </c>
      <c r="L213" s="625">
        <f t="shared" si="14"/>
        <v>371077136</v>
      </c>
    </row>
    <row r="214" spans="1:12" ht="15.75" x14ac:dyDescent="0.2">
      <c r="A214" s="157" t="str">
        <f>IF(B214&gt;0,VLOOKUP(B214,КВСР!A187:B1352,2),IF(C214&gt;0,VLOOKUP(C214,КФСР!A187:B1699,2),IF(D214&gt;0,VLOOKUP(D214,Программа!A$1:B$5100,2),IF(F214&gt;0,VLOOKUP(F214,КВР!A$1:B$5001,2),IF(E214&gt;0,VLOOKUP(E214,Направление!A$1:B$4830,2))))))</f>
        <v>Пенсионное обеспечение</v>
      </c>
      <c r="B214" s="158"/>
      <c r="C214" s="153">
        <v>1001</v>
      </c>
      <c r="D214" s="154"/>
      <c r="E214" s="153"/>
      <c r="F214" s="155"/>
      <c r="G214" s="504">
        <v>4445700</v>
      </c>
      <c r="H214" s="159">
        <f>H215</f>
        <v>0</v>
      </c>
      <c r="I214" s="159">
        <f t="shared" si="13"/>
        <v>4445700</v>
      </c>
      <c r="J214" s="504">
        <v>4445700</v>
      </c>
      <c r="K214" s="159">
        <f>K215</f>
        <v>0</v>
      </c>
      <c r="L214" s="159">
        <f t="shared" si="14"/>
        <v>4445700</v>
      </c>
    </row>
    <row r="215" spans="1:12" ht="63" x14ac:dyDescent="0.2">
      <c r="A215" s="157" t="str">
        <f>IF(B215&gt;0,VLOOKUP(B215,КВСР!A188:B1353,2),IF(C215&gt;0,VLOOKUP(C215,КФСР!A188:B1700,2),IF(D215&gt;0,VLOOKUP(D215,Программа!A$1:B$5100,2),IF(F215&gt;0,VLOOKUP(F215,КВР!A$1:B$5001,2),IF(E215&gt;0,VLOOKUP(E215,Направление!A$1:B$4830,2))))))</f>
        <v>Муниципальная программа "Социальная поддержка населения Тутаевского муниципального района"</v>
      </c>
      <c r="B215" s="158"/>
      <c r="C215" s="153"/>
      <c r="D215" s="174" t="s">
        <v>695</v>
      </c>
      <c r="E215" s="172"/>
      <c r="F215" s="155"/>
      <c r="G215" s="504">
        <v>4445700</v>
      </c>
      <c r="H215" s="159">
        <f>H217</f>
        <v>0</v>
      </c>
      <c r="I215" s="159">
        <f t="shared" si="13"/>
        <v>4445700</v>
      </c>
      <c r="J215" s="504">
        <v>4445700</v>
      </c>
      <c r="K215" s="159">
        <f>K217</f>
        <v>0</v>
      </c>
      <c r="L215" s="159">
        <f t="shared" si="14"/>
        <v>4445700</v>
      </c>
    </row>
    <row r="216" spans="1:12" ht="78.75" x14ac:dyDescent="0.2">
      <c r="A216" s="157" t="str">
        <f>IF(B216&gt;0,VLOOKUP(B216,КВСР!A189:B1354,2),IF(C216&gt;0,VLOOKUP(C216,КФСР!A189:B1701,2),IF(D216&gt;0,VLOOKUP(D216,Программа!A$1:B$5100,2),IF(F216&gt;0,VLOOKUP(F216,КВР!A$1:B$5001,2),IF(E216&gt;0,VLOOKUP(E216,Направление!A$1:B$4830,2))))))</f>
        <v xml:space="preserve">Ведомственная целевая программа «Социальная поддержка населения Тутаевского муниципального района» </v>
      </c>
      <c r="B216" s="158"/>
      <c r="C216" s="153"/>
      <c r="D216" s="174" t="s">
        <v>768</v>
      </c>
      <c r="E216" s="172"/>
      <c r="F216" s="155"/>
      <c r="G216" s="504">
        <v>4445700</v>
      </c>
      <c r="H216" s="159">
        <f>H217</f>
        <v>0</v>
      </c>
      <c r="I216" s="159">
        <f t="shared" si="13"/>
        <v>4445700</v>
      </c>
      <c r="J216" s="504">
        <v>4445700</v>
      </c>
      <c r="K216" s="159">
        <f>K217</f>
        <v>0</v>
      </c>
      <c r="L216" s="159">
        <f t="shared" si="14"/>
        <v>4445700</v>
      </c>
    </row>
    <row r="217" spans="1:12" ht="63" x14ac:dyDescent="0.2">
      <c r="A217" s="157" t="str">
        <f>IF(B217&gt;0,VLOOKUP(B217,КВСР!A190:B1355,2),IF(C217&gt;0,VLOOKUP(C217,КФСР!A190:B1702,2),IF(D217&gt;0,VLOOKUP(D217,Программа!A$1:B$5100,2),IF(F217&gt;0,VLOOKUP(F217,КВР!A$1:B$5001,2),IF(E217&gt;0,VLOOKUP(E217,Направление!A$1:B$4830,2))))))</f>
        <v>Исполнение публичных обязательств по предоставлению выплат, пособий и компенсаций</v>
      </c>
      <c r="B217" s="158"/>
      <c r="C217" s="153"/>
      <c r="D217" s="154" t="s">
        <v>770</v>
      </c>
      <c r="E217" s="153"/>
      <c r="F217" s="155"/>
      <c r="G217" s="504">
        <v>4445700</v>
      </c>
      <c r="H217" s="159">
        <f>H218</f>
        <v>0</v>
      </c>
      <c r="I217" s="159">
        <f t="shared" si="13"/>
        <v>4445700</v>
      </c>
      <c r="J217" s="504">
        <v>4445700</v>
      </c>
      <c r="K217" s="159">
        <f>K218</f>
        <v>0</v>
      </c>
      <c r="L217" s="159">
        <f t="shared" si="14"/>
        <v>4445700</v>
      </c>
    </row>
    <row r="218" spans="1:12" ht="31.5" x14ac:dyDescent="0.2">
      <c r="A218" s="157" t="str">
        <f>IF(B218&gt;0,VLOOKUP(B218,КВСР!A191:B1356,2),IF(C218&gt;0,VLOOKUP(C218,КФСР!A191:B1703,2),IF(D218&gt;0,VLOOKUP(D218,Программа!A$1:B$5100,2),IF(F218&gt;0,VLOOKUP(F218,КВР!A$1:B$5001,2),IF(E218&gt;0,VLOOKUP(E218,Направление!A$1:B$4830,2))))))</f>
        <v>Доплаты к пенсиям муниципальных служащих</v>
      </c>
      <c r="B218" s="158"/>
      <c r="C218" s="153"/>
      <c r="D218" s="154"/>
      <c r="E218" s="153">
        <v>16010</v>
      </c>
      <c r="F218" s="155"/>
      <c r="G218" s="504">
        <v>4445700</v>
      </c>
      <c r="H218" s="159">
        <f>H220+H219</f>
        <v>0</v>
      </c>
      <c r="I218" s="159">
        <f t="shared" si="13"/>
        <v>4445700</v>
      </c>
      <c r="J218" s="504">
        <v>4445700</v>
      </c>
      <c r="K218" s="159">
        <f>K220+K219</f>
        <v>0</v>
      </c>
      <c r="L218" s="159">
        <f t="shared" si="14"/>
        <v>4445700</v>
      </c>
    </row>
    <row r="219" spans="1:12" ht="78.75" x14ac:dyDescent="0.2">
      <c r="A219" s="157" t="str">
        <f>IF(B219&gt;0,VLOOKUP(B219,КВСР!A192:B1357,2),IF(C219&gt;0,VLOOKUP(C219,КФСР!A192:B1704,2),IF(D219&gt;0,VLOOKUP(D219,Программа!A$1:B$5100,2),IF(F219&gt;0,VLOOKUP(F219,КВР!A$1:B$5001,2),IF(E219&gt;0,VLOOKUP(E219,Направление!A$1:B$4830,2))))))</f>
        <v xml:space="preserve">Закупка товаров, работ и услуг для обеспечения государственных (муниципальных) нужд
</v>
      </c>
      <c r="B219" s="158"/>
      <c r="C219" s="153"/>
      <c r="D219" s="154"/>
      <c r="E219" s="153"/>
      <c r="F219" s="155">
        <v>200</v>
      </c>
      <c r="G219" s="645">
        <v>65700</v>
      </c>
      <c r="H219" s="159"/>
      <c r="I219" s="159">
        <f t="shared" si="13"/>
        <v>65700</v>
      </c>
      <c r="J219" s="645">
        <v>65700</v>
      </c>
      <c r="K219" s="159"/>
      <c r="L219" s="159">
        <f t="shared" si="14"/>
        <v>65700</v>
      </c>
    </row>
    <row r="220" spans="1:12" ht="32.25" customHeight="1" x14ac:dyDescent="0.2">
      <c r="A220" s="157" t="str">
        <f>IF(B220&gt;0,VLOOKUP(B220,КВСР!A190:B1355,2),IF(C220&gt;0,VLOOKUP(C220,КФСР!A190:B1702,2),IF(D220&gt;0,VLOOKUP(D220,Программа!A$1:B$5100,2),IF(F220&gt;0,VLOOKUP(F220,КВР!A$1:B$5001,2),IF(E220&gt;0,VLOOKUP(E220,Направление!A$1:B$4830,2))))))</f>
        <v>Социальное обеспечение и иные выплаты населению</v>
      </c>
      <c r="B220" s="158"/>
      <c r="C220" s="153"/>
      <c r="D220" s="154"/>
      <c r="E220" s="153"/>
      <c r="F220" s="155">
        <v>300</v>
      </c>
      <c r="G220" s="194">
        <v>4380000</v>
      </c>
      <c r="H220" s="194"/>
      <c r="I220" s="159">
        <f t="shared" si="13"/>
        <v>4380000</v>
      </c>
      <c r="J220" s="194">
        <v>4380000</v>
      </c>
      <c r="K220" s="194"/>
      <c r="L220" s="159">
        <f t="shared" si="14"/>
        <v>4380000</v>
      </c>
    </row>
    <row r="221" spans="1:12" ht="31.5" x14ac:dyDescent="0.2">
      <c r="A221" s="157" t="str">
        <f>IF(B221&gt;0,VLOOKUP(B221,КВСР!A191:B1356,2),IF(C221&gt;0,VLOOKUP(C221,КФСР!A191:B1703,2),IF(D221&gt;0,VLOOKUP(D221,Программа!A$1:B$5100,2),IF(F221&gt;0,VLOOKUP(F221,КВР!A$1:B$5001,2),IF(E221&gt;0,VLOOKUP(E221,Направление!A$1:B$4830,2))))))</f>
        <v>Социальное обслуживание населения</v>
      </c>
      <c r="B221" s="158"/>
      <c r="C221" s="153">
        <v>1002</v>
      </c>
      <c r="D221" s="154"/>
      <c r="E221" s="153"/>
      <c r="F221" s="155"/>
      <c r="G221" s="504">
        <v>63968211</v>
      </c>
      <c r="H221" s="159">
        <f>H222</f>
        <v>0</v>
      </c>
      <c r="I221" s="159">
        <f t="shared" si="13"/>
        <v>63968211</v>
      </c>
      <c r="J221" s="504">
        <v>63968211</v>
      </c>
      <c r="K221" s="159">
        <f>K222</f>
        <v>0</v>
      </c>
      <c r="L221" s="159">
        <f t="shared" si="14"/>
        <v>63968211</v>
      </c>
    </row>
    <row r="222" spans="1:12" ht="63" x14ac:dyDescent="0.2">
      <c r="A222" s="157" t="str">
        <f>IF(B222&gt;0,VLOOKUP(B222,КВСР!A192:B1357,2),IF(C222&gt;0,VLOOKUP(C222,КФСР!A192:B1704,2),IF(D222&gt;0,VLOOKUP(D222,Программа!A$1:B$5100,2),IF(F222&gt;0,VLOOKUP(F222,КВР!A$1:B$5001,2),IF(E222&gt;0,VLOOKUP(E222,Направление!A$1:B$4830,2))))))</f>
        <v>Муниципальная программа "Социальная поддержка населения Тутаевского муниципального района"</v>
      </c>
      <c r="B222" s="158"/>
      <c r="C222" s="153"/>
      <c r="D222" s="154" t="s">
        <v>695</v>
      </c>
      <c r="E222" s="153"/>
      <c r="F222" s="155"/>
      <c r="G222" s="504">
        <v>63968211</v>
      </c>
      <c r="H222" s="159">
        <f>H224</f>
        <v>0</v>
      </c>
      <c r="I222" s="159">
        <f t="shared" si="13"/>
        <v>63968211</v>
      </c>
      <c r="J222" s="504">
        <v>63968211</v>
      </c>
      <c r="K222" s="159">
        <f>K224</f>
        <v>0</v>
      </c>
      <c r="L222" s="159">
        <f t="shared" si="14"/>
        <v>63968211</v>
      </c>
    </row>
    <row r="223" spans="1:12" ht="78.75" x14ac:dyDescent="0.2">
      <c r="A223" s="157" t="str">
        <f>IF(B223&gt;0,VLOOKUP(B223,КВСР!A193:B1358,2),IF(C223&gt;0,VLOOKUP(C223,КФСР!A193:B1705,2),IF(D223&gt;0,VLOOKUP(D223,Программа!A$1:B$5100,2),IF(F223&gt;0,VLOOKUP(F223,КВР!A$1:B$5001,2),IF(E223&gt;0,VLOOKUP(E223,Направление!A$1:B$4830,2))))))</f>
        <v xml:space="preserve">Ведомственная целевая программа «Социальная поддержка населения Тутаевского муниципального района» </v>
      </c>
      <c r="B223" s="158"/>
      <c r="C223" s="153"/>
      <c r="D223" s="154" t="s">
        <v>768</v>
      </c>
      <c r="E223" s="153"/>
      <c r="F223" s="155"/>
      <c r="G223" s="504">
        <v>63968211</v>
      </c>
      <c r="H223" s="159">
        <f>H224</f>
        <v>0</v>
      </c>
      <c r="I223" s="159">
        <f t="shared" si="13"/>
        <v>63968211</v>
      </c>
      <c r="J223" s="504">
        <v>63968211</v>
      </c>
      <c r="K223" s="159">
        <f>K224</f>
        <v>0</v>
      </c>
      <c r="L223" s="159">
        <f t="shared" si="14"/>
        <v>63968211</v>
      </c>
    </row>
    <row r="224" spans="1:12" ht="94.5" x14ac:dyDescent="0.2">
      <c r="A224" s="157" t="str">
        <f>IF(B224&gt;0,VLOOKUP(B224,КВСР!A194:B1359,2),IF(C224&gt;0,VLOOKUP(C224,КФСР!A194:B1706,2),IF(D224&gt;0,VLOOKUP(D224,Программа!A$1:B$5100,2),IF(F224&gt;0,VLOOKUP(F224,КВР!A$1:B$5001,2),IF(E224&gt;0,VLOOKUP(E224,Направление!A$1:B$4830,2))))))</f>
        <v>Предоставление социальных услуг населению Тутаевского муниципального района на основе соблюдения стандартов и нормативов</v>
      </c>
      <c r="B224" s="158"/>
      <c r="C224" s="153"/>
      <c r="D224" s="154" t="s">
        <v>773</v>
      </c>
      <c r="E224" s="153"/>
      <c r="F224" s="155"/>
      <c r="G224" s="504">
        <v>63968211</v>
      </c>
      <c r="H224" s="159">
        <f>H225</f>
        <v>0</v>
      </c>
      <c r="I224" s="159">
        <f t="shared" si="13"/>
        <v>63968211</v>
      </c>
      <c r="J224" s="504">
        <v>63968211</v>
      </c>
      <c r="K224" s="159">
        <f>K225</f>
        <v>0</v>
      </c>
      <c r="L224" s="159">
        <f t="shared" si="14"/>
        <v>63968211</v>
      </c>
    </row>
    <row r="225" spans="1:12" ht="173.25" x14ac:dyDescent="0.2">
      <c r="A225" s="157" t="str">
        <f>IF(B225&gt;0,VLOOKUP(B225,КВСР!A194:B1359,2),IF(C225&gt;0,VLOOKUP(C225,КФСР!A194:B1706,2),IF(D225&gt;0,VLOOKUP(D225,Программа!A$1:B$5100,2),IF(F225&gt;0,VLOOKUP(F225,КВР!A$1:B$5001,2),IF(E225&gt;0,VLOOKUP(E225,Направление!A$1:B$4830,2))))))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25" s="158"/>
      <c r="C225" s="153"/>
      <c r="D225" s="154"/>
      <c r="E225" s="153">
        <v>70850</v>
      </c>
      <c r="F225" s="155"/>
      <c r="G225" s="504">
        <v>63968211</v>
      </c>
      <c r="H225" s="159">
        <f>H226</f>
        <v>0</v>
      </c>
      <c r="I225" s="159">
        <f t="shared" si="13"/>
        <v>63968211</v>
      </c>
      <c r="J225" s="504">
        <v>63968211</v>
      </c>
      <c r="K225" s="159">
        <f>K226</f>
        <v>0</v>
      </c>
      <c r="L225" s="159">
        <f t="shared" si="14"/>
        <v>63968211</v>
      </c>
    </row>
    <row r="226" spans="1:12" ht="78.75" x14ac:dyDescent="0.2">
      <c r="A226" s="157" t="str">
        <f>IF(B226&gt;0,VLOOKUP(B226,КВСР!A195:B1360,2),IF(C226&gt;0,VLOOKUP(C226,КФСР!A195:B1707,2),IF(D226&gt;0,VLOOKUP(D226,Программа!A$1:B$5100,2),IF(F226&gt;0,VLOOKUP(F226,КВР!A$1:B$5001,2),IF(E226&gt;0,VLOOKUP(E226,Направление!A$1:B$4830,2))))))</f>
        <v>Предоставление субсидий бюджетным, автономным учреждениям и иным некоммерческим организациям</v>
      </c>
      <c r="B226" s="158"/>
      <c r="C226" s="153"/>
      <c r="D226" s="154"/>
      <c r="E226" s="153"/>
      <c r="F226" s="155">
        <v>600</v>
      </c>
      <c r="G226" s="495">
        <v>63968211</v>
      </c>
      <c r="H226" s="194"/>
      <c r="I226" s="159">
        <f t="shared" si="13"/>
        <v>63968211</v>
      </c>
      <c r="J226" s="495">
        <v>63968211</v>
      </c>
      <c r="K226" s="194"/>
      <c r="L226" s="159">
        <f t="shared" si="14"/>
        <v>63968211</v>
      </c>
    </row>
    <row r="227" spans="1:12" ht="31.5" x14ac:dyDescent="0.2">
      <c r="A227" s="157" t="str">
        <f>IF(B227&gt;0,VLOOKUP(B227,КВСР!A196:B1361,2),IF(C227&gt;0,VLOOKUP(C227,КФСР!A196:B1708,2),IF(D227&gt;0,VLOOKUP(D227,Программа!A$1:B$5100,2),IF(F227&gt;0,VLOOKUP(F227,КВР!A$1:B$5001,2),IF(E227&gt;0,VLOOKUP(E227,Направление!A$1:B$4830,2))))))</f>
        <v>Социальное обеспечение населения</v>
      </c>
      <c r="B227" s="158"/>
      <c r="C227" s="153">
        <v>1003</v>
      </c>
      <c r="D227" s="154"/>
      <c r="E227" s="153"/>
      <c r="F227" s="155"/>
      <c r="G227" s="504">
        <v>234413525</v>
      </c>
      <c r="H227" s="504">
        <f>H228</f>
        <v>0</v>
      </c>
      <c r="I227" s="504">
        <f>I228</f>
        <v>234413525</v>
      </c>
      <c r="J227" s="504">
        <v>234707525</v>
      </c>
      <c r="K227" s="504">
        <f>K228</f>
        <v>0</v>
      </c>
      <c r="L227" s="504">
        <f>L228</f>
        <v>234707525</v>
      </c>
    </row>
    <row r="228" spans="1:12" ht="63" x14ac:dyDescent="0.2">
      <c r="A228" s="157" t="str">
        <f>IF(B228&gt;0,VLOOKUP(B228,КВСР!A197:B1362,2),IF(C228&gt;0,VLOOKUP(C228,КФСР!A197:B1709,2),IF(D228&gt;0,VLOOKUP(D228,Программа!A$1:B$5100,2),IF(F228&gt;0,VLOOKUP(F228,КВР!A$1:B$5001,2),IF(E228&gt;0,VLOOKUP(E228,Направление!A$1:B$4830,2))))))</f>
        <v>Муниципальная программа "Социальная поддержка населения Тутаевского муниципального района"</v>
      </c>
      <c r="B228" s="158"/>
      <c r="C228" s="153"/>
      <c r="D228" s="154" t="s">
        <v>695</v>
      </c>
      <c r="E228" s="153"/>
      <c r="F228" s="155"/>
      <c r="G228" s="504">
        <v>234413525</v>
      </c>
      <c r="H228" s="159">
        <f>H229</f>
        <v>0</v>
      </c>
      <c r="I228" s="159">
        <f>SUM(G228:H228)</f>
        <v>234413525</v>
      </c>
      <c r="J228" s="504">
        <v>234707525</v>
      </c>
      <c r="K228" s="159">
        <f>K229</f>
        <v>0</v>
      </c>
      <c r="L228" s="159">
        <f t="shared" si="14"/>
        <v>234707525</v>
      </c>
    </row>
    <row r="229" spans="1:12" ht="78.75" x14ac:dyDescent="0.2">
      <c r="A229" s="157" t="str">
        <f>IF(B229&gt;0,VLOOKUP(B229,КВСР!A198:B1363,2),IF(C229&gt;0,VLOOKUP(C229,КФСР!A198:B1710,2),IF(D229&gt;0,VLOOKUP(D229,Программа!A$1:B$5100,2),IF(F229&gt;0,VLOOKUP(F229,КВР!A$1:B$5001,2),IF(E229&gt;0,VLOOKUP(E229,Направление!A$1:B$4830,2))))))</f>
        <v xml:space="preserve">Ведомственная целевая программа «Социальная поддержка населения Тутаевского муниципального района» </v>
      </c>
      <c r="B229" s="158"/>
      <c r="C229" s="153"/>
      <c r="D229" s="154" t="s">
        <v>768</v>
      </c>
      <c r="E229" s="153"/>
      <c r="F229" s="155"/>
      <c r="G229" s="504">
        <v>234413525</v>
      </c>
      <c r="H229" s="159">
        <f>H230+H281</f>
        <v>0</v>
      </c>
      <c r="I229" s="159">
        <f>SUM(G229:H229)</f>
        <v>234413525</v>
      </c>
      <c r="J229" s="504">
        <v>234707525</v>
      </c>
      <c r="K229" s="159">
        <f>K230+K281</f>
        <v>0</v>
      </c>
      <c r="L229" s="159">
        <f t="shared" si="14"/>
        <v>234707525</v>
      </c>
    </row>
    <row r="230" spans="1:12" ht="63" x14ac:dyDescent="0.2">
      <c r="A230" s="157" t="str">
        <f>IF(B230&gt;0,VLOOKUP(B230,КВСР!A199:B1364,2),IF(C230&gt;0,VLOOKUP(C230,КФСР!A199:B1711,2),IF(D230&gt;0,VLOOKUP(D230,Программа!A$1:B$5100,2),IF(F230&gt;0,VLOOKUP(F230,КВР!A$1:B$5001,2),IF(E230&gt;0,VLOOKUP(E230,Направление!A$1:B$4830,2))))))</f>
        <v>Исполнение публичных обязательств по предоставлению выплат, пособий и компенсаций</v>
      </c>
      <c r="B230" s="158"/>
      <c r="C230" s="153"/>
      <c r="D230" s="154" t="s">
        <v>770</v>
      </c>
      <c r="E230" s="153"/>
      <c r="F230" s="155"/>
      <c r="G230" s="504">
        <v>229487825</v>
      </c>
      <c r="H230" s="504">
        <f>H231+H234+H237+H245+H251+H254+H257+H260+H266+H272+H275+H277+H279</f>
        <v>0</v>
      </c>
      <c r="I230" s="504">
        <f>I231+I234+I237+I245+I251+I254+I257+I260+I266+I272+I275+I277+I279</f>
        <v>229487825</v>
      </c>
      <c r="J230" s="504">
        <f>J231+J234+J237+J245+J251+J254+J257+J260+J266+J272+J275+J277+J279</f>
        <v>229781825</v>
      </c>
      <c r="K230" s="504">
        <f>K231+K234+K237+K245+K251+K254+K257+K260+K266+K272+K275+K277+K279</f>
        <v>0</v>
      </c>
      <c r="L230" s="504">
        <f>L231+L234+L237+L245+L251+L254+L257+L260+L266+L272+L275+L277+L279</f>
        <v>229781825</v>
      </c>
    </row>
    <row r="231" spans="1:12" ht="63" x14ac:dyDescent="0.2">
      <c r="A231" s="157" t="str">
        <f>IF(B231&gt;0,VLOOKUP(B231,КВСР!A200:B1365,2),IF(C231&gt;0,VLOOKUP(C231,КФСР!A200:B1712,2),IF(D231&gt;0,VLOOKUP(D231,Программа!A$1:B$5100,2),IF(F231&gt;0,VLOOKUP(F231,КВР!A$1:B$5001,2),IF(E231&gt;0,VLOOKUP(E231,Направление!A$1:B$4830,2))))))</f>
        <v>Субвенция на социальную поддержку граждан, подвергшихся воздействию радиации</v>
      </c>
      <c r="B231" s="158"/>
      <c r="C231" s="153"/>
      <c r="D231" s="154"/>
      <c r="E231" s="153">
        <v>51370</v>
      </c>
      <c r="F231" s="155"/>
      <c r="G231" s="504">
        <v>1700000</v>
      </c>
      <c r="H231" s="159">
        <f>H232+H233</f>
        <v>0</v>
      </c>
      <c r="I231" s="159">
        <f t="shared" ref="I231:I244" si="15">SUM(G231:H231)</f>
        <v>1700000</v>
      </c>
      <c r="J231" s="504">
        <v>1768000</v>
      </c>
      <c r="K231" s="159">
        <f>K232+K233</f>
        <v>0</v>
      </c>
      <c r="L231" s="159">
        <f t="shared" si="14"/>
        <v>1768000</v>
      </c>
    </row>
    <row r="232" spans="1:12" ht="48" customHeight="1" x14ac:dyDescent="0.2">
      <c r="A232" s="157" t="str">
        <f>IF(B232&gt;0,VLOOKUP(B232,КВСР!A201:B1366,2),IF(C232&gt;0,VLOOKUP(C232,КФСР!A201:B1713,2),IF(D232&gt;0,VLOOKUP(D232,Программа!A$1:B$5100,2),IF(F232&gt;0,VLOOKUP(F232,КВР!A$1:B$5001,2),IF(E232&gt;0,VLOOKUP(E232,Направление!A$1:B$4830,2))))))</f>
        <v xml:space="preserve">Закупка товаров, работ и услуг для обеспечения государственных (муниципальных) нужд
</v>
      </c>
      <c r="B232" s="158"/>
      <c r="C232" s="153"/>
      <c r="D232" s="154"/>
      <c r="E232" s="153"/>
      <c r="F232" s="155">
        <v>200</v>
      </c>
      <c r="G232" s="504">
        <v>25124</v>
      </c>
      <c r="H232" s="490"/>
      <c r="I232" s="159">
        <f t="shared" si="15"/>
        <v>25124</v>
      </c>
      <c r="J232" s="504">
        <v>26129</v>
      </c>
      <c r="K232" s="490"/>
      <c r="L232" s="159">
        <f t="shared" si="14"/>
        <v>26129</v>
      </c>
    </row>
    <row r="233" spans="1:12" ht="30.75" customHeight="1" x14ac:dyDescent="0.2">
      <c r="A233" s="157" t="str">
        <f>IF(B233&gt;0,VLOOKUP(B233,КВСР!A202:B1367,2),IF(C233&gt;0,VLOOKUP(C233,КФСР!A202:B1714,2),IF(D233&gt;0,VLOOKUP(D233,Программа!A$1:B$5100,2),IF(F233&gt;0,VLOOKUP(F233,КВР!A$1:B$5001,2),IF(E233&gt;0,VLOOKUP(E233,Направление!A$1:B$4830,2))))))</f>
        <v>Социальное обеспечение и иные выплаты населению</v>
      </c>
      <c r="B233" s="158"/>
      <c r="C233" s="153"/>
      <c r="D233" s="154"/>
      <c r="E233" s="153"/>
      <c r="F233" s="155">
        <v>300</v>
      </c>
      <c r="G233" s="504">
        <v>1674876</v>
      </c>
      <c r="H233" s="490"/>
      <c r="I233" s="159">
        <f t="shared" si="15"/>
        <v>1674876</v>
      </c>
      <c r="J233" s="504">
        <v>1741871</v>
      </c>
      <c r="K233" s="490"/>
      <c r="L233" s="159">
        <f t="shared" si="14"/>
        <v>1741871</v>
      </c>
    </row>
    <row r="234" spans="1:12" ht="143.25" customHeight="1" x14ac:dyDescent="0.2">
      <c r="A234" s="157" t="str">
        <f>IF(B234&gt;0,VLOOKUP(B234,КВСР!A203:B1368,2),IF(C234&gt;0,VLOOKUP(C234,КФСР!A203:B1715,2),IF(D234&gt;0,VLOOKUP(D234,Программа!A$1:B$5100,2),IF(F234&gt;0,VLOOKUP(F234,КВР!A$1:B$5001,2),IF(E234&gt;0,VLOOKUP(E234,Направление!A$1:B$4830,2))))))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34" s="158"/>
      <c r="C234" s="153"/>
      <c r="D234" s="154"/>
      <c r="E234" s="153">
        <v>52200</v>
      </c>
      <c r="F234" s="155"/>
      <c r="G234" s="504">
        <v>5699000</v>
      </c>
      <c r="H234" s="159">
        <f>SUM(H235:H236)</f>
        <v>0</v>
      </c>
      <c r="I234" s="159">
        <f t="shared" si="15"/>
        <v>5699000</v>
      </c>
      <c r="J234" s="504">
        <v>5927000</v>
      </c>
      <c r="K234" s="159">
        <f>SUM(K235:K236)</f>
        <v>0</v>
      </c>
      <c r="L234" s="159">
        <f t="shared" si="14"/>
        <v>5927000</v>
      </c>
    </row>
    <row r="235" spans="1:12" ht="30.75" customHeight="1" x14ac:dyDescent="0.2">
      <c r="A235" s="157" t="str">
        <f>IF(B235&gt;0,VLOOKUP(B235,КВСР!A204:B1369,2),IF(C235&gt;0,VLOOKUP(C235,КФСР!A204:B1716,2),IF(D235&gt;0,VLOOKUP(D235,Программа!A$1:B$5100,2),IF(F235&gt;0,VLOOKUP(F235,КВР!A$1:B$5001,2),IF(E235&gt;0,VLOOKUP(E235,Направление!A$1:B$4830,2))))))</f>
        <v xml:space="preserve">Закупка товаров, работ и услуг для обеспечения государственных (муниципальных) нужд
</v>
      </c>
      <c r="B235" s="158"/>
      <c r="C235" s="153"/>
      <c r="D235" s="154"/>
      <c r="E235" s="153"/>
      <c r="F235" s="155">
        <v>200</v>
      </c>
      <c r="G235" s="504">
        <v>84222</v>
      </c>
      <c r="H235" s="490"/>
      <c r="I235" s="159">
        <f t="shared" si="15"/>
        <v>84222</v>
      </c>
      <c r="J235" s="504">
        <v>87592</v>
      </c>
      <c r="K235" s="490"/>
      <c r="L235" s="159">
        <f t="shared" si="14"/>
        <v>87592</v>
      </c>
    </row>
    <row r="236" spans="1:12" ht="32.25" customHeight="1" x14ac:dyDescent="0.2">
      <c r="A236" s="157" t="str">
        <f>IF(B236&gt;0,VLOOKUP(B236,КВСР!A205:B1370,2),IF(C236&gt;0,VLOOKUP(C236,КФСР!A205:B1717,2),IF(D236&gt;0,VLOOKUP(D236,Программа!A$1:B$5100,2),IF(F236&gt;0,VLOOKUP(F236,КВР!A$1:B$5001,2),IF(E236&gt;0,VLOOKUP(E236,Направление!A$1:B$4830,2))))))</f>
        <v>Социальное обеспечение и иные выплаты населению</v>
      </c>
      <c r="B236" s="158"/>
      <c r="C236" s="153"/>
      <c r="D236" s="154"/>
      <c r="E236" s="153"/>
      <c r="F236" s="155">
        <v>300</v>
      </c>
      <c r="G236" s="504">
        <v>5614778</v>
      </c>
      <c r="H236" s="490"/>
      <c r="I236" s="159">
        <f t="shared" si="15"/>
        <v>5614778</v>
      </c>
      <c r="J236" s="504">
        <v>5839408</v>
      </c>
      <c r="K236" s="490"/>
      <c r="L236" s="159">
        <f t="shared" si="14"/>
        <v>5839408</v>
      </c>
    </row>
    <row r="237" spans="1:12" ht="81.75" customHeight="1" x14ac:dyDescent="0.2">
      <c r="A237" s="157" t="str">
        <f>IF(B237&gt;0,VLOOKUP(B237,КВСР!A206:B1371,2),IF(C237&gt;0,VLOOKUP(C237,КФСР!A206:B1718,2),IF(D237&gt;0,VLOOKUP(D237,Программа!A$1:B$5100,2),IF(F237&gt;0,VLOOKUP(F237,КВР!A$1:B$5001,2),IF(E237&gt;0,VLOOKUP(E237,Направление!A$1:B$4830,2))))))</f>
        <v>Оплата жилищно-коммунальных услуг отдельным категориям граждан за счет средств федерального бюджета</v>
      </c>
      <c r="B237" s="158"/>
      <c r="C237" s="153"/>
      <c r="D237" s="154"/>
      <c r="E237" s="153">
        <v>52500</v>
      </c>
      <c r="F237" s="155"/>
      <c r="G237" s="504">
        <v>34824000</v>
      </c>
      <c r="H237" s="504">
        <f>SUM(H238:H239)</f>
        <v>0</v>
      </c>
      <c r="I237" s="159">
        <f t="shared" si="15"/>
        <v>34824000</v>
      </c>
      <c r="J237" s="504">
        <v>34822000</v>
      </c>
      <c r="K237" s="504">
        <f>SUM(K238:K239)</f>
        <v>0</v>
      </c>
      <c r="L237" s="159">
        <f t="shared" si="14"/>
        <v>34822000</v>
      </c>
    </row>
    <row r="238" spans="1:12" ht="30.75" customHeight="1" x14ac:dyDescent="0.2">
      <c r="A238" s="157" t="str">
        <f>IF(B238&gt;0,VLOOKUP(B238,КВСР!A207:B1372,2),IF(C238&gt;0,VLOOKUP(C238,КФСР!A207:B1719,2),IF(D238&gt;0,VLOOKUP(D238,Программа!A$1:B$5100,2),IF(F238&gt;0,VLOOKUP(F238,КВР!A$1:B$5001,2),IF(E238&gt;0,VLOOKUP(E238,Направление!A$1:B$4830,2))))))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8"/>
      <c r="C238" s="153"/>
      <c r="D238" s="154"/>
      <c r="E238" s="153"/>
      <c r="F238" s="155">
        <v>200</v>
      </c>
      <c r="G238" s="504">
        <v>511913</v>
      </c>
      <c r="H238" s="490"/>
      <c r="I238" s="159">
        <f t="shared" si="15"/>
        <v>511913</v>
      </c>
      <c r="J238" s="504">
        <v>511885</v>
      </c>
      <c r="K238" s="490"/>
      <c r="L238" s="159">
        <f t="shared" si="14"/>
        <v>511885</v>
      </c>
    </row>
    <row r="239" spans="1:12" ht="30.75" customHeight="1" x14ac:dyDescent="0.2">
      <c r="A239" s="157" t="str">
        <f>IF(B239&gt;0,VLOOKUP(B239,КВСР!A208:B1373,2),IF(C239&gt;0,VLOOKUP(C239,КФСР!A208:B1720,2),IF(D239&gt;0,VLOOKUP(D239,Программа!A$1:B$5100,2),IF(F239&gt;0,VLOOKUP(F239,КВР!A$1:B$5001,2),IF(E239&gt;0,VLOOKUP(E239,Направление!A$1:B$4830,2))))))</f>
        <v>Социальное обеспечение и иные выплаты населению</v>
      </c>
      <c r="B239" s="158"/>
      <c r="C239" s="153"/>
      <c r="D239" s="154"/>
      <c r="E239" s="153"/>
      <c r="F239" s="155">
        <v>300</v>
      </c>
      <c r="G239" s="504">
        <v>34312087</v>
      </c>
      <c r="H239" s="490"/>
      <c r="I239" s="159">
        <f t="shared" si="15"/>
        <v>34312087</v>
      </c>
      <c r="J239" s="504">
        <v>34310115</v>
      </c>
      <c r="K239" s="490"/>
      <c r="L239" s="159">
        <f t="shared" si="14"/>
        <v>34310115</v>
      </c>
    </row>
    <row r="240" spans="1:12" ht="108" hidden="1" customHeight="1" x14ac:dyDescent="0.2">
      <c r="A240" s="157" t="str">
        <f>IF(B240&gt;0,VLOOKUP(B240,КВСР!A209:B1374,2),IF(C240&gt;0,VLOOKUP(C240,КФСР!A209:B1721,2),IF(D240&gt;0,VLOOKUP(D240,Программа!A$1:B$5100,2),IF(F240&gt;0,VLOOKUP(F240,КВР!A$1:B$5001,2),IF(E240&gt;0,VLOOKUP(E240,Направление!A$1:B$4830,2))))))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240" s="158"/>
      <c r="C240" s="153"/>
      <c r="D240" s="154"/>
      <c r="E240" s="153">
        <v>54620</v>
      </c>
      <c r="F240" s="155"/>
      <c r="G240" s="504">
        <v>0</v>
      </c>
      <c r="H240" s="504">
        <f>H241</f>
        <v>0</v>
      </c>
      <c r="I240" s="159">
        <f t="shared" si="15"/>
        <v>0</v>
      </c>
      <c r="J240" s="504">
        <v>0</v>
      </c>
      <c r="K240" s="504">
        <f>K241</f>
        <v>0</v>
      </c>
      <c r="L240" s="159">
        <f t="shared" si="14"/>
        <v>0</v>
      </c>
    </row>
    <row r="241" spans="1:12" ht="30.75" hidden="1" customHeight="1" x14ac:dyDescent="0.2">
      <c r="A241" s="157" t="str">
        <f>IF(B241&gt;0,VLOOKUP(B241,КВСР!A211:B1376,2),IF(C241&gt;0,VLOOKUP(C241,КФСР!A211:B1723,2),IF(D241&gt;0,VLOOKUP(D241,Программа!A$1:B$5100,2),IF(F241&gt;0,VLOOKUP(F241,КВР!A$1:B$5001,2),IF(E241&gt;0,VLOOKUP(E241,Направление!A$1:B$4830,2))))))</f>
        <v>Социальное обеспечение и иные выплаты населению</v>
      </c>
      <c r="B241" s="158"/>
      <c r="C241" s="153"/>
      <c r="D241" s="154"/>
      <c r="E241" s="153"/>
      <c r="F241" s="155">
        <v>300</v>
      </c>
      <c r="G241" s="504">
        <v>0</v>
      </c>
      <c r="H241" s="490"/>
      <c r="I241" s="159">
        <f t="shared" si="15"/>
        <v>0</v>
      </c>
      <c r="J241" s="504">
        <v>0</v>
      </c>
      <c r="K241" s="490"/>
      <c r="L241" s="159">
        <f t="shared" si="14"/>
        <v>0</v>
      </c>
    </row>
    <row r="242" spans="1:12" ht="78.75" hidden="1" x14ac:dyDescent="0.2">
      <c r="A242" s="157" t="str">
        <f>IF(B242&gt;0,VLOOKUP(B242,КВСР!A199:B1364,2),IF(C242&gt;0,VLOOKUP(C242,КФСР!A199:B1711,2),IF(D242&gt;0,VLOOKUP(D242,Программа!A$1:B$5100,2),IF(F242&gt;0,VLOOKUP(F242,КВР!A$1:B$5001,2),IF(E242&gt;0,VLOOKUP(E242,Направление!A$1:B$4830,2))))))</f>
        <v>Предоставление гражданам субсидий на оплату жилого помещения и коммунальных услуг за счет средств областного бюджета</v>
      </c>
      <c r="B242" s="158"/>
      <c r="C242" s="153"/>
      <c r="D242" s="154"/>
      <c r="E242" s="153">
        <v>70740</v>
      </c>
      <c r="F242" s="155"/>
      <c r="G242" s="504">
        <v>0</v>
      </c>
      <c r="H242" s="159">
        <f>H243+H244</f>
        <v>0</v>
      </c>
      <c r="I242" s="159">
        <f t="shared" si="15"/>
        <v>0</v>
      </c>
      <c r="J242" s="504">
        <v>0</v>
      </c>
      <c r="K242" s="159">
        <f>K243+K244</f>
        <v>0</v>
      </c>
      <c r="L242" s="159">
        <f t="shared" si="14"/>
        <v>0</v>
      </c>
    </row>
    <row r="243" spans="1:12" ht="78.75" hidden="1" x14ac:dyDescent="0.2">
      <c r="A243" s="157" t="str">
        <f>IF(B243&gt;0,VLOOKUP(B243,КВСР!A200:B1365,2),IF(C243&gt;0,VLOOKUP(C243,КФСР!A200:B1712,2),IF(D243&gt;0,VLOOKUP(D243,Программа!A$1:B$5100,2),IF(F243&gt;0,VLOOKUP(F243,КВР!A$1:B$5001,2),IF(E243&gt;0,VLOOKUP(E243,Направление!A$1:B$4830,2))))))</f>
        <v xml:space="preserve">Закупка товаров, работ и услуг для обеспечения государственных (муниципальных) нужд
</v>
      </c>
      <c r="B243" s="158"/>
      <c r="C243" s="153"/>
      <c r="D243" s="154"/>
      <c r="E243" s="153"/>
      <c r="F243" s="155">
        <v>200</v>
      </c>
      <c r="G243" s="547">
        <v>0</v>
      </c>
      <c r="H243" s="195"/>
      <c r="I243" s="159">
        <f t="shared" si="15"/>
        <v>0</v>
      </c>
      <c r="J243" s="547">
        <v>0</v>
      </c>
      <c r="K243" s="195"/>
      <c r="L243" s="159">
        <f t="shared" si="14"/>
        <v>0</v>
      </c>
    </row>
    <row r="244" spans="1:12" ht="31.5" hidden="1" x14ac:dyDescent="0.2">
      <c r="A244" s="157" t="str">
        <f>IF(B244&gt;0,VLOOKUP(B244,КВСР!A201:B1366,2),IF(C244&gt;0,VLOOKUP(C244,КФСР!A201:B1713,2),IF(D244&gt;0,VLOOKUP(D244,Программа!A$1:B$5100,2),IF(F244&gt;0,VLOOKUP(F244,КВР!A$1:B$5001,2),IF(E244&gt;0,VLOOKUP(E244,Направление!A$1:B$4830,2))))))</f>
        <v>Социальное обеспечение и иные выплаты населению</v>
      </c>
      <c r="B244" s="158"/>
      <c r="C244" s="153"/>
      <c r="D244" s="154"/>
      <c r="E244" s="153"/>
      <c r="F244" s="155">
        <v>300</v>
      </c>
      <c r="G244" s="547">
        <v>0</v>
      </c>
      <c r="H244" s="195"/>
      <c r="I244" s="159">
        <f t="shared" si="15"/>
        <v>0</v>
      </c>
      <c r="J244" s="547">
        <v>0</v>
      </c>
      <c r="K244" s="195"/>
      <c r="L244" s="159">
        <f t="shared" si="14"/>
        <v>0</v>
      </c>
    </row>
    <row r="245" spans="1:12" ht="79.900000000000006" customHeight="1" x14ac:dyDescent="0.2">
      <c r="A245" s="157" t="str">
        <f>IF(B245&gt;0,VLOOKUP(B245,КВСР!A202:B1367,2),IF(C245&gt;0,VLOOKUP(C245,КФСР!A202:B1714,2),IF(D245&gt;0,VLOOKUP(D245,Программа!A$1:B$5100,2),IF(F245&gt;0,VLOOKUP(F245,КВР!A$1:B$5001,2),IF(E245&gt;0,VLOOKUP(E245,Направление!A$1:B$4830,2))))))</f>
        <v>Предоставление гражданам субсидий на оплату жилого помещения и коммунальных услуг за счет средств областного бюджета</v>
      </c>
      <c r="B245" s="158"/>
      <c r="C245" s="153"/>
      <c r="D245" s="154"/>
      <c r="E245" s="153" t="s">
        <v>3269</v>
      </c>
      <c r="F245" s="155"/>
      <c r="G245" s="547">
        <v>25931000</v>
      </c>
      <c r="H245" s="547">
        <f>H246+H247</f>
        <v>0</v>
      </c>
      <c r="I245" s="159">
        <f>H245+G245</f>
        <v>25931000</v>
      </c>
      <c r="J245" s="547">
        <v>25931000</v>
      </c>
      <c r="K245" s="547">
        <f>K246+K247</f>
        <v>0</v>
      </c>
      <c r="L245" s="159">
        <f>J245+K245</f>
        <v>25931000</v>
      </c>
    </row>
    <row r="246" spans="1:12" ht="78.75" x14ac:dyDescent="0.2">
      <c r="A246" s="157" t="str">
        <f>IF(B246&gt;0,VLOOKUP(B246,КВСР!A203:B1368,2),IF(C246&gt;0,VLOOKUP(C246,КФСР!A203:B1715,2),IF(D246&gt;0,VLOOKUP(D246,Программа!A$1:B$5100,2),IF(F246&gt;0,VLOOKUP(F246,КВР!A$1:B$5001,2),IF(E246&gt;0,VLOOKUP(E246,Направление!A$1:B$4830,2))))))</f>
        <v xml:space="preserve">Закупка товаров, работ и услуг для обеспечения государственных (муниципальных) нужд
</v>
      </c>
      <c r="B246" s="158"/>
      <c r="C246" s="153"/>
      <c r="D246" s="154"/>
      <c r="E246" s="153"/>
      <c r="F246" s="155">
        <v>200</v>
      </c>
      <c r="G246" s="547">
        <v>383778</v>
      </c>
      <c r="H246" s="195"/>
      <c r="I246" s="159">
        <f t="shared" ref="I246:I291" si="16">H246+G246</f>
        <v>383778</v>
      </c>
      <c r="J246" s="547">
        <v>383778</v>
      </c>
      <c r="K246" s="195"/>
      <c r="L246" s="159">
        <f t="shared" ref="L246:L294" si="17">J246+K246</f>
        <v>383778</v>
      </c>
    </row>
    <row r="247" spans="1:12" ht="31.5" x14ac:dyDescent="0.2">
      <c r="A247" s="157" t="str">
        <f>IF(B247&gt;0,VLOOKUP(B247,КВСР!A204:B1369,2),IF(C247&gt;0,VLOOKUP(C247,КФСР!A204:B1716,2),IF(D247&gt;0,VLOOKUP(D247,Программа!A$1:B$5100,2),IF(F247&gt;0,VLOOKUP(F247,КВР!A$1:B$5001,2),IF(E247&gt;0,VLOOKUP(E247,Направление!A$1:B$4830,2))))))</f>
        <v>Социальное обеспечение и иные выплаты населению</v>
      </c>
      <c r="B247" s="158"/>
      <c r="C247" s="153"/>
      <c r="D247" s="154"/>
      <c r="E247" s="153"/>
      <c r="F247" s="155">
        <v>300</v>
      </c>
      <c r="G247" s="547">
        <v>25547222</v>
      </c>
      <c r="H247" s="195"/>
      <c r="I247" s="159">
        <f t="shared" si="16"/>
        <v>25547222</v>
      </c>
      <c r="J247" s="547">
        <v>25547222</v>
      </c>
      <c r="K247" s="195"/>
      <c r="L247" s="159">
        <f t="shared" si="17"/>
        <v>25547222</v>
      </c>
    </row>
    <row r="248" spans="1:12" ht="110.25" hidden="1" x14ac:dyDescent="0.2">
      <c r="A248" s="157" t="str">
        <f>IF(B248&gt;0,VLOOKUP(B248,КВСР!A199:B1364,2),IF(C248&gt;0,VLOOKUP(C248,КФСР!A199:B1711,2),IF(D248&gt;0,VLOOKUP(D248,Программа!A$1:B$5100,2),IF(F248&gt;0,VLOOKUP(F248,КВР!A$1:B$5001,2),IF(E248&gt;0,VLOOKUP(E248,Направление!A$1:B$4830,2))))))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48" s="158"/>
      <c r="C248" s="153"/>
      <c r="D248" s="154"/>
      <c r="E248" s="153">
        <v>70750</v>
      </c>
      <c r="F248" s="155"/>
      <c r="G248" s="504">
        <v>0</v>
      </c>
      <c r="H248" s="159">
        <f>H250+H249</f>
        <v>0</v>
      </c>
      <c r="I248" s="159">
        <f t="shared" si="16"/>
        <v>0</v>
      </c>
      <c r="J248" s="504">
        <v>0</v>
      </c>
      <c r="K248" s="159">
        <f>K250+K249</f>
        <v>0</v>
      </c>
      <c r="L248" s="159">
        <f t="shared" si="17"/>
        <v>0</v>
      </c>
    </row>
    <row r="249" spans="1:12" ht="78.75" hidden="1" x14ac:dyDescent="0.2">
      <c r="A249" s="157" t="str">
        <f>IF(B249&gt;0,VLOOKUP(B249,КВСР!A200:B1365,2),IF(C249&gt;0,VLOOKUP(C249,КФСР!A200:B1712,2),IF(D249&gt;0,VLOOKUP(D249,Программа!A$1:B$5100,2),IF(F249&gt;0,VLOOKUP(F249,КВР!A$1:B$5001,2),IF(E249&gt;0,VLOOKUP(E249,Направление!A$1:B$4830,2))))))</f>
        <v xml:space="preserve">Закупка товаров, работ и услуг для обеспечения государственных (муниципальных) нужд
</v>
      </c>
      <c r="B249" s="158"/>
      <c r="C249" s="153"/>
      <c r="D249" s="154"/>
      <c r="E249" s="153"/>
      <c r="F249" s="155">
        <v>200</v>
      </c>
      <c r="G249" s="547">
        <v>0</v>
      </c>
      <c r="H249" s="195"/>
      <c r="I249" s="159">
        <f t="shared" si="16"/>
        <v>0</v>
      </c>
      <c r="J249" s="547">
        <v>0</v>
      </c>
      <c r="K249" s="195"/>
      <c r="L249" s="159">
        <f t="shared" si="17"/>
        <v>0</v>
      </c>
    </row>
    <row r="250" spans="1:12" ht="31.5" hidden="1" x14ac:dyDescent="0.2">
      <c r="A250" s="157" t="str">
        <f>IF(B250&gt;0,VLOOKUP(B250,КВСР!A200:B1365,2),IF(C250&gt;0,VLOOKUP(C250,КФСР!A200:B1712,2),IF(D250&gt;0,VLOOKUP(D250,Программа!A$1:B$5100,2),IF(F250&gt;0,VLOOKUP(F250,КВР!A$1:B$5001,2),IF(E250&gt;0,VLOOKUP(E250,Направление!A$1:B$4830,2))))))</f>
        <v>Социальное обеспечение и иные выплаты населению</v>
      </c>
      <c r="B250" s="158"/>
      <c r="C250" s="153"/>
      <c r="D250" s="154"/>
      <c r="E250" s="153"/>
      <c r="F250" s="155">
        <v>300</v>
      </c>
      <c r="G250" s="495">
        <v>0</v>
      </c>
      <c r="H250" s="194"/>
      <c r="I250" s="159">
        <f t="shared" si="16"/>
        <v>0</v>
      </c>
      <c r="J250" s="495">
        <v>0</v>
      </c>
      <c r="K250" s="194"/>
      <c r="L250" s="159">
        <f t="shared" si="17"/>
        <v>0</v>
      </c>
    </row>
    <row r="251" spans="1:12" ht="111.6" customHeight="1" x14ac:dyDescent="0.2">
      <c r="A251" s="157" t="str">
        <f>IF(B251&gt;0,VLOOKUP(B251,КВСР!A201:B1366,2),IF(C251&gt;0,VLOOKUP(C251,КФСР!A201:B1713,2),IF(D251&gt;0,VLOOKUP(D251,Программа!A$1:B$5100,2),IF(F251&gt;0,VLOOKUP(F251,КВР!A$1:B$5001,2),IF(E251&gt;0,VLOOKUP(E251,Направление!A$1:B$4830,2))))))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51" s="158"/>
      <c r="C251" s="153"/>
      <c r="D251" s="154"/>
      <c r="E251" s="153" t="s">
        <v>3270</v>
      </c>
      <c r="F251" s="155"/>
      <c r="G251" s="495">
        <v>39775000</v>
      </c>
      <c r="H251" s="495">
        <f>H252+H253</f>
        <v>0</v>
      </c>
      <c r="I251" s="159">
        <f t="shared" si="16"/>
        <v>39775000</v>
      </c>
      <c r="J251" s="495">
        <v>39775000</v>
      </c>
      <c r="K251" s="495">
        <f>K252+K253</f>
        <v>0</v>
      </c>
      <c r="L251" s="159">
        <f t="shared" si="17"/>
        <v>39775000</v>
      </c>
    </row>
    <row r="252" spans="1:12" ht="78.75" x14ac:dyDescent="0.2">
      <c r="A252" s="157" t="str">
        <f>IF(B252&gt;0,VLOOKUP(B252,КВСР!A202:B1367,2),IF(C252&gt;0,VLOOKUP(C252,КФСР!A202:B1714,2),IF(D252&gt;0,VLOOKUP(D252,Программа!A$1:B$5100,2),IF(F252&gt;0,VLOOKUP(F252,КВР!A$1:B$5001,2),IF(E252&gt;0,VLOOKUP(E252,Направление!A$1:B$4830,2))))))</f>
        <v xml:space="preserve">Закупка товаров, работ и услуг для обеспечения государственных (муниципальных) нужд
</v>
      </c>
      <c r="B252" s="158"/>
      <c r="C252" s="153"/>
      <c r="D252" s="154"/>
      <c r="E252" s="153"/>
      <c r="F252" s="155">
        <v>200</v>
      </c>
      <c r="G252" s="495">
        <v>643560</v>
      </c>
      <c r="H252" s="194"/>
      <c r="I252" s="159">
        <f t="shared" si="16"/>
        <v>643560</v>
      </c>
      <c r="J252" s="495">
        <v>643560</v>
      </c>
      <c r="K252" s="194"/>
      <c r="L252" s="159">
        <f t="shared" si="17"/>
        <v>643560</v>
      </c>
    </row>
    <row r="253" spans="1:12" ht="36" customHeight="1" x14ac:dyDescent="0.2">
      <c r="A253" s="157" t="str">
        <f>IF(B253&gt;0,VLOOKUP(B253,КВСР!A203:B1368,2),IF(C253&gt;0,VLOOKUP(C253,КФСР!A203:B1715,2),IF(D253&gt;0,VLOOKUP(D253,Программа!A$1:B$5100,2),IF(F253&gt;0,VLOOKUP(F253,КВР!A$1:B$5001,2),IF(E253&gt;0,VLOOKUP(E253,Направление!A$1:B$4830,2))))))</f>
        <v>Социальное обеспечение и иные выплаты населению</v>
      </c>
      <c r="B253" s="158"/>
      <c r="C253" s="153"/>
      <c r="D253" s="154"/>
      <c r="E253" s="153"/>
      <c r="F253" s="155">
        <v>300</v>
      </c>
      <c r="G253" s="495">
        <v>39131440</v>
      </c>
      <c r="H253" s="194"/>
      <c r="I253" s="159">
        <f t="shared" si="16"/>
        <v>39131440</v>
      </c>
      <c r="J253" s="495">
        <v>39131440</v>
      </c>
      <c r="K253" s="194"/>
      <c r="L253" s="159">
        <f t="shared" si="17"/>
        <v>39131440</v>
      </c>
    </row>
    <row r="254" spans="1:12" ht="141.75" hidden="1" x14ac:dyDescent="0.2">
      <c r="A254" s="157" t="str">
        <f>IF(B254&gt;0,VLOOKUP(B254,КВСР!A201:B1366,2),IF(C254&gt;0,VLOOKUP(C254,КФСР!A201:B1713,2),IF(D254&gt;0,VLOOKUP(D254,Программа!A$1:B$5100,2),IF(F254&gt;0,VLOOKUP(F254,КВР!A$1:B$5001,2),IF(E254&gt;0,VLOOKUP(E254,Направление!A$1:B$4830,2))))))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4" s="158"/>
      <c r="C254" s="153"/>
      <c r="D254" s="154"/>
      <c r="E254" s="153">
        <v>70840</v>
      </c>
      <c r="F254" s="155"/>
      <c r="G254" s="504">
        <v>0</v>
      </c>
      <c r="H254" s="159">
        <f>H255+H256</f>
        <v>0</v>
      </c>
      <c r="I254" s="159">
        <f t="shared" si="16"/>
        <v>0</v>
      </c>
      <c r="J254" s="504">
        <v>0</v>
      </c>
      <c r="K254" s="159">
        <f>K255+K256</f>
        <v>0</v>
      </c>
      <c r="L254" s="159">
        <f t="shared" si="17"/>
        <v>0</v>
      </c>
    </row>
    <row r="255" spans="1:12" ht="78.75" hidden="1" x14ac:dyDescent="0.2">
      <c r="A255" s="157" t="str">
        <f>IF(B255&gt;0,VLOOKUP(B255,КВСР!A202:B1367,2),IF(C255&gt;0,VLOOKUP(C255,КФСР!A202:B1714,2),IF(D255&gt;0,VLOOKUP(D255,Программа!A$1:B$5100,2),IF(F255&gt;0,VLOOKUP(F255,КВР!A$1:B$5001,2),IF(E255&gt;0,VLOOKUP(E255,Направление!A$1:B$4830,2))))))</f>
        <v xml:space="preserve">Закупка товаров, работ и услуг для обеспечения государственных (муниципальных) нужд
</v>
      </c>
      <c r="B255" s="158"/>
      <c r="C255" s="153"/>
      <c r="D255" s="154"/>
      <c r="E255" s="153"/>
      <c r="F255" s="155">
        <v>200</v>
      </c>
      <c r="G255" s="495">
        <v>0</v>
      </c>
      <c r="H255" s="194"/>
      <c r="I255" s="159">
        <f t="shared" si="16"/>
        <v>0</v>
      </c>
      <c r="J255" s="495">
        <v>0</v>
      </c>
      <c r="K255" s="194"/>
      <c r="L255" s="159">
        <f t="shared" si="17"/>
        <v>0</v>
      </c>
    </row>
    <row r="256" spans="1:12" ht="31.5" hidden="1" x14ac:dyDescent="0.2">
      <c r="A256" s="157" t="str">
        <f>IF(B256&gt;0,VLOOKUP(B256,КВСР!A203:B1368,2),IF(C256&gt;0,VLOOKUP(C256,КФСР!A203:B1715,2),IF(D256&gt;0,VLOOKUP(D256,Программа!A$1:B$5100,2),IF(F256&gt;0,VLOOKUP(F256,КВР!A$1:B$5001,2),IF(E256&gt;0,VLOOKUP(E256,Направление!A$1:B$4830,2))))))</f>
        <v>Социальное обеспечение и иные выплаты населению</v>
      </c>
      <c r="B256" s="158"/>
      <c r="C256" s="153"/>
      <c r="D256" s="154"/>
      <c r="E256" s="153"/>
      <c r="F256" s="155">
        <v>300</v>
      </c>
      <c r="G256" s="495">
        <v>0</v>
      </c>
      <c r="H256" s="194"/>
      <c r="I256" s="159">
        <f t="shared" si="16"/>
        <v>0</v>
      </c>
      <c r="J256" s="495">
        <v>0</v>
      </c>
      <c r="K256" s="194"/>
      <c r="L256" s="159">
        <f t="shared" si="17"/>
        <v>0</v>
      </c>
    </row>
    <row r="257" spans="1:12" ht="141" customHeight="1" x14ac:dyDescent="0.2">
      <c r="A257" s="157" t="str">
        <f>IF(B257&gt;0,VLOOKUP(B257,КВСР!A204:B1369,2),IF(C257&gt;0,VLOOKUP(C257,КФСР!A204:B1716,2),IF(D257&gt;0,VLOOKUP(D257,Программа!A$1:B$5100,2),IF(F257&gt;0,VLOOKUP(F257,КВР!A$1:B$5001,2),IF(E257&gt;0,VLOOKUP(E257,Направление!A$1:B$4830,2))))))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7" s="158"/>
      <c r="C257" s="153"/>
      <c r="D257" s="154"/>
      <c r="E257" s="153" t="s">
        <v>3271</v>
      </c>
      <c r="F257" s="155"/>
      <c r="G257" s="495">
        <v>64064000</v>
      </c>
      <c r="H257" s="495">
        <f>H258+H259</f>
        <v>0</v>
      </c>
      <c r="I257" s="159">
        <f t="shared" si="16"/>
        <v>64064000</v>
      </c>
      <c r="J257" s="495">
        <v>64064000</v>
      </c>
      <c r="K257" s="495">
        <f>K258+K259</f>
        <v>0</v>
      </c>
      <c r="L257" s="159">
        <f t="shared" si="17"/>
        <v>64064000</v>
      </c>
    </row>
    <row r="258" spans="1:12" ht="78.75" x14ac:dyDescent="0.2">
      <c r="A258" s="157" t="str">
        <f>IF(B258&gt;0,VLOOKUP(B258,КВСР!A205:B1370,2),IF(C258&gt;0,VLOOKUP(C258,КФСР!A205:B1717,2),IF(D258&gt;0,VLOOKUP(D258,Программа!A$1:B$5100,2),IF(F258&gt;0,VLOOKUP(F258,КВР!A$1:B$5001,2),IF(E258&gt;0,VLOOKUP(E258,Направление!A$1:B$4830,2))))))</f>
        <v xml:space="preserve">Закупка товаров, работ и услуг для обеспечения государственных (муниципальных) нужд
</v>
      </c>
      <c r="B258" s="158"/>
      <c r="C258" s="153"/>
      <c r="D258" s="154"/>
      <c r="E258" s="153"/>
      <c r="F258" s="155">
        <v>200</v>
      </c>
      <c r="G258" s="495">
        <v>1026945</v>
      </c>
      <c r="H258" s="194"/>
      <c r="I258" s="159">
        <f t="shared" si="16"/>
        <v>1026945</v>
      </c>
      <c r="J258" s="495">
        <v>1026945</v>
      </c>
      <c r="K258" s="194"/>
      <c r="L258" s="159">
        <f t="shared" si="17"/>
        <v>1026945</v>
      </c>
    </row>
    <row r="259" spans="1:12" ht="31.5" x14ac:dyDescent="0.2">
      <c r="A259" s="157" t="str">
        <f>IF(B259&gt;0,VLOOKUP(B259,КВСР!A206:B1371,2),IF(C259&gt;0,VLOOKUP(C259,КФСР!A206:B1718,2),IF(D259&gt;0,VLOOKUP(D259,Программа!A$1:B$5100,2),IF(F259&gt;0,VLOOKUP(F259,КВР!A$1:B$5001,2),IF(E259&gt;0,VLOOKUP(E259,Направление!A$1:B$4830,2))))))</f>
        <v>Социальное обеспечение и иные выплаты населению</v>
      </c>
      <c r="B259" s="158"/>
      <c r="C259" s="153"/>
      <c r="D259" s="154"/>
      <c r="E259" s="153"/>
      <c r="F259" s="155">
        <v>300</v>
      </c>
      <c r="G259" s="495">
        <v>63037055</v>
      </c>
      <c r="H259" s="194"/>
      <c r="I259" s="159">
        <f t="shared" si="16"/>
        <v>63037055</v>
      </c>
      <c r="J259" s="495">
        <v>63037055</v>
      </c>
      <c r="K259" s="194"/>
      <c r="L259" s="159">
        <f t="shared" si="17"/>
        <v>63037055</v>
      </c>
    </row>
    <row r="260" spans="1:12" ht="47.25" hidden="1" x14ac:dyDescent="0.2">
      <c r="A260" s="157" t="str">
        <f>IF(B260&gt;0,VLOOKUP(B260,КВСР!A204:B1369,2),IF(C260&gt;0,VLOOKUP(C260,КФСР!A204:B1716,2),IF(D260&gt;0,VLOOKUP(D260,Программа!A$1:B$5100,2),IF(F260&gt;0,VLOOKUP(F260,КВР!A$1:B$5001,2),IF(E260&gt;0,VLOOKUP(E260,Направление!A$1:B$4830,2))))))</f>
        <v>Денежные выплаты за счет средств областного бюджета</v>
      </c>
      <c r="B260" s="158"/>
      <c r="C260" s="153"/>
      <c r="D260" s="154"/>
      <c r="E260" s="153">
        <v>70860</v>
      </c>
      <c r="F260" s="155"/>
      <c r="G260" s="504">
        <v>0</v>
      </c>
      <c r="H260" s="159">
        <f>H261+H262</f>
        <v>0</v>
      </c>
      <c r="I260" s="159">
        <f t="shared" si="16"/>
        <v>0</v>
      </c>
      <c r="J260" s="504">
        <v>0</v>
      </c>
      <c r="K260" s="159">
        <f>K261+K262</f>
        <v>0</v>
      </c>
      <c r="L260" s="159">
        <f t="shared" si="17"/>
        <v>0</v>
      </c>
    </row>
    <row r="261" spans="1:12" ht="78.75" hidden="1" x14ac:dyDescent="0.2">
      <c r="A261" s="157" t="str">
        <f>IF(B261&gt;0,VLOOKUP(B261,КВСР!A205:B1370,2),IF(C261&gt;0,VLOOKUP(C261,КФСР!A205:B1717,2),IF(D261&gt;0,VLOOKUP(D261,Программа!A$1:B$5100,2),IF(F261&gt;0,VLOOKUP(F261,КВР!A$1:B$5001,2),IF(E261&gt;0,VLOOKUP(E261,Направление!A$1:B$4830,2))))))</f>
        <v xml:space="preserve">Закупка товаров, работ и услуг для обеспечения государственных (муниципальных) нужд
</v>
      </c>
      <c r="B261" s="158"/>
      <c r="C261" s="153"/>
      <c r="D261" s="154"/>
      <c r="E261" s="153"/>
      <c r="F261" s="155">
        <v>200</v>
      </c>
      <c r="G261" s="495">
        <v>0</v>
      </c>
      <c r="H261" s="194"/>
      <c r="I261" s="159">
        <f t="shared" si="16"/>
        <v>0</v>
      </c>
      <c r="J261" s="495">
        <v>0</v>
      </c>
      <c r="K261" s="194"/>
      <c r="L261" s="159">
        <f t="shared" si="17"/>
        <v>0</v>
      </c>
    </row>
    <row r="262" spans="1:12" ht="31.5" hidden="1" x14ac:dyDescent="0.2">
      <c r="A262" s="157" t="str">
        <f>IF(B262&gt;0,VLOOKUP(B262,КВСР!A206:B1371,2),IF(C262&gt;0,VLOOKUP(C262,КФСР!A206:B1718,2),IF(D262&gt;0,VLOOKUP(D262,Программа!A$1:B$5100,2),IF(F262&gt;0,VLOOKUP(F262,КВР!A$1:B$5001,2),IF(E262&gt;0,VLOOKUP(E262,Направление!A$1:B$4830,2))))))</f>
        <v>Социальное обеспечение и иные выплаты населению</v>
      </c>
      <c r="B262" s="158"/>
      <c r="C262" s="153"/>
      <c r="D262" s="154"/>
      <c r="E262" s="153"/>
      <c r="F262" s="155">
        <v>300</v>
      </c>
      <c r="G262" s="495">
        <v>0</v>
      </c>
      <c r="H262" s="194"/>
      <c r="I262" s="159">
        <f t="shared" si="16"/>
        <v>0</v>
      </c>
      <c r="J262" s="495">
        <v>0</v>
      </c>
      <c r="K262" s="194"/>
      <c r="L262" s="159">
        <f t="shared" si="17"/>
        <v>0</v>
      </c>
    </row>
    <row r="263" spans="1:12" ht="78.75" hidden="1" x14ac:dyDescent="0.2">
      <c r="A263" s="157" t="str">
        <f>IF(B263&gt;0,VLOOKUP(B263,КВСР!A207:B1372,2),IF(C263&gt;0,VLOOKUP(C263,КФСР!A207:B1719,2),IF(D263&gt;0,VLOOKUP(D263,Программа!A$1:B$5100,2),IF(F263&gt;0,VLOOKUP(F263,КВР!A$1:B$5001,2),IF(E263&gt;0,VLOOKUP(E263,Направление!A$1:B$4830,2))))))</f>
        <v>Оказание социальной помощи отдельным категориям граждан за счет средств областного бюджета</v>
      </c>
      <c r="B263" s="158"/>
      <c r="C263" s="153"/>
      <c r="D263" s="154"/>
      <c r="E263" s="153">
        <v>70890</v>
      </c>
      <c r="F263" s="155"/>
      <c r="G263" s="504">
        <v>0</v>
      </c>
      <c r="H263" s="159">
        <f>H264+H265</f>
        <v>0</v>
      </c>
      <c r="I263" s="159">
        <f t="shared" si="16"/>
        <v>0</v>
      </c>
      <c r="J263" s="504">
        <v>0</v>
      </c>
      <c r="K263" s="159">
        <f>K264+K265</f>
        <v>0</v>
      </c>
      <c r="L263" s="159">
        <f t="shared" si="17"/>
        <v>0</v>
      </c>
    </row>
    <row r="264" spans="1:12" ht="78.75" hidden="1" x14ac:dyDescent="0.2">
      <c r="A264" s="157" t="str">
        <f>IF(B264&gt;0,VLOOKUP(B264,КВСР!A208:B1373,2),IF(C264&gt;0,VLOOKUP(C264,КФСР!A208:B1720,2),IF(D264&gt;0,VLOOKUP(D264,Программа!A$1:B$5100,2),IF(F264&gt;0,VLOOKUP(F264,КВР!A$1:B$5001,2),IF(E264&gt;0,VLOOKUP(E264,Направление!A$1:B$4830,2))))))</f>
        <v xml:space="preserve">Закупка товаров, работ и услуг для обеспечения государственных (муниципальных) нужд
</v>
      </c>
      <c r="B264" s="158"/>
      <c r="C264" s="153"/>
      <c r="D264" s="154"/>
      <c r="E264" s="153"/>
      <c r="F264" s="155">
        <v>200</v>
      </c>
      <c r="G264" s="495">
        <v>0</v>
      </c>
      <c r="H264" s="194"/>
      <c r="I264" s="159">
        <f t="shared" si="16"/>
        <v>0</v>
      </c>
      <c r="J264" s="495">
        <v>0</v>
      </c>
      <c r="K264" s="194"/>
      <c r="L264" s="159">
        <f t="shared" si="17"/>
        <v>0</v>
      </c>
    </row>
    <row r="265" spans="1:12" ht="31.5" hidden="1" x14ac:dyDescent="0.2">
      <c r="A265" s="157" t="str">
        <f>IF(B265&gt;0,VLOOKUP(B265,КВСР!A209:B1374,2),IF(C265&gt;0,VLOOKUP(C265,КФСР!A209:B1721,2),IF(D265&gt;0,VLOOKUP(D265,Программа!A$1:B$5100,2),IF(F265&gt;0,VLOOKUP(F265,КВР!A$1:B$5001,2),IF(E265&gt;0,VLOOKUP(E265,Направление!A$1:B$4830,2))))))</f>
        <v>Социальное обеспечение и иные выплаты населению</v>
      </c>
      <c r="B265" s="158"/>
      <c r="C265" s="153"/>
      <c r="D265" s="154"/>
      <c r="E265" s="153"/>
      <c r="F265" s="155">
        <v>300</v>
      </c>
      <c r="G265" s="495">
        <v>0</v>
      </c>
      <c r="H265" s="194"/>
      <c r="I265" s="159">
        <f t="shared" si="16"/>
        <v>0</v>
      </c>
      <c r="J265" s="495">
        <v>0</v>
      </c>
      <c r="K265" s="194"/>
      <c r="L265" s="159">
        <f t="shared" si="17"/>
        <v>0</v>
      </c>
    </row>
    <row r="266" spans="1:12" ht="38.450000000000003" customHeight="1" x14ac:dyDescent="0.2">
      <c r="A266" s="157" t="str">
        <f>IF(B266&gt;0,VLOOKUP(B266,КВСР!A210:B1375,2),IF(C266&gt;0,VLOOKUP(C266,КФСР!A210:B1722,2),IF(D266&gt;0,VLOOKUP(D266,Программа!A$1:B$5100,2),IF(F266&gt;0,VLOOKUP(F266,КВР!A$1:B$5001,2),IF(E266&gt;0,VLOOKUP(E266,Направление!A$1:B$4830,2))))))</f>
        <v>Денежные выплаты за счет средств областного бюджета</v>
      </c>
      <c r="B266" s="158"/>
      <c r="C266" s="153"/>
      <c r="D266" s="154"/>
      <c r="E266" s="153" t="s">
        <v>3272</v>
      </c>
      <c r="F266" s="155"/>
      <c r="G266" s="495">
        <v>22000000</v>
      </c>
      <c r="H266" s="495">
        <f>H267+H268</f>
        <v>0</v>
      </c>
      <c r="I266" s="159">
        <f t="shared" si="16"/>
        <v>22000000</v>
      </c>
      <c r="J266" s="495">
        <v>22000000</v>
      </c>
      <c r="K266" s="495">
        <f>K267+K268</f>
        <v>0</v>
      </c>
      <c r="L266" s="159">
        <f t="shared" si="17"/>
        <v>22000000</v>
      </c>
    </row>
    <row r="267" spans="1:12" ht="78.75" x14ac:dyDescent="0.2">
      <c r="A267" s="157" t="str">
        <f>IF(B267&gt;0,VLOOKUP(B267,КВСР!A211:B1376,2),IF(C267&gt;0,VLOOKUP(C267,КФСР!A211:B1723,2),IF(D267&gt;0,VLOOKUP(D267,Программа!A$1:B$5100,2),IF(F267&gt;0,VLOOKUP(F267,КВР!A$1:B$5001,2),IF(E267&gt;0,VLOOKUP(E267,Направление!A$1:B$4830,2))))))</f>
        <v xml:space="preserve">Закупка товаров, работ и услуг для обеспечения государственных (муниципальных) нужд
</v>
      </c>
      <c r="B267" s="158"/>
      <c r="C267" s="153"/>
      <c r="D267" s="154"/>
      <c r="E267" s="153"/>
      <c r="F267" s="155">
        <v>200</v>
      </c>
      <c r="G267" s="495">
        <v>330660</v>
      </c>
      <c r="H267" s="194"/>
      <c r="I267" s="159">
        <f t="shared" si="16"/>
        <v>330660</v>
      </c>
      <c r="J267" s="495">
        <v>330660</v>
      </c>
      <c r="K267" s="194"/>
      <c r="L267" s="159">
        <f t="shared" si="17"/>
        <v>330660</v>
      </c>
    </row>
    <row r="268" spans="1:12" ht="31.5" x14ac:dyDescent="0.2">
      <c r="A268" s="157" t="str">
        <f>IF(B268&gt;0,VLOOKUP(B268,КВСР!A212:B1377,2),IF(C268&gt;0,VLOOKUP(C268,КФСР!A212:B1724,2),IF(D268&gt;0,VLOOKUP(D268,Программа!A$1:B$5100,2),IF(F268&gt;0,VLOOKUP(F268,КВР!A$1:B$5001,2),IF(E268&gt;0,VLOOKUP(E268,Направление!A$1:B$4830,2))))))</f>
        <v>Социальное обеспечение и иные выплаты населению</v>
      </c>
      <c r="B268" s="158"/>
      <c r="C268" s="153"/>
      <c r="D268" s="154"/>
      <c r="E268" s="153"/>
      <c r="F268" s="155">
        <v>300</v>
      </c>
      <c r="G268" s="495">
        <v>21669340</v>
      </c>
      <c r="H268" s="194"/>
      <c r="I268" s="159">
        <f t="shared" si="16"/>
        <v>21669340</v>
      </c>
      <c r="J268" s="495">
        <v>21669340</v>
      </c>
      <c r="K268" s="194"/>
      <c r="L268" s="159">
        <f t="shared" si="17"/>
        <v>21669340</v>
      </c>
    </row>
    <row r="269" spans="1:12" ht="78.75" hidden="1" x14ac:dyDescent="0.2">
      <c r="A269" s="157" t="str">
        <f>IF(B269&gt;0,VLOOKUP(B269,КВСР!A210:B1375,2),IF(C269&gt;0,VLOOKUP(C269,КФСР!A210:B1722,2),IF(D269&gt;0,VLOOKUP(D269,Программа!A$1:B$5100,2),IF(F269&gt;0,VLOOKUP(F269,КВР!A$1:B$5001,2),IF(E269&gt;0,VLOOKUP(E269,Направление!A$1:B$4830,2))))))</f>
        <v>Расходы на социальную поддержку отдельных категорий граждан в части ежемесячного пособия на ребенка</v>
      </c>
      <c r="B269" s="158"/>
      <c r="C269" s="153"/>
      <c r="D269" s="154"/>
      <c r="E269" s="153">
        <v>73040</v>
      </c>
      <c r="F269" s="155"/>
      <c r="G269" s="504">
        <v>0</v>
      </c>
      <c r="H269" s="159">
        <f>H270+H271</f>
        <v>0</v>
      </c>
      <c r="I269" s="159">
        <f t="shared" si="16"/>
        <v>0</v>
      </c>
      <c r="J269" s="504">
        <v>0</v>
      </c>
      <c r="K269" s="159">
        <f>K270+K271</f>
        <v>0</v>
      </c>
      <c r="L269" s="159">
        <f t="shared" si="17"/>
        <v>0</v>
      </c>
    </row>
    <row r="270" spans="1:12" ht="78.75" hidden="1" x14ac:dyDescent="0.2">
      <c r="A270" s="157" t="str">
        <f>IF(B270&gt;0,VLOOKUP(B270,КВСР!A211:B1376,2),IF(C270&gt;0,VLOOKUP(C270,КФСР!A211:B1723,2),IF(D270&gt;0,VLOOKUP(D270,Программа!A$1:B$5100,2),IF(F270&gt;0,VLOOKUP(F270,КВР!A$1:B$5001,2),IF(E270&gt;0,VLOOKUP(E270,Направление!A$1:B$4830,2))))))</f>
        <v xml:space="preserve">Закупка товаров, работ и услуг для обеспечения государственных (муниципальных) нужд
</v>
      </c>
      <c r="B270" s="158"/>
      <c r="C270" s="153"/>
      <c r="D270" s="154"/>
      <c r="E270" s="153"/>
      <c r="F270" s="155">
        <v>200</v>
      </c>
      <c r="G270" s="495">
        <v>0</v>
      </c>
      <c r="H270" s="194"/>
      <c r="I270" s="159">
        <f t="shared" si="16"/>
        <v>0</v>
      </c>
      <c r="J270" s="495">
        <v>0</v>
      </c>
      <c r="K270" s="194"/>
      <c r="L270" s="159">
        <f t="shared" si="17"/>
        <v>0</v>
      </c>
    </row>
    <row r="271" spans="1:12" ht="31.5" hidden="1" x14ac:dyDescent="0.2">
      <c r="A271" s="157" t="str">
        <f>IF(B271&gt;0,VLOOKUP(B271,КВСР!A204:B1369,2),IF(C271&gt;0,VLOOKUP(C271,КФСР!A204:B1716,2),IF(D271&gt;0,VLOOKUP(D271,Программа!A$1:B$5100,2),IF(F271&gt;0,VLOOKUP(F271,КВР!A$1:B$5001,2),IF(E271&gt;0,VLOOKUP(E271,Направление!A$1:B$4830,2))))))</f>
        <v>Социальное обеспечение и иные выплаты населению</v>
      </c>
      <c r="B271" s="158"/>
      <c r="C271" s="153"/>
      <c r="D271" s="154"/>
      <c r="E271" s="153"/>
      <c r="F271" s="155">
        <v>300</v>
      </c>
      <c r="G271" s="495">
        <v>0</v>
      </c>
      <c r="H271" s="194"/>
      <c r="I271" s="159">
        <f t="shared" si="16"/>
        <v>0</v>
      </c>
      <c r="J271" s="495">
        <v>0</v>
      </c>
      <c r="K271" s="194"/>
      <c r="L271" s="159">
        <f t="shared" si="17"/>
        <v>0</v>
      </c>
    </row>
    <row r="272" spans="1:12" ht="77.45" customHeight="1" x14ac:dyDescent="0.2">
      <c r="A272" s="157" t="str">
        <f>IF(B272&gt;0,VLOOKUP(B272,КВСР!A205:B1370,2),IF(C272&gt;0,VLOOKUP(C272,КФСР!A205:B1717,2),IF(D272&gt;0,VLOOKUP(D272,Программа!A$1:B$5100,2),IF(F272&gt;0,VLOOKUP(F272,КВР!A$1:B$5001,2),IF(E272&gt;0,VLOOKUP(E272,Направление!A$1:B$4830,2))))))</f>
        <v>Расходы на социальную поддержку отдельных категорий граждан в части ежемесячного пособия на ребенка</v>
      </c>
      <c r="B272" s="158"/>
      <c r="C272" s="153"/>
      <c r="D272" s="154"/>
      <c r="E272" s="153" t="s">
        <v>3273</v>
      </c>
      <c r="F272" s="155"/>
      <c r="G272" s="495">
        <v>35000000</v>
      </c>
      <c r="H272" s="495">
        <f>H273+H274</f>
        <v>0</v>
      </c>
      <c r="I272" s="159">
        <f t="shared" si="16"/>
        <v>35000000</v>
      </c>
      <c r="J272" s="495">
        <v>35000000</v>
      </c>
      <c r="K272" s="495">
        <f>K273+K274</f>
        <v>0</v>
      </c>
      <c r="L272" s="159">
        <f t="shared" si="17"/>
        <v>35000000</v>
      </c>
    </row>
    <row r="273" spans="1:12" ht="78.75" x14ac:dyDescent="0.2">
      <c r="A273" s="157" t="str">
        <f>IF(B273&gt;0,VLOOKUP(B273,КВСР!A206:B1371,2),IF(C273&gt;0,VLOOKUP(C273,КФСР!A206:B1718,2),IF(D273&gt;0,VLOOKUP(D273,Программа!A$1:B$5100,2),IF(F273&gt;0,VLOOKUP(F273,КВР!A$1:B$5001,2),IF(E273&gt;0,VLOOKUP(E273,Направление!A$1:B$4830,2))))))</f>
        <v xml:space="preserve">Закупка товаров, работ и услуг для обеспечения государственных (муниципальных) нужд
</v>
      </c>
      <c r="B273" s="158"/>
      <c r="C273" s="153"/>
      <c r="D273" s="154"/>
      <c r="E273" s="153"/>
      <c r="F273" s="155">
        <v>200</v>
      </c>
      <c r="G273" s="495">
        <v>5950</v>
      </c>
      <c r="H273" s="194"/>
      <c r="I273" s="159">
        <f t="shared" si="16"/>
        <v>5950</v>
      </c>
      <c r="J273" s="495">
        <v>5950</v>
      </c>
      <c r="K273" s="194"/>
      <c r="L273" s="159">
        <f t="shared" si="17"/>
        <v>5950</v>
      </c>
    </row>
    <row r="274" spans="1:12" ht="31.5" x14ac:dyDescent="0.2">
      <c r="A274" s="157" t="str">
        <f>IF(B274&gt;0,VLOOKUP(B274,КВСР!A207:B1372,2),IF(C274&gt;0,VLOOKUP(C274,КФСР!A207:B1719,2),IF(D274&gt;0,VLOOKUP(D274,Программа!A$1:B$5100,2),IF(F274&gt;0,VLOOKUP(F274,КВР!A$1:B$5001,2),IF(E274&gt;0,VLOOKUP(E274,Направление!A$1:B$4830,2))))))</f>
        <v>Социальное обеспечение и иные выплаты населению</v>
      </c>
      <c r="B274" s="158"/>
      <c r="C274" s="153"/>
      <c r="D274" s="154"/>
      <c r="E274" s="153"/>
      <c r="F274" s="155">
        <v>300</v>
      </c>
      <c r="G274" s="495">
        <v>34994050</v>
      </c>
      <c r="H274" s="194"/>
      <c r="I274" s="159">
        <f t="shared" si="16"/>
        <v>34994050</v>
      </c>
      <c r="J274" s="495">
        <v>34994050</v>
      </c>
      <c r="K274" s="194"/>
      <c r="L274" s="159">
        <f t="shared" si="17"/>
        <v>34994050</v>
      </c>
    </row>
    <row r="275" spans="1:12" ht="133.15" hidden="1" customHeight="1" x14ac:dyDescent="0.2">
      <c r="A275" s="157" t="str">
        <f>IF(B275&gt;0,VLOOKUP(B275,КВСР!A207:B1372,2),IF(C275&gt;0,VLOOKUP(C275,КФСР!A207:B1719,2),IF(D275&gt;0,VLOOKUP(D275,Программа!A$1:B$5100,2),IF(F275&gt;0,VLOOKUP(F275,КВР!A$1:B$5001,2),IF(E275&gt;0,VLOOKUP(E275,Направление!A$1:B$4830,2))))))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5" s="158"/>
      <c r="C275" s="153"/>
      <c r="D275" s="154"/>
      <c r="E275" s="153">
        <v>75490</v>
      </c>
      <c r="F275" s="155"/>
      <c r="G275" s="495">
        <v>0</v>
      </c>
      <c r="H275" s="495">
        <f>-G275</f>
        <v>0</v>
      </c>
      <c r="I275" s="159">
        <f t="shared" si="16"/>
        <v>0</v>
      </c>
      <c r="J275" s="495">
        <v>0</v>
      </c>
      <c r="K275" s="495">
        <f>-J275</f>
        <v>0</v>
      </c>
      <c r="L275" s="159">
        <f t="shared" si="17"/>
        <v>0</v>
      </c>
    </row>
    <row r="276" spans="1:12" ht="67.150000000000006" hidden="1" customHeight="1" x14ac:dyDescent="0.2">
      <c r="A276" s="157" t="str">
        <f>IF(B276&gt;0,VLOOKUP(B276,КВСР!A208:B1373,2),IF(C276&gt;0,VLOOKUP(C276,КФСР!A208:B1720,2),IF(D276&gt;0,VLOOKUP(D276,Программа!A$1:B$5100,2),IF(F276&gt;0,VLOOKUP(F276,КВР!A$1:B$5001,2),IF(E276&gt;0,VLOOKUP(E276,Направление!A$1:B$4830,2))))))</f>
        <v xml:space="preserve">Закупка товаров, работ и услуг для обеспечения государственных (муниципальных) нужд
</v>
      </c>
      <c r="B276" s="158"/>
      <c r="C276" s="153"/>
      <c r="D276" s="154"/>
      <c r="E276" s="153"/>
      <c r="F276" s="155">
        <v>200</v>
      </c>
      <c r="G276" s="495">
        <v>0</v>
      </c>
      <c r="H276" s="194"/>
      <c r="I276" s="159">
        <f t="shared" si="16"/>
        <v>0</v>
      </c>
      <c r="J276" s="495">
        <v>0</v>
      </c>
      <c r="K276" s="194"/>
      <c r="L276" s="159">
        <f t="shared" si="17"/>
        <v>0</v>
      </c>
    </row>
    <row r="277" spans="1:12" ht="84.6" customHeight="1" x14ac:dyDescent="0.2">
      <c r="A277" s="157" t="str">
        <f>IF(B277&gt;0,VLOOKUP(B277,КВСР!A209:B1374,2),IF(C277&gt;0,VLOOKUP(C277,КФСР!A209:B1721,2),IF(D277&gt;0,VLOOKUP(D277,Программа!A$1:B$5100,2),IF(F277&gt;0,VLOOKUP(F277,КВР!A$1:B$5001,2),IF(E277&gt;0,VLOOKUP(E277,Направление!A$1:B$4830,2))))))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7" s="158"/>
      <c r="C277" s="153"/>
      <c r="D277" s="154"/>
      <c r="E277" s="153" t="s">
        <v>3275</v>
      </c>
      <c r="F277" s="155"/>
      <c r="G277" s="495">
        <v>17049</v>
      </c>
      <c r="H277" s="495">
        <f>H278</f>
        <v>0</v>
      </c>
      <c r="I277" s="159">
        <f t="shared" si="16"/>
        <v>17049</v>
      </c>
      <c r="J277" s="495">
        <v>17049</v>
      </c>
      <c r="K277" s="495">
        <f>K278</f>
        <v>0</v>
      </c>
      <c r="L277" s="159">
        <f t="shared" si="17"/>
        <v>17049</v>
      </c>
    </row>
    <row r="278" spans="1:12" ht="54" customHeight="1" x14ac:dyDescent="0.2">
      <c r="A278" s="157" t="str">
        <f>IF(B278&gt;0,VLOOKUP(B278,КВСР!A210:B1375,2),IF(C278&gt;0,VLOOKUP(C278,КФСР!A210:B1722,2),IF(D278&gt;0,VLOOKUP(D278,Программа!A$1:B$5100,2),IF(F278&gt;0,VLOOKUP(F278,КВР!A$1:B$5001,2),IF(E278&gt;0,VLOOKUP(E278,Направление!A$1:B$4830,2))))))</f>
        <v xml:space="preserve">Закупка товаров, работ и услуг для обеспечения государственных (муниципальных) нужд
</v>
      </c>
      <c r="B278" s="158"/>
      <c r="C278" s="153"/>
      <c r="D278" s="154"/>
      <c r="E278" s="153"/>
      <c r="F278" s="155">
        <v>200</v>
      </c>
      <c r="G278" s="495">
        <v>17049</v>
      </c>
      <c r="H278" s="194"/>
      <c r="I278" s="159">
        <f t="shared" si="16"/>
        <v>17049</v>
      </c>
      <c r="J278" s="495">
        <v>17049</v>
      </c>
      <c r="K278" s="194"/>
      <c r="L278" s="159">
        <f t="shared" si="17"/>
        <v>17049</v>
      </c>
    </row>
    <row r="279" spans="1:12" ht="42" customHeight="1" x14ac:dyDescent="0.2">
      <c r="A279" s="157" t="str">
        <f>IF(B279&gt;0,VLOOKUP(B279,КВСР!A209:B1374,2),IF(C279&gt;0,VLOOKUP(C279,КФСР!A209:B1721,2),IF(D279&gt;0,VLOOKUP(D279,Программа!A$1:B$5100,2),IF(F279&gt;0,VLOOKUP(F279,КВР!A$1:B$5001,2),IF(E279&gt;0,VLOOKUP(E279,Направление!A$1:B$4830,2))))))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279" s="158"/>
      <c r="C279" s="153"/>
      <c r="D279" s="154"/>
      <c r="E279" s="153" t="s">
        <v>3189</v>
      </c>
      <c r="F279" s="155"/>
      <c r="G279" s="495">
        <v>477776</v>
      </c>
      <c r="H279" s="194"/>
      <c r="I279" s="159">
        <f t="shared" si="16"/>
        <v>477776</v>
      </c>
      <c r="J279" s="495">
        <v>477776</v>
      </c>
      <c r="K279" s="194"/>
      <c r="L279" s="159">
        <f t="shared" si="17"/>
        <v>477776</v>
      </c>
    </row>
    <row r="280" spans="1:12" ht="42" customHeight="1" x14ac:dyDescent="0.2">
      <c r="A280" s="157" t="str">
        <f>IF(B280&gt;0,VLOOKUP(B280,КВСР!A210:B1375,2),IF(C280&gt;0,VLOOKUP(C280,КФСР!A210:B1722,2),IF(D280&gt;0,VLOOKUP(D280,Программа!A$1:B$5100,2),IF(F280&gt;0,VLOOKUP(F280,КВР!A$1:B$5001,2),IF(E280&gt;0,VLOOKUP(E280,Направление!A$1:B$4830,2))))))</f>
        <v>Социальное обеспечение и иные выплаты населению</v>
      </c>
      <c r="B280" s="158"/>
      <c r="C280" s="153"/>
      <c r="D280" s="154"/>
      <c r="E280" s="153"/>
      <c r="F280" s="155">
        <v>300</v>
      </c>
      <c r="G280" s="495">
        <v>477776</v>
      </c>
      <c r="H280" s="194"/>
      <c r="I280" s="159">
        <f t="shared" si="16"/>
        <v>477776</v>
      </c>
      <c r="J280" s="495">
        <v>477776</v>
      </c>
      <c r="K280" s="194"/>
      <c r="L280" s="159">
        <f t="shared" si="17"/>
        <v>477776</v>
      </c>
    </row>
    <row r="281" spans="1:12" ht="78.75" x14ac:dyDescent="0.2">
      <c r="A281" s="157" t="str">
        <f>IF(B281&gt;0,VLOOKUP(B281,КВСР!A205:B1370,2),IF(C281&gt;0,VLOOKUP(C281,КФСР!A205:B1717,2),IF(D281&gt;0,VLOOKUP(D281,Программа!A$1:B$5100,2),IF(F281&gt;0,VLOOKUP(F281,КВР!A$1:B$5001,2),IF(E281&gt;0,VLOOKUP(E281,Направление!A$1:B$4830,2))))))</f>
        <v>Социальная защита семей с детьми, инвалидов, ветеранов, граждан и детей, оказавшихся в трудной жизненной ситуации</v>
      </c>
      <c r="B281" s="158"/>
      <c r="C281" s="153"/>
      <c r="D281" s="154" t="s">
        <v>788</v>
      </c>
      <c r="E281" s="153"/>
      <c r="F281" s="155"/>
      <c r="G281" s="504">
        <v>4925700</v>
      </c>
      <c r="H281" s="159">
        <f>H282+H285+H288</f>
        <v>0</v>
      </c>
      <c r="I281" s="159">
        <f t="shared" si="16"/>
        <v>4925700</v>
      </c>
      <c r="J281" s="504">
        <v>4925700</v>
      </c>
      <c r="K281" s="159">
        <f>K282+K285+K288</f>
        <v>0</v>
      </c>
      <c r="L281" s="159">
        <f t="shared" si="17"/>
        <v>4925700</v>
      </c>
    </row>
    <row r="282" spans="1:12" ht="47.25" x14ac:dyDescent="0.2">
      <c r="A282" s="157" t="str">
        <f>IF(B282&gt;0,VLOOKUP(B282,КВСР!A206:B1371,2),IF(C282&gt;0,VLOOKUP(C282,КФСР!A206:B1718,2),IF(D282&gt;0,VLOOKUP(D282,Программа!A$1:B$5100,2),IF(F282&gt;0,VLOOKUP(F282,КВР!A$1:B$5001,2),IF(E282&gt;0,VLOOKUP(E282,Направление!A$1:B$4830,2))))))</f>
        <v>Организация перевозок больных, нуждающихся в амбулаторном гемодиализе</v>
      </c>
      <c r="B282" s="158"/>
      <c r="C282" s="153"/>
      <c r="D282" s="154"/>
      <c r="E282" s="153">
        <v>16210</v>
      </c>
      <c r="F282" s="155"/>
      <c r="G282" s="504">
        <v>165000</v>
      </c>
      <c r="H282" s="159">
        <f>H283+H284</f>
        <v>0</v>
      </c>
      <c r="I282" s="159">
        <f t="shared" si="16"/>
        <v>165000</v>
      </c>
      <c r="J282" s="504">
        <v>165000</v>
      </c>
      <c r="K282" s="159">
        <f>K283+K284</f>
        <v>0</v>
      </c>
      <c r="L282" s="159">
        <f t="shared" si="17"/>
        <v>165000</v>
      </c>
    </row>
    <row r="283" spans="1:12" ht="78.75" hidden="1" x14ac:dyDescent="0.2">
      <c r="A283" s="157" t="str">
        <f>IF(B283&gt;0,VLOOKUP(B283,КВСР!A207:B1372,2),IF(C283&gt;0,VLOOKUP(C283,КФСР!A207:B1719,2),IF(D283&gt;0,VLOOKUP(D283,Программа!A$1:B$5100,2),IF(F283&gt;0,VLOOKUP(F283,КВР!A$1:B$5001,2),IF(E283&gt;0,VLOOKUP(E283,Направление!A$1:B$4830,2))))))</f>
        <v xml:space="preserve">Закупка товаров, работ и услуг для обеспечения государственных (муниципальных) нужд
</v>
      </c>
      <c r="B283" s="158"/>
      <c r="C283" s="153"/>
      <c r="D283" s="154"/>
      <c r="E283" s="153"/>
      <c r="F283" s="155">
        <v>200</v>
      </c>
      <c r="G283" s="495">
        <v>0</v>
      </c>
      <c r="H283" s="194"/>
      <c r="I283" s="159">
        <f t="shared" si="16"/>
        <v>0</v>
      </c>
      <c r="J283" s="495">
        <v>0</v>
      </c>
      <c r="K283" s="194"/>
      <c r="L283" s="159">
        <f t="shared" si="17"/>
        <v>0</v>
      </c>
    </row>
    <row r="284" spans="1:12" ht="31.5" x14ac:dyDescent="0.2">
      <c r="A284" s="157" t="str">
        <f>IF(B284&gt;0,VLOOKUP(B284,КВСР!A208:B1373,2),IF(C284&gt;0,VLOOKUP(C284,КФСР!A208:B1720,2),IF(D284&gt;0,VLOOKUP(D284,Программа!A$1:B$5100,2),IF(F284&gt;0,VLOOKUP(F284,КВР!A$1:B$5001,2),IF(E284&gt;0,VLOOKUP(E284,Направление!A$1:B$4830,2))))))</f>
        <v>Социальное обеспечение и иные выплаты населению</v>
      </c>
      <c r="B284" s="158"/>
      <c r="C284" s="153"/>
      <c r="D284" s="154"/>
      <c r="E284" s="153"/>
      <c r="F284" s="155">
        <v>300</v>
      </c>
      <c r="G284" s="495">
        <v>165000</v>
      </c>
      <c r="H284" s="194"/>
      <c r="I284" s="159">
        <f t="shared" si="16"/>
        <v>165000</v>
      </c>
      <c r="J284" s="495">
        <v>165000</v>
      </c>
      <c r="K284" s="194"/>
      <c r="L284" s="159">
        <f t="shared" si="17"/>
        <v>165000</v>
      </c>
    </row>
    <row r="285" spans="1:12" ht="78.75" hidden="1" x14ac:dyDescent="0.2">
      <c r="A285" s="157" t="str">
        <f>IF(B285&gt;0,VLOOKUP(B285,КВСР!A209:B1374,2),IF(C285&gt;0,VLOOKUP(C285,КФСР!A209:B1721,2),IF(D285&gt;0,VLOOKUP(D285,Программа!A$1:B$5100,2),IF(F285&gt;0,VLOOKUP(F285,КВР!A$1:B$5001,2),IF(E285&gt;0,VLOOKUP(E285,Направление!A$1:B$4830,2))))))</f>
        <v>Оказание социальной помощи отдельным категориям граждан за счет средств областного бюджета</v>
      </c>
      <c r="B285" s="158"/>
      <c r="C285" s="153"/>
      <c r="D285" s="154"/>
      <c r="E285" s="153">
        <v>70890</v>
      </c>
      <c r="F285" s="155"/>
      <c r="G285" s="495">
        <v>0</v>
      </c>
      <c r="H285" s="495">
        <f>H286+H287</f>
        <v>0</v>
      </c>
      <c r="I285" s="159">
        <f t="shared" si="16"/>
        <v>0</v>
      </c>
      <c r="J285" s="495">
        <v>0</v>
      </c>
      <c r="K285" s="495">
        <f>K286+K287</f>
        <v>0</v>
      </c>
      <c r="L285" s="159">
        <f t="shared" si="17"/>
        <v>0</v>
      </c>
    </row>
    <row r="286" spans="1:12" ht="78.75" hidden="1" x14ac:dyDescent="0.2">
      <c r="A286" s="157" t="str">
        <f>IF(B286&gt;0,VLOOKUP(B286,КВСР!A210:B1375,2),IF(C286&gt;0,VLOOKUP(C286,КФСР!A210:B1722,2),IF(D286&gt;0,VLOOKUP(D286,Программа!A$1:B$5100,2),IF(F286&gt;0,VLOOKUP(F286,КВР!A$1:B$5001,2),IF(E286&gt;0,VLOOKUP(E286,Направление!A$1:B$4830,2))))))</f>
        <v xml:space="preserve">Закупка товаров, работ и услуг для обеспечения государственных (муниципальных) нужд
</v>
      </c>
      <c r="B286" s="158"/>
      <c r="C286" s="153"/>
      <c r="D286" s="154"/>
      <c r="E286" s="153"/>
      <c r="F286" s="155">
        <v>200</v>
      </c>
      <c r="G286" s="495">
        <v>0</v>
      </c>
      <c r="H286" s="194"/>
      <c r="I286" s="159">
        <f t="shared" si="16"/>
        <v>0</v>
      </c>
      <c r="J286" s="495">
        <v>0</v>
      </c>
      <c r="K286" s="194"/>
      <c r="L286" s="159">
        <f t="shared" si="17"/>
        <v>0</v>
      </c>
    </row>
    <row r="287" spans="1:12" ht="31.5" hidden="1" x14ac:dyDescent="0.2">
      <c r="A287" s="157" t="str">
        <f>IF(B287&gt;0,VLOOKUP(B287,КВСР!A211:B1376,2),IF(C287&gt;0,VLOOKUP(C287,КФСР!A211:B1723,2),IF(D287&gt;0,VLOOKUP(D287,Программа!A$1:B$5100,2),IF(F287&gt;0,VLOOKUP(F287,КВР!A$1:B$5001,2),IF(E287&gt;0,VLOOKUP(E287,Направление!A$1:B$4830,2))))))</f>
        <v>Социальное обеспечение и иные выплаты населению</v>
      </c>
      <c r="B287" s="158"/>
      <c r="C287" s="153"/>
      <c r="D287" s="154"/>
      <c r="E287" s="153"/>
      <c r="F287" s="155">
        <v>300</v>
      </c>
      <c r="G287" s="495">
        <v>0</v>
      </c>
      <c r="H287" s="194"/>
      <c r="I287" s="159">
        <f t="shared" si="16"/>
        <v>0</v>
      </c>
      <c r="J287" s="495">
        <v>0</v>
      </c>
      <c r="K287" s="194"/>
      <c r="L287" s="159">
        <f t="shared" si="17"/>
        <v>0</v>
      </c>
    </row>
    <row r="288" spans="1:12" ht="68.45" customHeight="1" x14ac:dyDescent="0.2">
      <c r="A288" s="157" t="str">
        <f>IF(B288&gt;0,VLOOKUP(B288,КВСР!A212:B1377,2),IF(C288&gt;0,VLOOKUP(C288,КФСР!A212:B1724,2),IF(D288&gt;0,VLOOKUP(D288,Программа!A$1:B$5100,2),IF(F288&gt;0,VLOOKUP(F288,КВР!A$1:B$5001,2),IF(E288&gt;0,VLOOKUP(E288,Направление!A$1:B$4830,2))))))</f>
        <v>Оказание социальной помощи отдельным категориям граждан за счет средств областного бюджета</v>
      </c>
      <c r="B288" s="158"/>
      <c r="C288" s="153"/>
      <c r="D288" s="154"/>
      <c r="E288" s="153" t="s">
        <v>3274</v>
      </c>
      <c r="F288" s="155"/>
      <c r="G288" s="495">
        <v>4760700</v>
      </c>
      <c r="H288" s="495">
        <f>H289+H290</f>
        <v>0</v>
      </c>
      <c r="I288" s="159">
        <f t="shared" si="16"/>
        <v>4760700</v>
      </c>
      <c r="J288" s="495">
        <v>4760700</v>
      </c>
      <c r="K288" s="495">
        <f>K289+K290</f>
        <v>0</v>
      </c>
      <c r="L288" s="159">
        <f t="shared" si="17"/>
        <v>4760700</v>
      </c>
    </row>
    <row r="289" spans="1:12" ht="49.9" customHeight="1" x14ac:dyDescent="0.2">
      <c r="A289" s="157" t="str">
        <f>IF(B289&gt;0,VLOOKUP(B289,КВСР!A213:B1378,2),IF(C289&gt;0,VLOOKUP(C289,КФСР!A213:B1725,2),IF(D289&gt;0,VLOOKUP(D289,Программа!A$1:B$5100,2),IF(F289&gt;0,VLOOKUP(F289,КВР!A$1:B$5001,2),IF(E289&gt;0,VLOOKUP(E289,Направление!A$1:B$4830,2))))))</f>
        <v xml:space="preserve">Закупка товаров, работ и услуг для обеспечения государственных (муниципальных) нужд
</v>
      </c>
      <c r="B289" s="158"/>
      <c r="C289" s="153"/>
      <c r="D289" s="154"/>
      <c r="E289" s="153"/>
      <c r="F289" s="155">
        <v>200</v>
      </c>
      <c r="G289" s="495">
        <v>171676</v>
      </c>
      <c r="H289" s="194"/>
      <c r="I289" s="159">
        <f t="shared" si="16"/>
        <v>171676</v>
      </c>
      <c r="J289" s="495">
        <v>171676</v>
      </c>
      <c r="K289" s="194"/>
      <c r="L289" s="159">
        <f t="shared" si="17"/>
        <v>171676</v>
      </c>
    </row>
    <row r="290" spans="1:12" ht="31.5" x14ac:dyDescent="0.2">
      <c r="A290" s="157" t="str">
        <f>IF(B290&gt;0,VLOOKUP(B290,КВСР!A214:B1379,2),IF(C290&gt;0,VLOOKUP(C290,КФСР!A214:B1726,2),IF(D290&gt;0,VLOOKUP(D290,Программа!A$1:B$5100,2),IF(F290&gt;0,VLOOKUP(F290,КВР!A$1:B$5001,2),IF(E290&gt;0,VLOOKUP(E290,Направление!A$1:B$4830,2))))))</f>
        <v>Социальное обеспечение и иные выплаты населению</v>
      </c>
      <c r="B290" s="158"/>
      <c r="C290" s="153"/>
      <c r="D290" s="154"/>
      <c r="E290" s="153"/>
      <c r="F290" s="155">
        <v>300</v>
      </c>
      <c r="G290" s="495">
        <v>4589024</v>
      </c>
      <c r="H290" s="194"/>
      <c r="I290" s="159">
        <f t="shared" si="16"/>
        <v>4589024</v>
      </c>
      <c r="J290" s="495">
        <v>4589024</v>
      </c>
      <c r="K290" s="194"/>
      <c r="L290" s="159">
        <f t="shared" si="17"/>
        <v>4589024</v>
      </c>
    </row>
    <row r="291" spans="1:12" ht="15.75" x14ac:dyDescent="0.2">
      <c r="A291" s="157" t="str">
        <f>IF(B291&gt;0,VLOOKUP(B291,КВСР!A209:B1374,2),IF(C291&gt;0,VLOOKUP(C291,КФСР!A209:B1721,2),IF(D291&gt;0,VLOOKUP(D291,Программа!A$1:B$5100,2),IF(F291&gt;0,VLOOKUP(F291,КВР!A$1:B$5001,2),IF(E291&gt;0,VLOOKUP(E291,Направление!A$1:B$4830,2))))))</f>
        <v>Охрана семьи и детства</v>
      </c>
      <c r="B291" s="158"/>
      <c r="C291" s="153">
        <v>1004</v>
      </c>
      <c r="D291" s="154"/>
      <c r="E291" s="153"/>
      <c r="F291" s="155"/>
      <c r="G291" s="504">
        <v>53290000</v>
      </c>
      <c r="H291" s="159">
        <f>H292</f>
        <v>0</v>
      </c>
      <c r="I291" s="159">
        <f t="shared" si="16"/>
        <v>53290000</v>
      </c>
      <c r="J291" s="504">
        <v>54196000</v>
      </c>
      <c r="K291" s="159">
        <f>K292</f>
        <v>0</v>
      </c>
      <c r="L291" s="159">
        <f t="shared" si="17"/>
        <v>54196000</v>
      </c>
    </row>
    <row r="292" spans="1:12" ht="63" x14ac:dyDescent="0.2">
      <c r="A292" s="157" t="str">
        <f>IF(B292&gt;0,VLOOKUP(B292,КВСР!A234:B1399,2),IF(C292&gt;0,VLOOKUP(C292,КФСР!A234:B1746,2),IF(D292&gt;0,VLOOKUP(D292,Программа!A$1:B$5100,2),IF(F292&gt;0,VLOOKUP(F292,КВР!A$1:B$5001,2),IF(E292&gt;0,VLOOKUP(E292,Направление!A$1:B$4830,2))))))</f>
        <v>Муниципальная программа "Социальная поддержка населения Тутаевского муниципального района"</v>
      </c>
      <c r="B292" s="158"/>
      <c r="C292" s="153"/>
      <c r="D292" s="154" t="s">
        <v>695</v>
      </c>
      <c r="E292" s="153"/>
      <c r="F292" s="155"/>
      <c r="G292" s="504">
        <v>53290000</v>
      </c>
      <c r="H292" s="159">
        <f>H293</f>
        <v>0</v>
      </c>
      <c r="I292" s="159">
        <f>SUM(G292:H292)</f>
        <v>53290000</v>
      </c>
      <c r="J292" s="504">
        <v>54196000</v>
      </c>
      <c r="K292" s="159">
        <f>K293</f>
        <v>0</v>
      </c>
      <c r="L292" s="159">
        <f t="shared" si="17"/>
        <v>54196000</v>
      </c>
    </row>
    <row r="293" spans="1:12" ht="78.75" x14ac:dyDescent="0.2">
      <c r="A293" s="157" t="str">
        <f>IF(B293&gt;0,VLOOKUP(B293,КВСР!A235:B1400,2),IF(C293&gt;0,VLOOKUP(C293,КФСР!A235:B1747,2),IF(D293&gt;0,VLOOKUP(D293,Программа!A$1:B$5100,2),IF(F293&gt;0,VLOOKUP(F293,КВР!A$1:B$5001,2),IF(E293&gt;0,VLOOKUP(E293,Направление!A$1:B$4830,2))))))</f>
        <v xml:space="preserve">Ведомственная целевая программа «Социальная поддержка населения Тутаевского муниципального района» </v>
      </c>
      <c r="B293" s="158"/>
      <c r="C293" s="153"/>
      <c r="D293" s="154" t="s">
        <v>768</v>
      </c>
      <c r="E293" s="153"/>
      <c r="F293" s="155"/>
      <c r="G293" s="504">
        <v>53290000</v>
      </c>
      <c r="H293" s="159">
        <f>H294+H306</f>
        <v>0</v>
      </c>
      <c r="I293" s="159">
        <f>SUM(G293:H293)</f>
        <v>53290000</v>
      </c>
      <c r="J293" s="504">
        <v>54196000</v>
      </c>
      <c r="K293" s="159">
        <f>K294+K306</f>
        <v>0</v>
      </c>
      <c r="L293" s="159">
        <f t="shared" si="17"/>
        <v>54196000</v>
      </c>
    </row>
    <row r="294" spans="1:12" ht="63" x14ac:dyDescent="0.2">
      <c r="A294" s="157" t="str">
        <f>IF(B294&gt;0,VLOOKUP(B294,КВСР!A236:B1401,2),IF(C294&gt;0,VLOOKUP(C294,КФСР!A236:B1748,2),IF(D294&gt;0,VLOOKUP(D294,Программа!A$1:B$5100,2),IF(F294&gt;0,VLOOKUP(F294,КВР!A$1:B$5001,2),IF(E294&gt;0,VLOOKUP(E294,Направление!A$1:B$4830,2))))))</f>
        <v>Исполнение публичных обязательств по предоставлению выплат, пособий и компенсаций</v>
      </c>
      <c r="B294" s="158"/>
      <c r="C294" s="153"/>
      <c r="D294" s="178" t="s">
        <v>770</v>
      </c>
      <c r="E294" s="179"/>
      <c r="F294" s="155"/>
      <c r="G294" s="504">
        <v>53290000</v>
      </c>
      <c r="H294" s="504">
        <f>H297+H303+H299+H295+H301</f>
        <v>0</v>
      </c>
      <c r="I294" s="504">
        <f>I297+I303+I299+I295+I301</f>
        <v>53290000</v>
      </c>
      <c r="J294" s="504">
        <v>54196000</v>
      </c>
      <c r="K294" s="504">
        <f>K297+K303+K299+K295+K301</f>
        <v>0</v>
      </c>
      <c r="L294" s="159">
        <f t="shared" si="17"/>
        <v>54196000</v>
      </c>
    </row>
    <row r="295" spans="1:12" ht="189" x14ac:dyDescent="0.2">
      <c r="A295" s="157" t="str">
        <f>IF(B295&gt;0,VLOOKUP(B295,КВСР!A237:B1402,2),IF(C295&gt;0,VLOOKUP(C295,КФСР!A237:B1749,2),IF(D295&gt;0,VLOOKUP(D295,Программа!A$1:B$5100,2),IF(F295&gt;0,VLOOKUP(F295,КВР!A$1:B$5001,2),IF(E295&gt;0,VLOOKUP(E295,Направление!A$1:B$4830,2))))))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95" s="158"/>
      <c r="C295" s="153"/>
      <c r="D295" s="178"/>
      <c r="E295" s="179">
        <v>52700</v>
      </c>
      <c r="F295" s="155"/>
      <c r="G295" s="504">
        <v>487000</v>
      </c>
      <c r="H295" s="159">
        <f>H296</f>
        <v>0</v>
      </c>
      <c r="I295" s="159">
        <f t="shared" ref="I295:I365" si="18">SUM(G295:H295)</f>
        <v>487000</v>
      </c>
      <c r="J295" s="504">
        <v>506000</v>
      </c>
      <c r="K295" s="159">
        <f>K296</f>
        <v>0</v>
      </c>
      <c r="L295" s="159">
        <f t="shared" ref="L295:L365" si="19">SUM(J295:K295)</f>
        <v>506000</v>
      </c>
    </row>
    <row r="296" spans="1:12" ht="31.5" x14ac:dyDescent="0.2">
      <c r="A296" s="157" t="str">
        <f>IF(B296&gt;0,VLOOKUP(B296,КВСР!A238:B1403,2),IF(C296&gt;0,VLOOKUP(C296,КФСР!A238:B1750,2),IF(D296&gt;0,VLOOKUP(D296,Программа!A$1:B$5100,2),IF(F296&gt;0,VLOOKUP(F296,КВР!A$1:B$5001,2),IF(E296&gt;0,VLOOKUP(E296,Направление!A$1:B$4830,2))))))</f>
        <v>Социальное обеспечение и иные выплаты населению</v>
      </c>
      <c r="B296" s="158"/>
      <c r="C296" s="153"/>
      <c r="D296" s="178"/>
      <c r="E296" s="179"/>
      <c r="F296" s="155">
        <v>300</v>
      </c>
      <c r="G296" s="504">
        <v>487000</v>
      </c>
      <c r="H296" s="159"/>
      <c r="I296" s="159">
        <f t="shared" si="18"/>
        <v>487000</v>
      </c>
      <c r="J296" s="504">
        <v>506000</v>
      </c>
      <c r="K296" s="159"/>
      <c r="L296" s="159">
        <f t="shared" si="19"/>
        <v>506000</v>
      </c>
    </row>
    <row r="297" spans="1:12" ht="157.5" x14ac:dyDescent="0.2">
      <c r="A297" s="157" t="str">
        <f>IF(B297&gt;0,VLOOKUP(B297,КВСР!A236:B1401,2),IF(C297&gt;0,VLOOKUP(C297,КФСР!A236:B1748,2),IF(D297&gt;0,VLOOKUP(D297,Программа!A$1:B$5100,2),IF(F297&gt;0,VLOOKUP(F297,КВР!A$1:B$5001,2),IF(E297&gt;0,VLOOKUP(E297,Направление!A$1:B$4830,2))))))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97" s="158"/>
      <c r="C297" s="153"/>
      <c r="D297" s="154"/>
      <c r="E297" s="153">
        <v>53810</v>
      </c>
      <c r="F297" s="155"/>
      <c r="G297" s="504">
        <v>20049000</v>
      </c>
      <c r="H297" s="159">
        <f>H298</f>
        <v>0</v>
      </c>
      <c r="I297" s="159">
        <f t="shared" si="18"/>
        <v>20049000</v>
      </c>
      <c r="J297" s="504">
        <v>20851000</v>
      </c>
      <c r="K297" s="159">
        <f>K298</f>
        <v>0</v>
      </c>
      <c r="L297" s="159">
        <f t="shared" si="19"/>
        <v>20851000</v>
      </c>
    </row>
    <row r="298" spans="1:12" ht="31.5" x14ac:dyDescent="0.2">
      <c r="A298" s="157" t="str">
        <f>IF(B298&gt;0,VLOOKUP(B298,КВСР!A237:B1402,2),IF(C298&gt;0,VLOOKUP(C298,КФСР!A237:B1749,2),IF(D298&gt;0,VLOOKUP(D298,Программа!A$1:B$5100,2),IF(F298&gt;0,VLOOKUP(F298,КВР!A$1:B$5001,2),IF(E298&gt;0,VLOOKUP(E298,Направление!A$1:B$4830,2))))))</f>
        <v>Социальное обеспечение и иные выплаты населению</v>
      </c>
      <c r="B298" s="158"/>
      <c r="C298" s="153"/>
      <c r="D298" s="154"/>
      <c r="E298" s="153"/>
      <c r="F298" s="155">
        <v>300</v>
      </c>
      <c r="G298" s="495">
        <v>20049000</v>
      </c>
      <c r="H298" s="194"/>
      <c r="I298" s="159">
        <f t="shared" si="18"/>
        <v>20049000</v>
      </c>
      <c r="J298" s="495">
        <v>20851000</v>
      </c>
      <c r="K298" s="194"/>
      <c r="L298" s="159">
        <f t="shared" si="19"/>
        <v>20851000</v>
      </c>
    </row>
    <row r="299" spans="1:12" ht="126" x14ac:dyDescent="0.2">
      <c r="A299" s="157" t="str">
        <f>IF(B299&gt;0,VLOOKUP(B299,КВСР!A238:B1403,2),IF(C299&gt;0,VLOOKUP(C299,КФСР!A238:B1750,2),IF(D299&gt;0,VLOOKUP(D299,Программа!A$1:B$5100,2),IF(F299&gt;0,VLOOKUP(F299,КВР!A$1:B$5001,2),IF(E299&gt;0,VLOOKUP(E299,Направление!A$1:B$4830,2))))))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99" s="158"/>
      <c r="C299" s="153"/>
      <c r="D299" s="154"/>
      <c r="E299" s="153">
        <v>53850</v>
      </c>
      <c r="F299" s="155"/>
      <c r="G299" s="495">
        <v>2133000</v>
      </c>
      <c r="H299" s="495">
        <f>H300</f>
        <v>0</v>
      </c>
      <c r="I299" s="159">
        <f t="shared" si="18"/>
        <v>2133000</v>
      </c>
      <c r="J299" s="495">
        <v>2218000</v>
      </c>
      <c r="K299" s="495">
        <f>K300</f>
        <v>0</v>
      </c>
      <c r="L299" s="159">
        <f t="shared" si="19"/>
        <v>2218000</v>
      </c>
    </row>
    <row r="300" spans="1:12" ht="31.5" x14ac:dyDescent="0.2">
      <c r="A300" s="157" t="str">
        <f>IF(B300&gt;0,VLOOKUP(B300,КВСР!A239:B1404,2),IF(C300&gt;0,VLOOKUP(C300,КФСР!A239:B1751,2),IF(D300&gt;0,VLOOKUP(D300,Программа!A$1:B$5100,2),IF(F300&gt;0,VLOOKUP(F300,КВР!A$1:B$5001,2),IF(E300&gt;0,VLOOKUP(E300,Направление!A$1:B$4830,2))))))</f>
        <v>Социальное обеспечение и иные выплаты населению</v>
      </c>
      <c r="B300" s="158"/>
      <c r="C300" s="153"/>
      <c r="D300" s="154"/>
      <c r="E300" s="153"/>
      <c r="F300" s="155">
        <v>300</v>
      </c>
      <c r="G300" s="495">
        <v>2133000</v>
      </c>
      <c r="H300" s="194"/>
      <c r="I300" s="159">
        <f t="shared" si="18"/>
        <v>2133000</v>
      </c>
      <c r="J300" s="495">
        <v>2218000</v>
      </c>
      <c r="K300" s="194"/>
      <c r="L300" s="159">
        <f t="shared" si="19"/>
        <v>2218000</v>
      </c>
    </row>
    <row r="301" spans="1:12" ht="141.75" x14ac:dyDescent="0.2">
      <c r="A301" s="157" t="str">
        <f>IF(B301&gt;0,VLOOKUP(B301,КВСР!A240:B1405,2),IF(C301&gt;0,VLOOKUP(C301,КФСР!A240:B1752,2),IF(D301&gt;0,VLOOKUP(D301,Программа!A$1:B$5100,2),IF(F301&gt;0,VLOOKUP(F301,КВР!A$1:B$5001,2),IF(E301&gt;0,VLOOKUP(E301,Направление!A$1:B$4830,2))))))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301" s="158"/>
      <c r="C301" s="153"/>
      <c r="D301" s="154"/>
      <c r="E301" s="153">
        <v>75480</v>
      </c>
      <c r="F301" s="155"/>
      <c r="G301" s="495">
        <v>714000</v>
      </c>
      <c r="H301" s="495">
        <f>H302</f>
        <v>0</v>
      </c>
      <c r="I301" s="495">
        <f>I302</f>
        <v>714000</v>
      </c>
      <c r="J301" s="495">
        <v>714000</v>
      </c>
      <c r="K301" s="495">
        <f>K302</f>
        <v>0</v>
      </c>
      <c r="L301" s="495">
        <f>L302</f>
        <v>714000</v>
      </c>
    </row>
    <row r="302" spans="1:12" ht="78.75" x14ac:dyDescent="0.2">
      <c r="A302" s="157" t="str">
        <f>IF(B302&gt;0,VLOOKUP(B302,КВСР!A241:B1406,2),IF(C302&gt;0,VLOOKUP(C302,КФСР!A241:B1753,2),IF(D302&gt;0,VLOOKUP(D302,Программа!A$1:B$5100,2),IF(F302&gt;0,VLOOKUP(F302,КВР!A$1:B$5001,2),IF(E302&gt;0,VLOOKUP(E302,Направление!A$1:B$4830,2))))))</f>
        <v xml:space="preserve">Закупка товаров, работ и услуг для обеспечения государственных (муниципальных) нужд
</v>
      </c>
      <c r="B302" s="158"/>
      <c r="C302" s="153"/>
      <c r="D302" s="154"/>
      <c r="E302" s="153"/>
      <c r="F302" s="155">
        <v>200</v>
      </c>
      <c r="G302" s="495">
        <v>714000</v>
      </c>
      <c r="H302" s="194"/>
      <c r="I302" s="159">
        <f t="shared" si="18"/>
        <v>714000</v>
      </c>
      <c r="J302" s="495">
        <v>714000</v>
      </c>
      <c r="K302" s="194"/>
      <c r="L302" s="159">
        <f t="shared" si="19"/>
        <v>714000</v>
      </c>
    </row>
    <row r="303" spans="1:12" ht="126" x14ac:dyDescent="0.2">
      <c r="A303" s="157" t="str">
        <f>IF(B303&gt;0,VLOOKUP(B303,КВСР!A238:B1403,2),IF(C303&gt;0,VLOOKUP(C303,КФСР!A238:B1750,2),IF(D303&gt;0,VLOOKUP(D303,Программа!A$1:B$5100,2),IF(F303&gt;0,VLOOKUP(F303,КВР!A$1:B$5001,2),IF(E303&gt;0,VLOOKUP(E303,Направление!A$1:B$4830,2))))))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303" s="158"/>
      <c r="C303" s="153"/>
      <c r="D303" s="154"/>
      <c r="E303" s="153" t="s">
        <v>2913</v>
      </c>
      <c r="F303" s="155"/>
      <c r="G303" s="504">
        <v>29907000</v>
      </c>
      <c r="H303" s="159">
        <f>H305+H304</f>
        <v>0</v>
      </c>
      <c r="I303" s="159">
        <f t="shared" si="18"/>
        <v>29907000</v>
      </c>
      <c r="J303" s="504">
        <v>29907000</v>
      </c>
      <c r="K303" s="159">
        <f>K305+K304</f>
        <v>0</v>
      </c>
      <c r="L303" s="159">
        <f t="shared" si="19"/>
        <v>29907000</v>
      </c>
    </row>
    <row r="304" spans="1:12" ht="78.75" hidden="1" x14ac:dyDescent="0.2">
      <c r="A304" s="157" t="str">
        <f>IF(B304&gt;0,VLOOKUP(B304,КВСР!A239:B1404,2),IF(C304&gt;0,VLOOKUP(C304,КФСР!A239:B1751,2),IF(D304&gt;0,VLOOKUP(D304,Программа!A$1:B$5100,2),IF(F304&gt;0,VLOOKUP(F304,КВР!A$1:B$5001,2),IF(E304&gt;0,VLOOKUP(E304,Направление!A$1:B$4830,2))))))</f>
        <v xml:space="preserve">Закупка товаров, работ и услуг для обеспечения государственных (муниципальных) нужд
</v>
      </c>
      <c r="B304" s="158"/>
      <c r="C304" s="153"/>
      <c r="D304" s="154"/>
      <c r="E304" s="153"/>
      <c r="F304" s="155">
        <v>200</v>
      </c>
      <c r="G304" s="547">
        <v>0</v>
      </c>
      <c r="H304" s="195"/>
      <c r="I304" s="159">
        <f t="shared" si="18"/>
        <v>0</v>
      </c>
      <c r="J304" s="547">
        <v>0</v>
      </c>
      <c r="K304" s="195"/>
      <c r="L304" s="159">
        <f t="shared" si="19"/>
        <v>0</v>
      </c>
    </row>
    <row r="305" spans="1:12" ht="31.5" x14ac:dyDescent="0.2">
      <c r="A305" s="157" t="str">
        <f>IF(B305&gt;0,VLOOKUP(B305,КВСР!A239:B1404,2),IF(C305&gt;0,VLOOKUP(C305,КФСР!A239:B1751,2),IF(D305&gt;0,VLOOKUP(D305,Программа!A$1:B$5100,2),IF(F305&gt;0,VLOOKUP(F305,КВР!A$1:B$5001,2),IF(E305&gt;0,VLOOKUP(E305,Направление!A$1:B$4830,2))))))</f>
        <v>Социальное обеспечение и иные выплаты населению</v>
      </c>
      <c r="B305" s="158"/>
      <c r="C305" s="153"/>
      <c r="D305" s="154"/>
      <c r="E305" s="153"/>
      <c r="F305" s="155">
        <v>300</v>
      </c>
      <c r="G305" s="495">
        <v>29907000</v>
      </c>
      <c r="H305" s="194"/>
      <c r="I305" s="159">
        <f t="shared" si="18"/>
        <v>29907000</v>
      </c>
      <c r="J305" s="495">
        <v>29907000</v>
      </c>
      <c r="K305" s="194"/>
      <c r="L305" s="159">
        <f t="shared" si="19"/>
        <v>29907000</v>
      </c>
    </row>
    <row r="306" spans="1:12" ht="78.75" hidden="1" x14ac:dyDescent="0.2">
      <c r="A306" s="157" t="str">
        <f>IF(B306&gt;0,VLOOKUP(B306,КВСР!A240:B1405,2),IF(C306&gt;0,VLOOKUP(C306,КФСР!A240:B1752,2),IF(D306&gt;0,VLOOKUP(D306,Программа!A$1:B$5100,2),IF(F306&gt;0,VLOOKUP(F306,КВР!A$1:B$5001,2),IF(E306&gt;0,VLOOKUP(E306,Направление!A$1:B$4830,2))))))</f>
        <v>Социальная защита семей с детьми, инвалидов, ветеранов, граждан и детей, оказавшихся в трудной жизненной ситуации</v>
      </c>
      <c r="B306" s="158"/>
      <c r="C306" s="153"/>
      <c r="D306" s="154" t="s">
        <v>788</v>
      </c>
      <c r="E306" s="153"/>
      <c r="F306" s="155"/>
      <c r="G306" s="504">
        <v>0</v>
      </c>
      <c r="H306" s="159">
        <f>H307</f>
        <v>0</v>
      </c>
      <c r="I306" s="159">
        <f t="shared" si="18"/>
        <v>0</v>
      </c>
      <c r="J306" s="504">
        <v>0</v>
      </c>
      <c r="K306" s="159">
        <f>K307</f>
        <v>0</v>
      </c>
      <c r="L306" s="159">
        <f t="shared" si="19"/>
        <v>0</v>
      </c>
    </row>
    <row r="307" spans="1:12" ht="110.25" hidden="1" x14ac:dyDescent="0.2">
      <c r="A307" s="157" t="str">
        <f>IF(B307&gt;0,VLOOKUP(B307,КВСР!A241:B1406,2),IF(C307&gt;0,VLOOKUP(C307,КФСР!A241:B1753,2),IF(D307&gt;0,VLOOKUP(D307,Программа!A$1:B$5100,2),IF(F307&gt;0,VLOOKUP(F307,КВР!A$1:B$5001,2),IF(E307&gt;0,VLOOKUP(E307,Направление!A$1:B$4830,2))))))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307" s="158"/>
      <c r="C307" s="153"/>
      <c r="D307" s="154"/>
      <c r="E307" s="153">
        <v>70970</v>
      </c>
      <c r="F307" s="155"/>
      <c r="G307" s="504">
        <v>0</v>
      </c>
      <c r="H307" s="159">
        <f>H308</f>
        <v>0</v>
      </c>
      <c r="I307" s="159">
        <f t="shared" si="18"/>
        <v>0</v>
      </c>
      <c r="J307" s="504">
        <v>0</v>
      </c>
      <c r="K307" s="159">
        <f>K308</f>
        <v>0</v>
      </c>
      <c r="L307" s="159">
        <f t="shared" si="19"/>
        <v>0</v>
      </c>
    </row>
    <row r="308" spans="1:12" ht="78.75" hidden="1" x14ac:dyDescent="0.2">
      <c r="A308" s="157" t="str">
        <f>IF(B308&gt;0,VLOOKUP(B308,КВСР!A239:B1404,2),IF(C308&gt;0,VLOOKUP(C308,КФСР!A239:B1751,2),IF(D308&gt;0,VLOOKUP(D308,Программа!A$1:B$5100,2),IF(F308&gt;0,VLOOKUP(F308,КВР!A$1:B$5001,2),IF(E308&gt;0,VLOOKUP(E308,Направление!A$1:B$4830,2))))))</f>
        <v xml:space="preserve">Закупка товаров, работ и услуг для обеспечения государственных (муниципальных) нужд
</v>
      </c>
      <c r="B308" s="158"/>
      <c r="C308" s="153"/>
      <c r="D308" s="154"/>
      <c r="E308" s="153"/>
      <c r="F308" s="155">
        <v>200</v>
      </c>
      <c r="G308" s="495">
        <v>0</v>
      </c>
      <c r="H308" s="194"/>
      <c r="I308" s="159">
        <f t="shared" si="18"/>
        <v>0</v>
      </c>
      <c r="J308" s="495">
        <v>0</v>
      </c>
      <c r="K308" s="194"/>
      <c r="L308" s="159">
        <f t="shared" si="19"/>
        <v>0</v>
      </c>
    </row>
    <row r="309" spans="1:12" ht="31.5" x14ac:dyDescent="0.2">
      <c r="A309" s="157" t="str">
        <f>IF(B309&gt;0,VLOOKUP(B309,КВСР!A238:B1403,2),IF(C309&gt;0,VLOOKUP(C309,КФСР!A238:B1750,2),IF(D309&gt;0,VLOOKUP(D309,Программа!A$1:B$5100,2),IF(F309&gt;0,VLOOKUP(F309,КВР!A$1:B$5001,2),IF(E309&gt;0,VLOOKUP(E309,Направление!A$1:B$4830,2))))))</f>
        <v>Другие вопросы в области социальной политики</v>
      </c>
      <c r="B309" s="158"/>
      <c r="C309" s="153">
        <v>1006</v>
      </c>
      <c r="D309" s="154"/>
      <c r="E309" s="153"/>
      <c r="F309" s="155"/>
      <c r="G309" s="504">
        <v>13759700</v>
      </c>
      <c r="H309" s="159">
        <f>H310</f>
        <v>0</v>
      </c>
      <c r="I309" s="159">
        <f t="shared" si="18"/>
        <v>13759700</v>
      </c>
      <c r="J309" s="504">
        <v>13759700</v>
      </c>
      <c r="K309" s="159">
        <f>K310</f>
        <v>0</v>
      </c>
      <c r="L309" s="159">
        <f t="shared" si="19"/>
        <v>13759700</v>
      </c>
    </row>
    <row r="310" spans="1:12" ht="63" x14ac:dyDescent="0.2">
      <c r="A310" s="157" t="str">
        <f>IF(B310&gt;0,VLOOKUP(B310,КВСР!A239:B1404,2),IF(C310&gt;0,VLOOKUP(C310,КФСР!A239:B1751,2),IF(D310&gt;0,VLOOKUP(D310,Программа!A$1:B$5100,2),IF(F310&gt;0,VLOOKUP(F310,КВР!A$1:B$5001,2),IF(E310&gt;0,VLOOKUP(E310,Направление!A$1:B$4830,2))))))</f>
        <v>Муниципальная программа "Социальная поддержка населения Тутаевского муниципального района"</v>
      </c>
      <c r="B310" s="158"/>
      <c r="C310" s="153"/>
      <c r="D310" s="154" t="s">
        <v>695</v>
      </c>
      <c r="E310" s="153"/>
      <c r="F310" s="155"/>
      <c r="G310" s="504">
        <v>13759700</v>
      </c>
      <c r="H310" s="159">
        <f>H311</f>
        <v>0</v>
      </c>
      <c r="I310" s="159">
        <f t="shared" si="18"/>
        <v>13759700</v>
      </c>
      <c r="J310" s="504">
        <v>13759700</v>
      </c>
      <c r="K310" s="159">
        <f>K311</f>
        <v>0</v>
      </c>
      <c r="L310" s="159">
        <f t="shared" si="19"/>
        <v>13759700</v>
      </c>
    </row>
    <row r="311" spans="1:12" ht="78.75" x14ac:dyDescent="0.2">
      <c r="A311" s="157" t="str">
        <f>IF(B311&gt;0,VLOOKUP(B311,КВСР!A240:B1405,2),IF(C311&gt;0,VLOOKUP(C311,КФСР!A240:B1752,2),IF(D311&gt;0,VLOOKUP(D311,Программа!A$1:B$5100,2),IF(F311&gt;0,VLOOKUP(F311,КВР!A$1:B$5001,2),IF(E311&gt;0,VLOOKUP(E311,Направление!A$1:B$4830,2))))))</f>
        <v xml:space="preserve">Ведомственная целевая программа «Социальная поддержка населения Тутаевского муниципального района» </v>
      </c>
      <c r="B311" s="158"/>
      <c r="C311" s="153"/>
      <c r="D311" s="154" t="s">
        <v>768</v>
      </c>
      <c r="E311" s="153"/>
      <c r="F311" s="155"/>
      <c r="G311" s="504">
        <v>13759700</v>
      </c>
      <c r="H311" s="159">
        <f>H312+H319</f>
        <v>0</v>
      </c>
      <c r="I311" s="159">
        <f t="shared" si="18"/>
        <v>13759700</v>
      </c>
      <c r="J311" s="504">
        <v>13759700</v>
      </c>
      <c r="K311" s="159">
        <f>K312+K319</f>
        <v>0</v>
      </c>
      <c r="L311" s="159">
        <f t="shared" si="19"/>
        <v>13759700</v>
      </c>
    </row>
    <row r="312" spans="1:12" ht="63" x14ac:dyDescent="0.2">
      <c r="A312" s="157" t="str">
        <f>IF(B312&gt;0,VLOOKUP(B312,КВСР!A241:B1406,2),IF(C312&gt;0,VLOOKUP(C312,КФСР!A241:B1753,2),IF(D312&gt;0,VLOOKUP(D312,Программа!A$1:B$5100,2),IF(F312&gt;0,VLOOKUP(F312,КВР!A$1:B$5001,2),IF(E312&gt;0,VLOOKUP(E312,Направление!A$1:B$4830,2))))))</f>
        <v>Исполнение публичных обязательств по предоставлению выплат, пособий и компенсаций</v>
      </c>
      <c r="B312" s="158"/>
      <c r="C312" s="153"/>
      <c r="D312" s="154" t="s">
        <v>770</v>
      </c>
      <c r="E312" s="153"/>
      <c r="F312" s="155"/>
      <c r="G312" s="504">
        <v>13434700</v>
      </c>
      <c r="H312" s="159">
        <f>H313+H315</f>
        <v>0</v>
      </c>
      <c r="I312" s="159">
        <f t="shared" si="18"/>
        <v>13434700</v>
      </c>
      <c r="J312" s="504">
        <v>13434700</v>
      </c>
      <c r="K312" s="159">
        <f>K313+K315</f>
        <v>0</v>
      </c>
      <c r="L312" s="159">
        <f t="shared" si="19"/>
        <v>13434700</v>
      </c>
    </row>
    <row r="313" spans="1:12" ht="31.5" x14ac:dyDescent="0.2">
      <c r="A313" s="157" t="str">
        <f>IF(B313&gt;0,VLOOKUP(B313,КВСР!A242:B1407,2),IF(C313&gt;0,VLOOKUP(C313,КФСР!A242:B1754,2),IF(D313&gt;0,VLOOKUP(D313,Программа!A$1:B$5100,2),IF(F313&gt;0,VLOOKUP(F313,КВР!A$1:B$5001,2),IF(E313&gt;0,VLOOKUP(E313,Направление!A$1:B$4830,2))))))</f>
        <v>Содержание центрального аппарата</v>
      </c>
      <c r="B313" s="158"/>
      <c r="C313" s="153"/>
      <c r="D313" s="154"/>
      <c r="E313" s="153">
        <v>12010</v>
      </c>
      <c r="F313" s="155"/>
      <c r="G313" s="504">
        <v>347700</v>
      </c>
      <c r="H313" s="159">
        <f>H314</f>
        <v>0</v>
      </c>
      <c r="I313" s="159">
        <f t="shared" si="18"/>
        <v>347700</v>
      </c>
      <c r="J313" s="504">
        <v>347700</v>
      </c>
      <c r="K313" s="159">
        <f>K314</f>
        <v>0</v>
      </c>
      <c r="L313" s="159">
        <f t="shared" si="19"/>
        <v>347700</v>
      </c>
    </row>
    <row r="314" spans="1:12" ht="173.25" x14ac:dyDescent="0.2">
      <c r="A314" s="157" t="str">
        <f>IF(B314&gt;0,VLOOKUP(B314,КВСР!A242:B1407,2),IF(C314&gt;0,VLOOKUP(C314,КФСР!A242:B1754,2),IF(D314&gt;0,VLOOKUP(D314,Программа!A$1:B$5100,2),IF(F314&gt;0,VLOOKUP(F314,КВР!A$1:B$5001,2),IF(E314&gt;0,VLOOKUP(E314,Направление!A$1:B$4830,2))))))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4" s="158"/>
      <c r="C314" s="153"/>
      <c r="D314" s="154"/>
      <c r="E314" s="153"/>
      <c r="F314" s="155">
        <v>100</v>
      </c>
      <c r="G314" s="495">
        <v>347700</v>
      </c>
      <c r="H314" s="194"/>
      <c r="I314" s="159">
        <f t="shared" si="18"/>
        <v>347700</v>
      </c>
      <c r="J314" s="495">
        <v>347700</v>
      </c>
      <c r="K314" s="194"/>
      <c r="L314" s="159">
        <f t="shared" si="19"/>
        <v>347700</v>
      </c>
    </row>
    <row r="315" spans="1:12" ht="94.5" x14ac:dyDescent="0.2">
      <c r="A315" s="157" t="str">
        <f>IF(B315&gt;0,VLOOKUP(B315,КВСР!A244:B1409,2),IF(C315&gt;0,VLOOKUP(C315,КФСР!A244:B1756,2),IF(D315&gt;0,VLOOKUP(D315,Программа!A$1:B$5100,2),IF(F315&gt;0,VLOOKUP(F315,КВР!A$1:B$5001,2),IF(E315&gt;0,VLOOKUP(E315,Направление!A$1:B$4830,2))))))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15" s="158"/>
      <c r="C315" s="153"/>
      <c r="D315" s="154"/>
      <c r="E315" s="153">
        <v>70870</v>
      </c>
      <c r="F315" s="155"/>
      <c r="G315" s="504">
        <v>13087000</v>
      </c>
      <c r="H315" s="159">
        <f>H316+H317+H318</f>
        <v>0</v>
      </c>
      <c r="I315" s="159">
        <f t="shared" si="18"/>
        <v>13087000</v>
      </c>
      <c r="J315" s="504">
        <v>13087000</v>
      </c>
      <c r="K315" s="159">
        <f>K316+K317+K318</f>
        <v>0</v>
      </c>
      <c r="L315" s="159">
        <f t="shared" si="19"/>
        <v>13087000</v>
      </c>
    </row>
    <row r="316" spans="1:12" ht="173.25" x14ac:dyDescent="0.2">
      <c r="A316" s="157" t="str">
        <f>IF(B316&gt;0,VLOOKUP(B316,КВСР!A245:B1410,2),IF(C316&gt;0,VLOOKUP(C316,КФСР!A245:B1757,2),IF(D316&gt;0,VLOOKUP(D316,Программа!A$1:B$5100,2),IF(F316&gt;0,VLOOKUP(F316,КВР!A$1:B$5001,2),IF(E316&gt;0,VLOOKUP(E316,Направление!A$1:B$4830,2))))))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6" s="158"/>
      <c r="C316" s="153"/>
      <c r="D316" s="154"/>
      <c r="E316" s="153"/>
      <c r="F316" s="155">
        <v>100</v>
      </c>
      <c r="G316" s="495">
        <v>10866500</v>
      </c>
      <c r="H316" s="194"/>
      <c r="I316" s="159">
        <f t="shared" si="18"/>
        <v>10866500</v>
      </c>
      <c r="J316" s="495">
        <v>10866500</v>
      </c>
      <c r="K316" s="194"/>
      <c r="L316" s="159">
        <f t="shared" si="19"/>
        <v>10866500</v>
      </c>
    </row>
    <row r="317" spans="1:12" ht="78.75" x14ac:dyDescent="0.2">
      <c r="A317" s="157" t="str">
        <f>IF(B317&gt;0,VLOOKUP(B317,КВСР!A246:B1411,2),IF(C317&gt;0,VLOOKUP(C317,КФСР!A246:B1758,2),IF(D317&gt;0,VLOOKUP(D317,Программа!A$1:B$5100,2),IF(F317&gt;0,VLOOKUP(F317,КВР!A$1:B$5001,2),IF(E317&gt;0,VLOOKUP(E317,Направление!A$1:B$4830,2))))))</f>
        <v xml:space="preserve">Закупка товаров, работ и услуг для обеспечения государственных (муниципальных) нужд
</v>
      </c>
      <c r="B317" s="158"/>
      <c r="C317" s="153"/>
      <c r="D317" s="154"/>
      <c r="E317" s="153"/>
      <c r="F317" s="155">
        <v>200</v>
      </c>
      <c r="G317" s="495">
        <v>2200000</v>
      </c>
      <c r="H317" s="194"/>
      <c r="I317" s="159">
        <f t="shared" si="18"/>
        <v>2200000</v>
      </c>
      <c r="J317" s="495">
        <v>2200000</v>
      </c>
      <c r="K317" s="194"/>
      <c r="L317" s="159">
        <f t="shared" si="19"/>
        <v>2200000</v>
      </c>
    </row>
    <row r="318" spans="1:12" ht="31.5" x14ac:dyDescent="0.2">
      <c r="A318" s="157" t="str">
        <f>IF(B318&gt;0,VLOOKUP(B318,КВСР!A247:B1412,2),IF(C318&gt;0,VLOOKUP(C318,КФСР!A247:B1759,2),IF(D318&gt;0,VLOOKUP(D318,Программа!A$1:B$5100,2),IF(F318&gt;0,VLOOKUP(F318,КВР!A$1:B$5001,2),IF(E318&gt;0,VLOOKUP(E318,Направление!A$1:B$4830,2))))))</f>
        <v>Иные бюджетные ассигнования</v>
      </c>
      <c r="B318" s="158"/>
      <c r="C318" s="153"/>
      <c r="D318" s="154"/>
      <c r="E318" s="153"/>
      <c r="F318" s="155">
        <v>800</v>
      </c>
      <c r="G318" s="495">
        <v>20500</v>
      </c>
      <c r="H318" s="194"/>
      <c r="I318" s="159">
        <f t="shared" si="18"/>
        <v>20500</v>
      </c>
      <c r="J318" s="495">
        <v>20500</v>
      </c>
      <c r="K318" s="194"/>
      <c r="L318" s="159">
        <f t="shared" si="19"/>
        <v>20500</v>
      </c>
    </row>
    <row r="319" spans="1:12" ht="47.25" x14ac:dyDescent="0.2">
      <c r="A319" s="157" t="str">
        <f>IF(B319&gt;0,VLOOKUP(B319,КВСР!A248:B1413,2),IF(C319&gt;0,VLOOKUP(C319,КФСР!A248:B1760,2),IF(D319&gt;0,VLOOKUP(D319,Программа!A$1:B$5100,2),IF(F319&gt;0,VLOOKUP(F319,КВР!A$1:B$5001,2),IF(E319&gt;0,VLOOKUP(E319,Направление!A$1:B$4830,2))))))</f>
        <v>Информационное обеспечение реализации мероприятий программы</v>
      </c>
      <c r="B319" s="158"/>
      <c r="C319" s="153"/>
      <c r="D319" s="154" t="s">
        <v>3213</v>
      </c>
      <c r="E319" s="153"/>
      <c r="F319" s="155"/>
      <c r="G319" s="504">
        <v>325000</v>
      </c>
      <c r="H319" s="538">
        <f>H320</f>
        <v>0</v>
      </c>
      <c r="I319" s="159">
        <f t="shared" si="18"/>
        <v>325000</v>
      </c>
      <c r="J319" s="504">
        <v>325000</v>
      </c>
      <c r="K319" s="538">
        <f>K320</f>
        <v>0</v>
      </c>
      <c r="L319" s="159">
        <f t="shared" si="19"/>
        <v>325000</v>
      </c>
    </row>
    <row r="320" spans="1:12" ht="94.5" x14ac:dyDescent="0.2">
      <c r="A320" s="157" t="str">
        <f>IF(B320&gt;0,VLOOKUP(B320,КВСР!A249:B1414,2),IF(C320&gt;0,VLOOKUP(C320,КФСР!A249:B1761,2),IF(D320&gt;0,VLOOKUP(D320,Программа!A$1:B$5100,2),IF(F320&gt;0,VLOOKUP(F320,КВР!A$1:B$5001,2),IF(E320&gt;0,VLOOKUP(E320,Направление!A$1:B$4830,2))))))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20" s="158"/>
      <c r="C320" s="153"/>
      <c r="D320" s="154"/>
      <c r="E320" s="153">
        <v>70870</v>
      </c>
      <c r="F320" s="155"/>
      <c r="G320" s="504">
        <v>325000</v>
      </c>
      <c r="H320" s="538">
        <f>H321</f>
        <v>0</v>
      </c>
      <c r="I320" s="159">
        <f t="shared" si="18"/>
        <v>325000</v>
      </c>
      <c r="J320" s="504">
        <v>325000</v>
      </c>
      <c r="K320" s="538">
        <f>K321</f>
        <v>0</v>
      </c>
      <c r="L320" s="159">
        <f t="shared" si="19"/>
        <v>325000</v>
      </c>
    </row>
    <row r="321" spans="1:12" ht="78.75" x14ac:dyDescent="0.2">
      <c r="A321" s="157" t="str">
        <f>IF(B321&gt;0,VLOOKUP(B321,КВСР!A250:B1415,2),IF(C321&gt;0,VLOOKUP(C321,КФСР!A250:B1762,2),IF(D321&gt;0,VLOOKUP(D321,Программа!A$1:B$5100,2),IF(F321&gt;0,VLOOKUP(F321,КВР!A$1:B$5001,2),IF(E321&gt;0,VLOOKUP(E321,Направление!A$1:B$4830,2))))))</f>
        <v xml:space="preserve">Закупка товаров, работ и услуг для обеспечения государственных (муниципальных) нужд
</v>
      </c>
      <c r="B321" s="158"/>
      <c r="C321" s="153"/>
      <c r="D321" s="154"/>
      <c r="E321" s="153"/>
      <c r="F321" s="155">
        <v>200</v>
      </c>
      <c r="G321" s="495">
        <v>325000</v>
      </c>
      <c r="H321" s="194"/>
      <c r="I321" s="159">
        <f t="shared" si="18"/>
        <v>325000</v>
      </c>
      <c r="J321" s="495">
        <v>325000</v>
      </c>
      <c r="K321" s="194"/>
      <c r="L321" s="159">
        <f t="shared" si="19"/>
        <v>325000</v>
      </c>
    </row>
    <row r="322" spans="1:12" ht="31.5" x14ac:dyDescent="0.2">
      <c r="A322" s="151" t="str">
        <f>IF(B322&gt;0,VLOOKUP(B322,КВСР!A247:B1412,2),IF(C322&gt;0,VLOOKUP(C322,КФСР!A247:B1759,2),IF(D322&gt;0,VLOOKUP(D322,Программа!A$1:B$5100,2),IF(F322&gt;0,VLOOKUP(F322,КВР!A$1:B$5001,2),IF(E322&gt;0,VLOOKUP(E322,Направление!A$1:B$4830,2))))))</f>
        <v>Департамент финансов администрации ТМР</v>
      </c>
      <c r="B322" s="152">
        <v>955</v>
      </c>
      <c r="C322" s="153"/>
      <c r="D322" s="154"/>
      <c r="E322" s="153"/>
      <c r="F322" s="155"/>
      <c r="G322" s="610">
        <v>17080692</v>
      </c>
      <c r="H322" s="610">
        <f>H323+H341+H345+H337+H332</f>
        <v>0</v>
      </c>
      <c r="I322" s="610">
        <f>I323+I341+I345+I337+I332</f>
        <v>17080692</v>
      </c>
      <c r="J322" s="610">
        <v>17075008</v>
      </c>
      <c r="K322" s="610">
        <f>K323+K341+K345+K337+K332</f>
        <v>0</v>
      </c>
      <c r="L322" s="610">
        <f>L323+L341+L345+L337+L332</f>
        <v>17075008</v>
      </c>
    </row>
    <row r="323" spans="1:12" ht="94.5" x14ac:dyDescent="0.2">
      <c r="A323" s="157" t="str">
        <f>IF(B323&gt;0,VLOOKUP(B323,КВСР!A248:B1413,2),IF(C323&gt;0,VLOOKUP(C323,КФСР!A248:B1760,2),IF(D323&gt;0,VLOOKUP(D323,Программа!A$1:B$5100,2),IF(F323&gt;0,VLOOKUP(F323,КВР!A$1:B$5001,2),IF(E323&gt;0,VLOOKUP(E323,Направление!A$1:B$4830,2))))))</f>
        <v>Обеспечение деятельности финансовых, налоговых и таможенных органов и органов финансового (финансово-бюджетного) надзора</v>
      </c>
      <c r="B323" s="158"/>
      <c r="C323" s="153">
        <v>106</v>
      </c>
      <c r="D323" s="154"/>
      <c r="E323" s="153"/>
      <c r="F323" s="155"/>
      <c r="G323" s="504">
        <v>12956214</v>
      </c>
      <c r="H323" s="504">
        <f>H324</f>
        <v>0</v>
      </c>
      <c r="I323" s="504">
        <f>I324</f>
        <v>12956214</v>
      </c>
      <c r="J323" s="504">
        <v>12956214</v>
      </c>
      <c r="K323" s="504">
        <f>K324</f>
        <v>0</v>
      </c>
      <c r="L323" s="504">
        <f>L324</f>
        <v>12956214</v>
      </c>
    </row>
    <row r="324" spans="1:12" ht="31.5" x14ac:dyDescent="0.2">
      <c r="A324" s="157" t="str">
        <f>IF(B324&gt;0,VLOOKUP(B324,КВСР!A249:B1414,2),IF(C324&gt;0,VLOOKUP(C324,КФСР!A249:B1761,2),IF(D324&gt;0,VLOOKUP(D324,Программа!A$1:B$5100,2),IF(F324&gt;0,VLOOKUP(F324,КВР!A$1:B$5001,2),IF(E324&gt;0,VLOOKUP(E324,Направление!A$1:B$4830,2))))))</f>
        <v>Непрограммные расходы бюджета</v>
      </c>
      <c r="B324" s="158"/>
      <c r="C324" s="153"/>
      <c r="D324" s="154" t="s">
        <v>626</v>
      </c>
      <c r="E324" s="153"/>
      <c r="F324" s="155"/>
      <c r="G324" s="504">
        <v>12956214</v>
      </c>
      <c r="H324" s="504">
        <f>H325</f>
        <v>0</v>
      </c>
      <c r="I324" s="504">
        <f>I325</f>
        <v>12956214</v>
      </c>
      <c r="J324" s="504">
        <v>12956214</v>
      </c>
      <c r="K324" s="504">
        <f>K325</f>
        <v>0</v>
      </c>
      <c r="L324" s="504">
        <f>L325</f>
        <v>12956214</v>
      </c>
    </row>
    <row r="325" spans="1:12" ht="31.5" x14ac:dyDescent="0.2">
      <c r="A325" s="157" t="str">
        <f>IF(B325&gt;0,VLOOKUP(B325,КВСР!A252:B1417,2),IF(C325&gt;0,VLOOKUP(C325,КФСР!A252:B1764,2),IF(D325&gt;0,VLOOKUP(D325,Программа!A$1:B$5100,2),IF(F325&gt;0,VLOOKUP(F325,КВР!A$1:B$5001,2),IF(E325&gt;0,VLOOKUP(E325,Направление!A$1:B$4830,2))))))</f>
        <v>Содержание центрального аппарата</v>
      </c>
      <c r="B325" s="158"/>
      <c r="C325" s="153"/>
      <c r="D325" s="154"/>
      <c r="E325" s="153">
        <v>12010</v>
      </c>
      <c r="F325" s="155"/>
      <c r="G325" s="504">
        <v>12956214</v>
      </c>
      <c r="H325" s="504">
        <f>H326+H327+H328</f>
        <v>0</v>
      </c>
      <c r="I325" s="504">
        <f>I326+I327+I328</f>
        <v>12956214</v>
      </c>
      <c r="J325" s="504">
        <v>12956214</v>
      </c>
      <c r="K325" s="504">
        <f>K326+K327+K328</f>
        <v>0</v>
      </c>
      <c r="L325" s="504">
        <f>L326+L327+L328</f>
        <v>12956214</v>
      </c>
    </row>
    <row r="326" spans="1:12" ht="173.25" x14ac:dyDescent="0.2">
      <c r="A326" s="157" t="str">
        <f>IF(B326&gt;0,VLOOKUP(B326,КВСР!A251:B1416,2),IF(C326&gt;0,VLOOKUP(C326,КФСР!A251:B1763,2),IF(D326&gt;0,VLOOKUP(D326,Программа!A$1:B$5100,2),IF(F326&gt;0,VLOOKUP(F326,КВР!A$1:B$5001,2),IF(E326&gt;0,VLOOKUP(E326,Направление!A$1:B$4830,2))))))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6" s="158"/>
      <c r="C326" s="153"/>
      <c r="D326" s="154"/>
      <c r="E326" s="153"/>
      <c r="F326" s="155">
        <v>100</v>
      </c>
      <c r="G326" s="495">
        <v>11481495</v>
      </c>
      <c r="H326" s="194"/>
      <c r="I326" s="159">
        <f t="shared" si="18"/>
        <v>11481495</v>
      </c>
      <c r="J326" s="495">
        <v>11481495</v>
      </c>
      <c r="K326" s="194"/>
      <c r="L326" s="159">
        <f t="shared" si="19"/>
        <v>11481495</v>
      </c>
    </row>
    <row r="327" spans="1:12" ht="78.75" x14ac:dyDescent="0.2">
      <c r="A327" s="157" t="str">
        <f>IF(B327&gt;0,VLOOKUP(B327,КВСР!A252:B1417,2),IF(C327&gt;0,VLOOKUP(C327,КФСР!A252:B1764,2),IF(D327&gt;0,VLOOKUP(D327,Программа!A$1:B$5100,2),IF(F327&gt;0,VLOOKUP(F327,КВР!A$1:B$5001,2),IF(E327&gt;0,VLOOKUP(E327,Направление!A$1:B$4830,2))))))</f>
        <v xml:space="preserve">Закупка товаров, работ и услуг для обеспечения государственных (муниципальных) нужд
</v>
      </c>
      <c r="B327" s="158"/>
      <c r="C327" s="153"/>
      <c r="D327" s="154"/>
      <c r="E327" s="153"/>
      <c r="F327" s="155">
        <v>200</v>
      </c>
      <c r="G327" s="495">
        <v>1437219</v>
      </c>
      <c r="H327" s="194"/>
      <c r="I327" s="159">
        <f t="shared" si="18"/>
        <v>1437219</v>
      </c>
      <c r="J327" s="495">
        <v>1437219</v>
      </c>
      <c r="K327" s="194"/>
      <c r="L327" s="159">
        <f t="shared" si="19"/>
        <v>1437219</v>
      </c>
    </row>
    <row r="328" spans="1:12" ht="31.5" x14ac:dyDescent="0.2">
      <c r="A328" s="157" t="str">
        <f>IF(B328&gt;0,VLOOKUP(B328,КВСР!A253:B1418,2),IF(C328&gt;0,VLOOKUP(C328,КФСР!A253:B1765,2),IF(D328&gt;0,VLOOKUP(D328,Программа!A$1:B$5100,2),IF(F328&gt;0,VLOOKUP(F328,КВР!A$1:B$5001,2),IF(E328&gt;0,VLOOKUP(E328,Направление!A$1:B$4830,2))))))</f>
        <v>Иные бюджетные ассигнования</v>
      </c>
      <c r="B328" s="158"/>
      <c r="C328" s="153"/>
      <c r="D328" s="154"/>
      <c r="E328" s="153"/>
      <c r="F328" s="155">
        <v>800</v>
      </c>
      <c r="G328" s="495">
        <v>37500</v>
      </c>
      <c r="H328" s="194"/>
      <c r="I328" s="159">
        <f t="shared" si="18"/>
        <v>37500</v>
      </c>
      <c r="J328" s="495">
        <v>37500</v>
      </c>
      <c r="K328" s="194"/>
      <c r="L328" s="159">
        <f t="shared" si="19"/>
        <v>37500</v>
      </c>
    </row>
    <row r="329" spans="1:12" ht="47.25" hidden="1" x14ac:dyDescent="0.2">
      <c r="A329" s="157" t="str">
        <f>IF(B329&gt;0,VLOOKUP(B329,КВСР!A252:B1417,2),IF(C329&gt;0,VLOOKUP(C329,КФСР!A252:B1764,2),IF(D329&gt;0,VLOOKUP(D329,Программа!A$1:B$5100,2),IF(F329&gt;0,VLOOKUP(F329,КВР!A$1:B$5001,2),IF(E329&gt;0,VLOOKUP(E329,Направление!A$1:B$4830,2))))))</f>
        <v>Содержание органов местного самоуправления за счет средств поселений</v>
      </c>
      <c r="B329" s="158"/>
      <c r="C329" s="153"/>
      <c r="D329" s="154"/>
      <c r="E329" s="153">
        <v>29016</v>
      </c>
      <c r="F329" s="155"/>
      <c r="G329" s="504">
        <v>0</v>
      </c>
      <c r="H329" s="159">
        <f>H330+H331</f>
        <v>0</v>
      </c>
      <c r="I329" s="159">
        <f t="shared" si="18"/>
        <v>0</v>
      </c>
      <c r="J329" s="504">
        <v>0</v>
      </c>
      <c r="K329" s="159">
        <f>K330+K331</f>
        <v>0</v>
      </c>
      <c r="L329" s="159">
        <f t="shared" si="19"/>
        <v>0</v>
      </c>
    </row>
    <row r="330" spans="1:12" ht="173.25" hidden="1" x14ac:dyDescent="0.2">
      <c r="A330" s="157" t="str">
        <f>IF(B330&gt;0,VLOOKUP(B330,КВСР!A253:B1418,2),IF(C330&gt;0,VLOOKUP(C330,КФСР!A253:B1765,2),IF(D330&gt;0,VLOOKUP(D330,Программа!A$1:B$5100,2),IF(F330&gt;0,VLOOKUP(F330,КВР!A$1:B$5001,2),IF(E330&gt;0,VLOOKUP(E330,Направление!A$1:B$4830,2))))))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30" s="158"/>
      <c r="C330" s="153"/>
      <c r="D330" s="154"/>
      <c r="E330" s="153"/>
      <c r="F330" s="155">
        <v>100</v>
      </c>
      <c r="G330" s="495">
        <v>0</v>
      </c>
      <c r="H330" s="194"/>
      <c r="I330" s="159">
        <f t="shared" si="18"/>
        <v>0</v>
      </c>
      <c r="J330" s="495">
        <v>0</v>
      </c>
      <c r="K330" s="194"/>
      <c r="L330" s="159">
        <f t="shared" si="19"/>
        <v>0</v>
      </c>
    </row>
    <row r="331" spans="1:12" ht="78.75" hidden="1" x14ac:dyDescent="0.2">
      <c r="A331" s="157" t="str">
        <f>IF(B331&gt;0,VLOOKUP(B331,КВСР!A254:B1419,2),IF(C331&gt;0,VLOOKUP(C331,КФСР!A254:B1766,2),IF(D331&gt;0,VLOOKUP(D331,Программа!A$1:B$5100,2),IF(F331&gt;0,VLOOKUP(F331,КВР!A$1:B$5001,2),IF(E331&gt;0,VLOOKUP(E331,Направление!A$1:B$4830,2))))))</f>
        <v xml:space="preserve">Закупка товаров, работ и услуг для обеспечения государственных (муниципальных) нужд
</v>
      </c>
      <c r="B331" s="158"/>
      <c r="C331" s="153"/>
      <c r="D331" s="154"/>
      <c r="E331" s="153"/>
      <c r="F331" s="155">
        <v>200</v>
      </c>
      <c r="G331" s="495">
        <v>0</v>
      </c>
      <c r="H331" s="194"/>
      <c r="I331" s="159">
        <f t="shared" si="18"/>
        <v>0</v>
      </c>
      <c r="J331" s="495">
        <v>0</v>
      </c>
      <c r="K331" s="194"/>
      <c r="L331" s="159">
        <f t="shared" si="19"/>
        <v>0</v>
      </c>
    </row>
    <row r="332" spans="1:12" ht="47.25" x14ac:dyDescent="0.2">
      <c r="A332" s="157" t="str">
        <f>IF(B332&gt;0,VLOOKUP(B332,КВСР!A255:B1420,2),IF(C332&gt;0,VLOOKUP(C332,КФСР!A255:B1767,2),IF(D332&gt;0,VLOOKUP(D332,Программа!A$1:B$5100,2),IF(F332&gt;0,VLOOKUP(F332,КВР!A$1:B$5001,2),IF(E332&gt;0,VLOOKUP(E332,Направление!A$1:B$4830,2))))))</f>
        <v>Другие общегосударственные вопросы</v>
      </c>
      <c r="B332" s="158"/>
      <c r="C332" s="153">
        <v>113</v>
      </c>
      <c r="D332" s="154"/>
      <c r="E332" s="153"/>
      <c r="F332" s="155"/>
      <c r="G332" s="495">
        <v>1343800</v>
      </c>
      <c r="H332" s="495">
        <f t="shared" ref="H332:L335" si="20">H333</f>
        <v>0</v>
      </c>
      <c r="I332" s="495">
        <f t="shared" si="20"/>
        <v>1343800</v>
      </c>
      <c r="J332" s="495">
        <v>1343800</v>
      </c>
      <c r="K332" s="495">
        <f t="shared" si="20"/>
        <v>0</v>
      </c>
      <c r="L332" s="495">
        <f t="shared" si="20"/>
        <v>1343800</v>
      </c>
    </row>
    <row r="333" spans="1:12" ht="110.25" x14ac:dyDescent="0.2">
      <c r="A333" s="157" t="str">
        <f>IF(B333&gt;0,VLOOKUP(B333,КВСР!A256:B1421,2),IF(C333&gt;0,VLOOKUP(C333,КФСР!A256:B1768,2),IF(D333&gt;0,VLOOKUP(D333,Программа!A$1:B$5100,2),IF(F333&gt;0,VLOOKUP(F333,КВР!A$1:B$5001,2),IF(E333&gt;0,VLOOKUP(E333,Направление!A$1:B$4830,2))))))</f>
        <v>Муниципальная программа "Информатизация управленческой деятельности Администрации Тутаевского муниципального района"</v>
      </c>
      <c r="B333" s="158"/>
      <c r="C333" s="153"/>
      <c r="D333" s="154" t="s">
        <v>642</v>
      </c>
      <c r="E333" s="153"/>
      <c r="F333" s="155"/>
      <c r="G333" s="495">
        <v>1343800</v>
      </c>
      <c r="H333" s="495">
        <f t="shared" si="20"/>
        <v>0</v>
      </c>
      <c r="I333" s="495">
        <f t="shared" si="20"/>
        <v>1343800</v>
      </c>
      <c r="J333" s="495">
        <v>1343800</v>
      </c>
      <c r="K333" s="495">
        <f t="shared" si="20"/>
        <v>0</v>
      </c>
      <c r="L333" s="495">
        <f t="shared" si="20"/>
        <v>1343800</v>
      </c>
    </row>
    <row r="334" spans="1:12" ht="47.25" x14ac:dyDescent="0.2">
      <c r="A334" s="157" t="str">
        <f>IF(B334&gt;0,VLOOKUP(B334,КВСР!A257:B1422,2),IF(C334&gt;0,VLOOKUP(C334,КФСР!A257:B1769,2),IF(D334&gt;0,VLOOKUP(D334,Программа!A$1:B$5100,2),IF(F334&gt;0,VLOOKUP(F334,КВР!A$1:B$5001,2),IF(E334&gt;0,VLOOKUP(E334,Направление!A$1:B$4830,2))))))</f>
        <v>Бесперебойное функционирование информационных систем</v>
      </c>
      <c r="B334" s="158"/>
      <c r="C334" s="153"/>
      <c r="D334" s="154" t="s">
        <v>679</v>
      </c>
      <c r="E334" s="153"/>
      <c r="F334" s="155"/>
      <c r="G334" s="495">
        <v>1343800</v>
      </c>
      <c r="H334" s="495">
        <f t="shared" si="20"/>
        <v>0</v>
      </c>
      <c r="I334" s="495">
        <f t="shared" si="20"/>
        <v>1343800</v>
      </c>
      <c r="J334" s="495">
        <v>1343800</v>
      </c>
      <c r="K334" s="495">
        <f t="shared" si="20"/>
        <v>0</v>
      </c>
      <c r="L334" s="495">
        <f t="shared" si="20"/>
        <v>1343800</v>
      </c>
    </row>
    <row r="335" spans="1:12" ht="47.25" x14ac:dyDescent="0.2">
      <c r="A335" s="157" t="str">
        <f>IF(B335&gt;0,VLOOKUP(B335,КВСР!A258:B1423,2),IF(C335&gt;0,VLOOKUP(C335,КФСР!A258:B1770,2),IF(D335&gt;0,VLOOKUP(D335,Программа!A$1:B$5100,2),IF(F335&gt;0,VLOOKUP(F335,КВР!A$1:B$5001,2),IF(E335&gt;0,VLOOKUP(E335,Направление!A$1:B$4830,2))))))</f>
        <v>Расходы на проведение мероприятий по информатизации</v>
      </c>
      <c r="B335" s="158"/>
      <c r="C335" s="153"/>
      <c r="D335" s="154"/>
      <c r="E335" s="153">
        <v>12210</v>
      </c>
      <c r="F335" s="155"/>
      <c r="G335" s="495">
        <v>1343800</v>
      </c>
      <c r="H335" s="495">
        <f t="shared" si="20"/>
        <v>0</v>
      </c>
      <c r="I335" s="495">
        <f t="shared" si="20"/>
        <v>1343800</v>
      </c>
      <c r="J335" s="495">
        <v>1343800</v>
      </c>
      <c r="K335" s="495">
        <f t="shared" si="20"/>
        <v>0</v>
      </c>
      <c r="L335" s="495">
        <f t="shared" si="20"/>
        <v>1343800</v>
      </c>
    </row>
    <row r="336" spans="1:12" ht="78.75" x14ac:dyDescent="0.2">
      <c r="A336" s="157" t="str">
        <f>IF(B336&gt;0,VLOOKUP(B336,КВСР!A258:B1423,2),IF(C336&gt;0,VLOOKUP(C336,КФСР!A258:B1770,2),IF(D336&gt;0,VLOOKUP(D336,Программа!A$1:B$5100,2),IF(F336&gt;0,VLOOKUP(F336,КВР!A$1:B$5001,2),IF(E336&gt;0,VLOOKUP(E336,Направление!A$1:B$4830,2))))))</f>
        <v xml:space="preserve">Закупка товаров, работ и услуг для обеспечения государственных (муниципальных) нужд
</v>
      </c>
      <c r="B336" s="158"/>
      <c r="C336" s="153"/>
      <c r="D336" s="154"/>
      <c r="E336" s="153"/>
      <c r="F336" s="155">
        <v>200</v>
      </c>
      <c r="G336" s="495">
        <v>1343800</v>
      </c>
      <c r="H336" s="194"/>
      <c r="I336" s="159">
        <f t="shared" si="18"/>
        <v>1343800</v>
      </c>
      <c r="J336" s="495">
        <v>1343800</v>
      </c>
      <c r="K336" s="194"/>
      <c r="L336" s="159">
        <f t="shared" si="19"/>
        <v>1343800</v>
      </c>
    </row>
    <row r="337" spans="1:12" ht="31.5" x14ac:dyDescent="0.2">
      <c r="A337" s="157" t="str">
        <f>IF(B337&gt;0,VLOOKUP(B337,КВСР!A258:B1423,2),IF(C337&gt;0,VLOOKUP(C337,КФСР!A258:B1770,2),IF(D337&gt;0,VLOOKUP(D337,Программа!A$1:B$5100,2),IF(F337&gt;0,VLOOKUP(F337,КВР!A$1:B$5001,2),IF(E337&gt;0,VLOOKUP(E337,Направление!A$1:B$4830,2))))))</f>
        <v>Мобилизационная и вневойсковая подготовка</v>
      </c>
      <c r="B337" s="158"/>
      <c r="C337" s="153">
        <v>203</v>
      </c>
      <c r="D337" s="154"/>
      <c r="E337" s="153"/>
      <c r="F337" s="155"/>
      <c r="G337" s="495">
        <v>747678</v>
      </c>
      <c r="H337" s="495">
        <f>H338</f>
        <v>0</v>
      </c>
      <c r="I337" s="159">
        <f t="shared" si="18"/>
        <v>747678</v>
      </c>
      <c r="J337" s="495">
        <v>774994</v>
      </c>
      <c r="K337" s="495">
        <f>K338</f>
        <v>0</v>
      </c>
      <c r="L337" s="159">
        <f t="shared" si="19"/>
        <v>774994</v>
      </c>
    </row>
    <row r="338" spans="1:12" ht="47.25" x14ac:dyDescent="0.2">
      <c r="A338" s="157" t="str">
        <f>IF(B338&gt;0,VLOOKUP(B338,КВСР!A259:B1424,2),IF(C338&gt;0,VLOOKUP(C338,КФСР!A259:B1771,2),IF(D338&gt;0,VLOOKUP(D338,Программа!A$1:B$5100,2),IF(F338&gt;0,VLOOKUP(F338,КВР!A$1:B$5001,2),IF(E338&gt;0,VLOOKUP(E338,Направление!A$1:B$4830,2))))))</f>
        <v>Межбюджетные трансферты  поселениям района</v>
      </c>
      <c r="B338" s="158"/>
      <c r="C338" s="153"/>
      <c r="D338" s="154" t="s">
        <v>801</v>
      </c>
      <c r="E338" s="153"/>
      <c r="F338" s="155"/>
      <c r="G338" s="495">
        <v>747678</v>
      </c>
      <c r="H338" s="495">
        <f>H339</f>
        <v>0</v>
      </c>
      <c r="I338" s="159">
        <f t="shared" si="18"/>
        <v>747678</v>
      </c>
      <c r="J338" s="495">
        <v>774994</v>
      </c>
      <c r="K338" s="495">
        <f>K339</f>
        <v>0</v>
      </c>
      <c r="L338" s="159">
        <f t="shared" si="19"/>
        <v>774994</v>
      </c>
    </row>
    <row r="339" spans="1:12" ht="94.5" x14ac:dyDescent="0.2">
      <c r="A339" s="157" t="str">
        <f>IF(B339&gt;0,VLOOKUP(B339,КВСР!A260:B1425,2),IF(C339&gt;0,VLOOKUP(C339,КФСР!A260:B1772,2),IF(D339&gt;0,VLOOKUP(D339,Программа!A$1:B$5100,2),IF(F339&gt;0,VLOOKUP(F339,КВР!A$1:B$5001,2),IF(E339&gt;0,VLOOKUP(E339,Направление!A$1:B$4830,2))))))</f>
        <v>Субвенция  на осуществление первичного воинского учета на территориях, где отсутствуют военные комиссариаты</v>
      </c>
      <c r="B339" s="158"/>
      <c r="C339" s="153"/>
      <c r="D339" s="154"/>
      <c r="E339" s="153">
        <v>51180</v>
      </c>
      <c r="F339" s="155"/>
      <c r="G339" s="495">
        <v>747678</v>
      </c>
      <c r="H339" s="495">
        <f>H340</f>
        <v>0</v>
      </c>
      <c r="I339" s="159">
        <f t="shared" si="18"/>
        <v>747678</v>
      </c>
      <c r="J339" s="495">
        <v>774994</v>
      </c>
      <c r="K339" s="495">
        <f>K340</f>
        <v>0</v>
      </c>
      <c r="L339" s="159">
        <f t="shared" si="19"/>
        <v>774994</v>
      </c>
    </row>
    <row r="340" spans="1:12" ht="31.5" x14ac:dyDescent="0.2">
      <c r="A340" s="157" t="str">
        <f>IF(B340&gt;0,VLOOKUP(B340,КВСР!A261:B1426,2),IF(C340&gt;0,VLOOKUP(C340,КФСР!A261:B1773,2),IF(D340&gt;0,VLOOKUP(D340,Программа!A$1:B$5100,2),IF(F340&gt;0,VLOOKUP(F340,КВР!A$1:B$5001,2),IF(E340&gt;0,VLOOKUP(E340,Направление!A$1:B$4830,2))))))</f>
        <v xml:space="preserve"> Межбюджетные трансферты</v>
      </c>
      <c r="B340" s="158"/>
      <c r="C340" s="153"/>
      <c r="D340" s="155"/>
      <c r="E340" s="153"/>
      <c r="F340" s="155">
        <v>500</v>
      </c>
      <c r="G340" s="495">
        <v>747678</v>
      </c>
      <c r="H340" s="194"/>
      <c r="I340" s="159">
        <f t="shared" si="18"/>
        <v>747678</v>
      </c>
      <c r="J340" s="495">
        <v>774994</v>
      </c>
      <c r="K340" s="194"/>
      <c r="L340" s="159">
        <f t="shared" si="19"/>
        <v>774994</v>
      </c>
    </row>
    <row r="341" spans="1:12" ht="47.25" x14ac:dyDescent="0.2">
      <c r="A341" s="157" t="str">
        <f>IF(B341&gt;0,VLOOKUP(B341,КВСР!A262:B1427,2),IF(C341&gt;0,VLOOKUP(C341,КФСР!A262:B1774,2),IF(D341&gt;0,VLOOKUP(D341,Программа!A$1:B$5100,2),IF(F341&gt;0,VLOOKUP(F341,КВР!A$1:B$5001,2),IF(E341&gt;0,VLOOKUP(E341,Направление!A$1:B$4830,2))))))</f>
        <v>Обслуживание внутреннего государственного и муниципального долга</v>
      </c>
      <c r="B341" s="158"/>
      <c r="C341" s="153">
        <v>1301</v>
      </c>
      <c r="D341" s="154"/>
      <c r="E341" s="153"/>
      <c r="F341" s="155"/>
      <c r="G341" s="504">
        <v>2000000</v>
      </c>
      <c r="H341" s="159">
        <f>H342</f>
        <v>0</v>
      </c>
      <c r="I341" s="159">
        <f t="shared" si="18"/>
        <v>2000000</v>
      </c>
      <c r="J341" s="504">
        <v>2000000</v>
      </c>
      <c r="K341" s="159">
        <f>K342</f>
        <v>0</v>
      </c>
      <c r="L341" s="159">
        <f t="shared" si="19"/>
        <v>2000000</v>
      </c>
    </row>
    <row r="342" spans="1:12" ht="31.5" x14ac:dyDescent="0.2">
      <c r="A342" s="157" t="str">
        <f>IF(B342&gt;0,VLOOKUP(B342,КВСР!A263:B1428,2),IF(C342&gt;0,VLOOKUP(C342,КФСР!A263:B1775,2),IF(D342&gt;0,VLOOKUP(D342,Программа!A$1:B$5100,2),IF(F342&gt;0,VLOOKUP(F342,КВР!A$1:B$5001,2),IF(E342&gt;0,VLOOKUP(E342,Направление!A$1:B$4830,2))))))</f>
        <v>Непрограммные расходы бюджета</v>
      </c>
      <c r="B342" s="158"/>
      <c r="C342" s="153"/>
      <c r="D342" s="154" t="s">
        <v>626</v>
      </c>
      <c r="E342" s="153"/>
      <c r="F342" s="155"/>
      <c r="G342" s="504">
        <v>2000000</v>
      </c>
      <c r="H342" s="159">
        <f>H343</f>
        <v>0</v>
      </c>
      <c r="I342" s="159">
        <f t="shared" si="18"/>
        <v>2000000</v>
      </c>
      <c r="J342" s="504">
        <v>2000000</v>
      </c>
      <c r="K342" s="159">
        <f>K343</f>
        <v>0</v>
      </c>
      <c r="L342" s="159">
        <f t="shared" si="19"/>
        <v>2000000</v>
      </c>
    </row>
    <row r="343" spans="1:12" ht="47.25" x14ac:dyDescent="0.2">
      <c r="A343" s="157" t="str">
        <f>IF(B343&gt;0,VLOOKUP(B343,КВСР!A264:B1429,2),IF(C343&gt;0,VLOOKUP(C343,КФСР!A264:B1776,2),IF(D343&gt;0,VLOOKUP(D343,Программа!A$1:B$5100,2),IF(F343&gt;0,VLOOKUP(F343,КВР!A$1:B$5001,2),IF(E343&gt;0,VLOOKUP(E343,Направление!A$1:B$4830,2))))))</f>
        <v>Процентные платежи по обслуживанию муниципального долга</v>
      </c>
      <c r="B343" s="158"/>
      <c r="C343" s="153"/>
      <c r="D343" s="154"/>
      <c r="E343" s="153">
        <v>12800</v>
      </c>
      <c r="F343" s="155"/>
      <c r="G343" s="504">
        <v>2000000</v>
      </c>
      <c r="H343" s="159">
        <f>H344</f>
        <v>0</v>
      </c>
      <c r="I343" s="159">
        <f t="shared" si="18"/>
        <v>2000000</v>
      </c>
      <c r="J343" s="504">
        <v>2000000</v>
      </c>
      <c r="K343" s="159">
        <f>K344</f>
        <v>0</v>
      </c>
      <c r="L343" s="159">
        <f t="shared" si="19"/>
        <v>2000000</v>
      </c>
    </row>
    <row r="344" spans="1:12" ht="47.25" x14ac:dyDescent="0.2">
      <c r="A344" s="157" t="str">
        <f>IF(B344&gt;0,VLOOKUP(B344,КВСР!A265:B1430,2),IF(C344&gt;0,VLOOKUP(C344,КФСР!A265:B1777,2),IF(D344&gt;0,VLOOKUP(D344,Программа!A$1:B$5100,2),IF(F344&gt;0,VLOOKUP(F344,КВР!A$1:B$5001,2),IF(E344&gt;0,VLOOKUP(E344,Направление!A$1:B$4830,2))))))</f>
        <v>Обслуживание государственного долга Российской Федерации</v>
      </c>
      <c r="B344" s="158"/>
      <c r="C344" s="153"/>
      <c r="D344" s="154"/>
      <c r="E344" s="153"/>
      <c r="F344" s="155">
        <v>700</v>
      </c>
      <c r="G344" s="495">
        <v>2000000</v>
      </c>
      <c r="H344" s="194"/>
      <c r="I344" s="159">
        <f t="shared" si="18"/>
        <v>2000000</v>
      </c>
      <c r="J344" s="495">
        <v>2000000</v>
      </c>
      <c r="K344" s="194"/>
      <c r="L344" s="159">
        <f t="shared" si="19"/>
        <v>2000000</v>
      </c>
    </row>
    <row r="345" spans="1:12" ht="94.5" x14ac:dyDescent="0.2">
      <c r="A345" s="157" t="str">
        <f>IF(B345&gt;0,VLOOKUP(B345,КВСР!A265:B1430,2),IF(C345&gt;0,VLOOKUP(C345,КФСР!A265:B1777,2),IF(D345&gt;0,VLOOKUP(D345,Программа!A$1:B$5100,2),IF(F345&gt;0,VLOOKUP(F345,КВР!A$1:B$5001,2),IF(E345&gt;0,VLOOKUP(E345,Направление!A$1:B$4830,2))))))</f>
        <v>Дотации на выравнивание бюджетной обеспеченности субъектов Российской Федерации и муниципальных образований</v>
      </c>
      <c r="B345" s="158"/>
      <c r="C345" s="153">
        <v>1401</v>
      </c>
      <c r="D345" s="154"/>
      <c r="E345" s="153"/>
      <c r="F345" s="155"/>
      <c r="G345" s="504">
        <v>33000</v>
      </c>
      <c r="H345" s="159">
        <f>H346</f>
        <v>0</v>
      </c>
      <c r="I345" s="159">
        <f t="shared" si="18"/>
        <v>33000</v>
      </c>
      <c r="J345" s="504">
        <v>0</v>
      </c>
      <c r="K345" s="159">
        <f>K346</f>
        <v>0</v>
      </c>
      <c r="L345" s="159">
        <f t="shared" si="19"/>
        <v>0</v>
      </c>
    </row>
    <row r="346" spans="1:12" ht="48" customHeight="1" x14ac:dyDescent="0.2">
      <c r="A346" s="157" t="str">
        <f>IF(B346&gt;0,VLOOKUP(B346,КВСР!A270:B1435,2),IF(C346&gt;0,VLOOKUP(C346,КФСР!A270:B1782,2),IF(D346&gt;0,VLOOKUP(D346,Программа!A$1:B$5100,2),IF(F346&gt;0,VLOOKUP(F346,КВР!A$1:B$5001,2),IF(E346&gt;0,VLOOKUP(E346,Направление!A$1:B$4830,2))))))</f>
        <v>Межбюджетные трансферты  поселениям района</v>
      </c>
      <c r="B346" s="158"/>
      <c r="C346" s="153"/>
      <c r="D346" s="154" t="s">
        <v>801</v>
      </c>
      <c r="E346" s="153"/>
      <c r="F346" s="155"/>
      <c r="G346" s="504">
        <v>33000</v>
      </c>
      <c r="H346" s="159">
        <f>H347+H349</f>
        <v>0</v>
      </c>
      <c r="I346" s="159">
        <f t="shared" si="18"/>
        <v>33000</v>
      </c>
      <c r="J346" s="504">
        <v>0</v>
      </c>
      <c r="K346" s="159">
        <f>K347+K349</f>
        <v>0</v>
      </c>
      <c r="L346" s="159">
        <f t="shared" si="19"/>
        <v>0</v>
      </c>
    </row>
    <row r="347" spans="1:12" ht="34.5" hidden="1" customHeight="1" x14ac:dyDescent="0.2">
      <c r="A347" s="157" t="str">
        <f>IF(B347&gt;0,VLOOKUP(B347,КВСР!A272:B1437,2),IF(C347&gt;0,VLOOKUP(C347,КФСР!A272:B1784,2),IF(D347&gt;0,VLOOKUP(D347,Программа!A$1:B$5100,2),IF(F347&gt;0,VLOOKUP(F347,КВР!A$1:B$5001,2),IF(E347&gt;0,VLOOKUP(E347,Направление!A$1:B$4830,2))))))</f>
        <v>Дотации поселениям района  на выравнивание бюджетной обеспеченности</v>
      </c>
      <c r="B347" s="158"/>
      <c r="C347" s="153"/>
      <c r="D347" s="154"/>
      <c r="E347" s="153">
        <v>10800</v>
      </c>
      <c r="F347" s="155"/>
      <c r="G347" s="504">
        <v>0</v>
      </c>
      <c r="H347" s="159">
        <f>H348</f>
        <v>0</v>
      </c>
      <c r="I347" s="159">
        <f t="shared" si="18"/>
        <v>0</v>
      </c>
      <c r="J347" s="504">
        <v>0</v>
      </c>
      <c r="K347" s="159">
        <f>K348</f>
        <v>0</v>
      </c>
      <c r="L347" s="159">
        <f t="shared" si="19"/>
        <v>0</v>
      </c>
    </row>
    <row r="348" spans="1:12" ht="27" hidden="1" customHeight="1" x14ac:dyDescent="0.2">
      <c r="A348" s="157" t="str">
        <f>IF(B348&gt;0,VLOOKUP(B348,КВСР!A273:B1438,2),IF(C348&gt;0,VLOOKUP(C348,КФСР!A273:B1785,2),IF(D348&gt;0,VLOOKUP(D348,Программа!A$1:B$5100,2),IF(F348&gt;0,VLOOKUP(F348,КВР!A$1:B$5001,2),IF(E348&gt;0,VLOOKUP(E348,Направление!A$1:B$4830,2))))))</f>
        <v xml:space="preserve"> Межбюджетные трансферты</v>
      </c>
      <c r="B348" s="158"/>
      <c r="C348" s="153"/>
      <c r="D348" s="154"/>
      <c r="E348" s="153"/>
      <c r="F348" s="155">
        <v>500</v>
      </c>
      <c r="G348" s="495">
        <v>0</v>
      </c>
      <c r="H348" s="194"/>
      <c r="I348" s="159">
        <f t="shared" si="18"/>
        <v>0</v>
      </c>
      <c r="J348" s="495">
        <v>0</v>
      </c>
      <c r="K348" s="194"/>
      <c r="L348" s="159">
        <f t="shared" si="19"/>
        <v>0</v>
      </c>
    </row>
    <row r="349" spans="1:12" ht="63" x14ac:dyDescent="0.2">
      <c r="A349" s="157" t="str">
        <f>IF(B349&gt;0,VLOOKUP(B349,КВСР!A271:B1436,2),IF(C349&gt;0,VLOOKUP(C349,КФСР!A271:B1783,2),IF(D349&gt;0,VLOOKUP(D349,Программа!A$1:B$5100,2),IF(F349&gt;0,VLOOKUP(F349,КВР!A$1:B$5001,2),IF(E349&gt;0,VLOOKUP(E349,Направление!A$1:B$4830,2))))))</f>
        <v>Дотации поселениям Ярославской области на выравнивание бюджетной обеспеченности</v>
      </c>
      <c r="B349" s="158"/>
      <c r="C349" s="153"/>
      <c r="D349" s="154"/>
      <c r="E349" s="153">
        <v>72970</v>
      </c>
      <c r="F349" s="155"/>
      <c r="G349" s="504">
        <v>33000</v>
      </c>
      <c r="H349" s="159">
        <f>H350</f>
        <v>0</v>
      </c>
      <c r="I349" s="159">
        <f t="shared" si="18"/>
        <v>33000</v>
      </c>
      <c r="J349" s="504">
        <v>0</v>
      </c>
      <c r="K349" s="159">
        <f>K350</f>
        <v>0</v>
      </c>
      <c r="L349" s="159">
        <f t="shared" si="19"/>
        <v>0</v>
      </c>
    </row>
    <row r="350" spans="1:12" ht="26.25" customHeight="1" x14ac:dyDescent="0.2">
      <c r="A350" s="157" t="str">
        <f>IF(B350&gt;0,VLOOKUP(B350,КВСР!A272:B1437,2),IF(C350&gt;0,VLOOKUP(C350,КФСР!A272:B1784,2),IF(D350&gt;0,VLOOKUP(D350,Программа!A$1:B$5100,2),IF(F350&gt;0,VLOOKUP(F350,КВР!A$1:B$5001,2),IF(E350&gt;0,VLOOKUP(E350,Направление!A$1:B$4830,2))))))</f>
        <v xml:space="preserve"> Межбюджетные трансферты</v>
      </c>
      <c r="B350" s="158"/>
      <c r="C350" s="153"/>
      <c r="D350" s="154"/>
      <c r="E350" s="153"/>
      <c r="F350" s="155">
        <v>500</v>
      </c>
      <c r="G350" s="495">
        <v>33000</v>
      </c>
      <c r="H350" s="194"/>
      <c r="I350" s="159">
        <f t="shared" si="18"/>
        <v>33000</v>
      </c>
      <c r="J350" s="495">
        <v>0</v>
      </c>
      <c r="K350" s="194"/>
      <c r="L350" s="159">
        <f t="shared" si="19"/>
        <v>0</v>
      </c>
    </row>
    <row r="351" spans="1:12" ht="63" hidden="1" x14ac:dyDescent="0.2">
      <c r="A351" s="157" t="str">
        <f>IF(B351&gt;0,VLOOKUP(B351,КВСР!A274:B1439,2),IF(C351&gt;0,VLOOKUP(C351,КФСР!A274:B1786,2),IF(D351&gt;0,VLOOKUP(D351,Программа!A$1:B$5100,2),IF(F351&gt;0,VLOOKUP(F351,КВР!A$1:B$5001,2),IF(E351&gt;0,VLOOKUP(E351,Направление!A$1:B$4830,2))))))</f>
        <v>Дотации поселениям Ярославской области на выравнивание бюджетной обеспеченности</v>
      </c>
      <c r="B351" s="158"/>
      <c r="C351" s="153"/>
      <c r="D351" s="154"/>
      <c r="E351" s="153">
        <v>72970</v>
      </c>
      <c r="F351" s="155"/>
      <c r="G351" s="504">
        <v>0</v>
      </c>
      <c r="H351" s="159">
        <f>H352</f>
        <v>0</v>
      </c>
      <c r="I351" s="159">
        <f t="shared" si="18"/>
        <v>0</v>
      </c>
      <c r="J351" s="504">
        <v>0</v>
      </c>
      <c r="K351" s="159">
        <f>K352</f>
        <v>0</v>
      </c>
      <c r="L351" s="159">
        <f t="shared" si="19"/>
        <v>0</v>
      </c>
    </row>
    <row r="352" spans="1:12" ht="31.5" hidden="1" x14ac:dyDescent="0.2">
      <c r="A352" s="157" t="str">
        <f>IF(B352&gt;0,VLOOKUP(B352,КВСР!A275:B1440,2),IF(C352&gt;0,VLOOKUP(C352,КФСР!A275:B1787,2),IF(D352&gt;0,VLOOKUP(D352,Программа!A$1:B$5100,2),IF(F352&gt;0,VLOOKUP(F352,КВР!A$1:B$5001,2),IF(E352&gt;0,VLOOKUP(E352,Направление!A$1:B$4830,2))))))</f>
        <v xml:space="preserve"> Межбюджетные трансферты</v>
      </c>
      <c r="B352" s="158"/>
      <c r="C352" s="153"/>
      <c r="D352" s="154"/>
      <c r="E352" s="153"/>
      <c r="F352" s="155">
        <v>500</v>
      </c>
      <c r="G352" s="495">
        <v>0</v>
      </c>
      <c r="H352" s="194"/>
      <c r="I352" s="159">
        <f t="shared" si="18"/>
        <v>0</v>
      </c>
      <c r="J352" s="495">
        <v>0</v>
      </c>
      <c r="K352" s="194"/>
      <c r="L352" s="159">
        <f t="shared" si="19"/>
        <v>0</v>
      </c>
    </row>
    <row r="353" spans="1:12" ht="63" x14ac:dyDescent="0.2">
      <c r="A353" s="151" t="str">
        <f>IF(B353&gt;0,VLOOKUP(B353,КВСР!A276:B1441,2),IF(C353&gt;0,VLOOKUP(C353,КФСР!A276:B1788,2),IF(D353&gt;0,VLOOKUP(D353,Программа!A$1:B$5100,2),IF(F353&gt;0,VLOOKUP(F353,КВР!A$1:B$5001,2),IF(E353&gt;0,VLOOKUP(E353,Направление!A$1:B$4830,2))))))</f>
        <v>Департамент культуры, туризма и молодежной политики Администрации ТМР</v>
      </c>
      <c r="B353" s="152">
        <v>956</v>
      </c>
      <c r="C353" s="153"/>
      <c r="D353" s="154"/>
      <c r="E353" s="153"/>
      <c r="F353" s="155"/>
      <c r="G353" s="610">
        <v>117284673</v>
      </c>
      <c r="H353" s="156">
        <f>H354+H360+H370+H379+H394</f>
        <v>0</v>
      </c>
      <c r="I353" s="625">
        <f t="shared" si="18"/>
        <v>117284673</v>
      </c>
      <c r="J353" s="626">
        <v>60774673</v>
      </c>
      <c r="K353" s="625">
        <f>K354+K360+K370+K379+K394</f>
        <v>0</v>
      </c>
      <c r="L353" s="625">
        <f t="shared" si="19"/>
        <v>60774673</v>
      </c>
    </row>
    <row r="354" spans="1:12" ht="31.5" x14ac:dyDescent="0.2">
      <c r="A354" s="157" t="str">
        <f>IF(B354&gt;0,VLOOKUP(B354,КВСР!A282:B1447,2),IF(C354&gt;0,VLOOKUP(C354,КФСР!A282:B1794,2),IF(D354&gt;0,VLOOKUP(D354,Программа!A$1:B$5100,2),IF(F354&gt;0,VLOOKUP(F354,КВР!A$1:B$5001,2),IF(E354&gt;0,VLOOKUP(E354,Направление!A$1:B$4830,2))))))</f>
        <v>Дополнительное образование детей</v>
      </c>
      <c r="B354" s="158"/>
      <c r="C354" s="153">
        <v>703</v>
      </c>
      <c r="D354" s="154"/>
      <c r="E354" s="153"/>
      <c r="F354" s="155"/>
      <c r="G354" s="504">
        <v>22000000</v>
      </c>
      <c r="H354" s="159">
        <f>H355</f>
        <v>0</v>
      </c>
      <c r="I354" s="159">
        <f t="shared" si="18"/>
        <v>22000000</v>
      </c>
      <c r="J354" s="504">
        <v>8000000</v>
      </c>
      <c r="K354" s="159">
        <f>K355</f>
        <v>0</v>
      </c>
      <c r="L354" s="159">
        <f t="shared" si="19"/>
        <v>8000000</v>
      </c>
    </row>
    <row r="355" spans="1:12" ht="78.75" x14ac:dyDescent="0.2">
      <c r="A355" s="157" t="str">
        <f>IF(B355&gt;0,VLOOKUP(B355,КВСР!A283:B1448,2),IF(C355&gt;0,VLOOKUP(C355,КФСР!A283:B1795,2),IF(D355&gt;0,VLOOKUP(D355,Программа!A$1:B$5100,2),IF(F355&gt;0,VLOOKUP(F355,КВР!A$1:B$5001,2),IF(E355&gt;0,VLOOKUP(E355,Направление!A$1:B$4830,2))))))</f>
        <v>Муниципальная программа  "Развитие культуры, туризма и молодежной политики в Тутаевском муниципальном районе"</v>
      </c>
      <c r="B355" s="158"/>
      <c r="C355" s="153"/>
      <c r="D355" s="174" t="s">
        <v>716</v>
      </c>
      <c r="E355" s="172"/>
      <c r="F355" s="155"/>
      <c r="G355" s="504">
        <v>22000000</v>
      </c>
      <c r="H355" s="159">
        <f>H357</f>
        <v>0</v>
      </c>
      <c r="I355" s="159">
        <f t="shared" si="18"/>
        <v>22000000</v>
      </c>
      <c r="J355" s="504">
        <v>8000000</v>
      </c>
      <c r="K355" s="159">
        <f>K357</f>
        <v>0</v>
      </c>
      <c r="L355" s="159">
        <f t="shared" si="19"/>
        <v>8000000</v>
      </c>
    </row>
    <row r="356" spans="1:12" ht="78.75" x14ac:dyDescent="0.2">
      <c r="A356" s="157" t="str">
        <f>IF(B356&gt;0,VLOOKUP(B356,КВСР!A284:B1449,2),IF(C356&gt;0,VLOOKUP(C356,КФСР!A284:B1796,2),IF(D356&gt;0,VLOOKUP(D356,Программа!A$1:B$5100,2),IF(F356&gt;0,VLOOKUP(F356,КВР!A$1:B$5001,2),IF(E356&gt;0,VLOOKUP(E356,Направление!A$1:B$4830,2))))))</f>
        <v>Ведомственная целевая программа «Сохранение и развитие культуры Тутаевского муниципального района»</v>
      </c>
      <c r="B356" s="158"/>
      <c r="C356" s="153"/>
      <c r="D356" s="174" t="s">
        <v>819</v>
      </c>
      <c r="E356" s="172"/>
      <c r="F356" s="155"/>
      <c r="G356" s="504">
        <v>22000000</v>
      </c>
      <c r="H356" s="159">
        <f>H357</f>
        <v>0</v>
      </c>
      <c r="I356" s="159">
        <f t="shared" si="18"/>
        <v>22000000</v>
      </c>
      <c r="J356" s="504">
        <v>8000000</v>
      </c>
      <c r="K356" s="159">
        <f>K357</f>
        <v>0</v>
      </c>
      <c r="L356" s="159">
        <f t="shared" si="19"/>
        <v>8000000</v>
      </c>
    </row>
    <row r="357" spans="1:12" ht="63" x14ac:dyDescent="0.2">
      <c r="A357" s="157" t="str">
        <f>IF(B357&gt;0,VLOOKUP(B357,КВСР!A285:B1450,2),IF(C357&gt;0,VLOOKUP(C357,КФСР!A285:B1797,2),IF(D357&gt;0,VLOOKUP(D357,Программа!A$1:B$5100,2),IF(F357&gt;0,VLOOKUP(F357,КВР!A$1:B$5001,2),IF(E357&gt;0,VLOOKUP(E357,Направление!A$1:B$4830,2))))))</f>
        <v>Реализация дополнительных образовательных программ в сфере культуры</v>
      </c>
      <c r="B357" s="158"/>
      <c r="C357" s="153"/>
      <c r="D357" s="154" t="s">
        <v>821</v>
      </c>
      <c r="E357" s="153"/>
      <c r="F357" s="155"/>
      <c r="G357" s="504">
        <v>22000000</v>
      </c>
      <c r="H357" s="159">
        <f>H358</f>
        <v>0</v>
      </c>
      <c r="I357" s="159">
        <f t="shared" si="18"/>
        <v>22000000</v>
      </c>
      <c r="J357" s="504">
        <v>8000000</v>
      </c>
      <c r="K357" s="159">
        <f>K358</f>
        <v>0</v>
      </c>
      <c r="L357" s="159">
        <f t="shared" si="19"/>
        <v>8000000</v>
      </c>
    </row>
    <row r="358" spans="1:12" ht="63" x14ac:dyDescent="0.2">
      <c r="A358" s="157" t="str">
        <f>IF(B358&gt;0,VLOOKUP(B358,КВСР!A285:B1450,2),IF(C358&gt;0,VLOOKUP(C358,КФСР!A285:B1797,2),IF(D358&gt;0,VLOOKUP(D358,Программа!A$1:B$5100,2),IF(F358&gt;0,VLOOKUP(F358,КВР!A$1:B$5001,2),IF(E358&gt;0,VLOOKUP(E358,Направление!A$1:B$4830,2))))))</f>
        <v>Обеспечение деятельности учреждений дополнительного образования</v>
      </c>
      <c r="B358" s="158"/>
      <c r="C358" s="153"/>
      <c r="D358" s="154"/>
      <c r="E358" s="153">
        <v>13210</v>
      </c>
      <c r="F358" s="155"/>
      <c r="G358" s="504">
        <v>22000000</v>
      </c>
      <c r="H358" s="159">
        <f>H359</f>
        <v>0</v>
      </c>
      <c r="I358" s="159">
        <f t="shared" si="18"/>
        <v>22000000</v>
      </c>
      <c r="J358" s="504">
        <v>8000000</v>
      </c>
      <c r="K358" s="159">
        <f>K359</f>
        <v>0</v>
      </c>
      <c r="L358" s="159">
        <f t="shared" si="19"/>
        <v>8000000</v>
      </c>
    </row>
    <row r="359" spans="1:12" ht="78.75" x14ac:dyDescent="0.2">
      <c r="A359" s="157" t="str">
        <f>IF(B359&gt;0,VLOOKUP(B359,КВСР!A286:B1451,2),IF(C359&gt;0,VLOOKUP(C359,КФСР!A286:B1798,2),IF(D359&gt;0,VLOOKUP(D359,Программа!A$1:B$5100,2),IF(F359&gt;0,VLOOKUP(F359,КВР!A$1:B$5001,2),IF(E359&gt;0,VLOOKUP(E359,Направление!A$1:B$4830,2))))))</f>
        <v>Предоставление субсидий бюджетным, автономным учреждениям и иным некоммерческим организациям</v>
      </c>
      <c r="B359" s="158"/>
      <c r="C359" s="153"/>
      <c r="D359" s="154"/>
      <c r="E359" s="153"/>
      <c r="F359" s="155">
        <v>600</v>
      </c>
      <c r="G359" s="495">
        <v>22000000</v>
      </c>
      <c r="H359" s="194"/>
      <c r="I359" s="159">
        <f t="shared" si="18"/>
        <v>22000000</v>
      </c>
      <c r="J359" s="495">
        <v>8000000</v>
      </c>
      <c r="K359" s="194"/>
      <c r="L359" s="159">
        <f t="shared" si="19"/>
        <v>8000000</v>
      </c>
    </row>
    <row r="360" spans="1:12" ht="15.75" x14ac:dyDescent="0.2">
      <c r="A360" s="157" t="str">
        <f>IF(B360&gt;0,VLOOKUP(B360,КВСР!A286:B1451,2),IF(C360&gt;0,VLOOKUP(C360,КФСР!A286:B1798,2),IF(D360&gt;0,VLOOKUP(D360,Программа!A$1:B$5100,2),IF(F360&gt;0,VLOOKUP(F360,КВР!A$1:B$5001,2),IF(E360&gt;0,VLOOKUP(E360,Направление!A$1:B$4830,2))))))</f>
        <v>Молодежная политика</v>
      </c>
      <c r="B360" s="158"/>
      <c r="C360" s="153">
        <v>707</v>
      </c>
      <c r="D360" s="154"/>
      <c r="E360" s="153"/>
      <c r="F360" s="155"/>
      <c r="G360" s="504">
        <v>6000000</v>
      </c>
      <c r="H360" s="159">
        <f>H361</f>
        <v>0</v>
      </c>
      <c r="I360" s="159">
        <f t="shared" si="18"/>
        <v>6000000</v>
      </c>
      <c r="J360" s="504">
        <v>2000000</v>
      </c>
      <c r="K360" s="159">
        <f>K361</f>
        <v>0</v>
      </c>
      <c r="L360" s="159">
        <f t="shared" si="19"/>
        <v>2000000</v>
      </c>
    </row>
    <row r="361" spans="1:12" ht="78.75" x14ac:dyDescent="0.2">
      <c r="A361" s="157" t="str">
        <f>IF(B361&gt;0,VLOOKUP(B361,КВСР!A287:B1452,2),IF(C361&gt;0,VLOOKUP(C361,КФСР!A287:B1799,2),IF(D361&gt;0,VLOOKUP(D361,Программа!A$1:B$5100,2),IF(F361&gt;0,VLOOKUP(F361,КВР!A$1:B$5001,2),IF(E361&gt;0,VLOOKUP(E361,Направление!A$1:B$4830,2))))))</f>
        <v>Муниципальная программа  "Развитие культуры, туризма и молодежной политики в Тутаевском муниципальном районе"</v>
      </c>
      <c r="B361" s="158"/>
      <c r="C361" s="153"/>
      <c r="D361" s="154" t="s">
        <v>716</v>
      </c>
      <c r="E361" s="153"/>
      <c r="F361" s="155"/>
      <c r="G361" s="504">
        <v>6000000</v>
      </c>
      <c r="H361" s="159">
        <f>H363</f>
        <v>0</v>
      </c>
      <c r="I361" s="159">
        <f t="shared" si="18"/>
        <v>6000000</v>
      </c>
      <c r="J361" s="504">
        <v>2000000</v>
      </c>
      <c r="K361" s="159">
        <f>K363</f>
        <v>0</v>
      </c>
      <c r="L361" s="159">
        <f t="shared" si="19"/>
        <v>2000000</v>
      </c>
    </row>
    <row r="362" spans="1:12" ht="31.5" x14ac:dyDescent="0.2">
      <c r="A362" s="157" t="str">
        <f>IF(B362&gt;0,VLOOKUP(B362,КВСР!A288:B1453,2),IF(C362&gt;0,VLOOKUP(C362,КФСР!A288:B1800,2),IF(D362&gt;0,VLOOKUP(D362,Программа!A$1:B$5100,2),IF(F362&gt;0,VLOOKUP(F362,КВР!A$1:B$5001,2),IF(E362&gt;0,VLOOKUP(E362,Направление!A$1:B$4830,2))))))</f>
        <v>Ведомственная целевая программа «Молодежь»</v>
      </c>
      <c r="B362" s="158"/>
      <c r="C362" s="153"/>
      <c r="D362" s="154" t="s">
        <v>824</v>
      </c>
      <c r="E362" s="153"/>
      <c r="F362" s="155"/>
      <c r="G362" s="504">
        <v>6000000</v>
      </c>
      <c r="H362" s="159">
        <f>H363</f>
        <v>0</v>
      </c>
      <c r="I362" s="159">
        <f t="shared" si="18"/>
        <v>6000000</v>
      </c>
      <c r="J362" s="504">
        <v>2000000</v>
      </c>
      <c r="K362" s="159">
        <f>K363</f>
        <v>0</v>
      </c>
      <c r="L362" s="159">
        <f t="shared" si="19"/>
        <v>2000000</v>
      </c>
    </row>
    <row r="363" spans="1:12" ht="94.5" x14ac:dyDescent="0.2">
      <c r="A363" s="157" t="str">
        <f>IF(B363&gt;0,VLOOKUP(B363,КВСР!A289:B1454,2),IF(C363&gt;0,VLOOKUP(C363,КФСР!A289:B1801,2),IF(D363&gt;0,VLOOKUP(D363,Программа!A$1:B$5100,2),IF(F363&gt;0,VLOOKUP(F363,КВР!A$1:B$5001,2),IF(E363&gt;0,VLOOKUP(E363,Направление!A$1:B$4830,2))))))</f>
        <v>Обеспечение условий для выполнения муниципального задания на оказание услуг, выполнение работ в сфере молодежной политики</v>
      </c>
      <c r="B363" s="158"/>
      <c r="C363" s="153"/>
      <c r="D363" s="154" t="s">
        <v>826</v>
      </c>
      <c r="E363" s="153"/>
      <c r="F363" s="155"/>
      <c r="G363" s="504">
        <v>6000000</v>
      </c>
      <c r="H363" s="159">
        <f>H364+H366+H368</f>
        <v>0</v>
      </c>
      <c r="I363" s="159">
        <f t="shared" si="18"/>
        <v>6000000</v>
      </c>
      <c r="J363" s="504">
        <v>2000000</v>
      </c>
      <c r="K363" s="159">
        <f>K364+K366+K368</f>
        <v>0</v>
      </c>
      <c r="L363" s="159">
        <f t="shared" si="19"/>
        <v>2000000</v>
      </c>
    </row>
    <row r="364" spans="1:12" ht="47.25" x14ac:dyDescent="0.2">
      <c r="A364" s="157" t="str">
        <f>IF(B364&gt;0,VLOOKUP(B364,КВСР!A289:B1454,2),IF(C364&gt;0,VLOOKUP(C364,КФСР!A289:B1801,2),IF(D364&gt;0,VLOOKUP(D364,Программа!A$1:B$5100,2),IF(F364&gt;0,VLOOKUP(F364,КВР!A$1:B$5001,2),IF(E364&gt;0,VLOOKUP(E364,Направление!A$1:B$4830,2))))))</f>
        <v xml:space="preserve">Обеспечение деятельности учреждений в сфере молодежной политики </v>
      </c>
      <c r="B364" s="158"/>
      <c r="C364" s="153"/>
      <c r="D364" s="154"/>
      <c r="E364" s="153">
        <v>14510</v>
      </c>
      <c r="F364" s="155"/>
      <c r="G364" s="504">
        <v>6000000</v>
      </c>
      <c r="H364" s="159">
        <f>H365</f>
        <v>0</v>
      </c>
      <c r="I364" s="159">
        <f t="shared" si="18"/>
        <v>6000000</v>
      </c>
      <c r="J364" s="504">
        <v>2000000</v>
      </c>
      <c r="K364" s="159">
        <f>K365</f>
        <v>0</v>
      </c>
      <c r="L364" s="159">
        <f t="shared" si="19"/>
        <v>2000000</v>
      </c>
    </row>
    <row r="365" spans="1:12" ht="78.75" x14ac:dyDescent="0.2">
      <c r="A365" s="157" t="str">
        <f>IF(B365&gt;0,VLOOKUP(B365,КВСР!A290:B1455,2),IF(C365&gt;0,VLOOKUP(C365,КФСР!A290:B1802,2),IF(D365&gt;0,VLOOKUP(D365,Программа!A$1:B$5100,2),IF(F365&gt;0,VLOOKUP(F365,КВР!A$1:B$5001,2),IF(E365&gt;0,VLOOKUP(E365,Направление!A$1:B$4830,2))))))</f>
        <v>Предоставление субсидий бюджетным, автономным учреждениям и иным некоммерческим организациям</v>
      </c>
      <c r="B365" s="158"/>
      <c r="C365" s="153"/>
      <c r="D365" s="154"/>
      <c r="E365" s="153"/>
      <c r="F365" s="155">
        <v>600</v>
      </c>
      <c r="G365" s="495">
        <v>6000000</v>
      </c>
      <c r="H365" s="194"/>
      <c r="I365" s="159">
        <f t="shared" si="18"/>
        <v>6000000</v>
      </c>
      <c r="J365" s="495">
        <v>2000000</v>
      </c>
      <c r="K365" s="194"/>
      <c r="L365" s="159">
        <f t="shared" si="19"/>
        <v>2000000</v>
      </c>
    </row>
    <row r="366" spans="1:12" ht="110.25" hidden="1" x14ac:dyDescent="0.2">
      <c r="A366" s="157" t="str">
        <f>IF(B366&gt;0,VLOOKUP(B366,КВСР!A291:B1456,2),IF(C366&gt;0,VLOOKUP(C366,КФСР!A291:B1803,2),IF(D366&gt;0,VLOOKUP(D366,Программа!A$1:B$5100,2),IF(F366&gt;0,VLOOKUP(F366,КВР!A$1:B$5001,2),IF(E366&gt;0,VLOOKUP(E366,Направление!A$1:B$4830,2))))))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6" s="158"/>
      <c r="C366" s="153"/>
      <c r="D366" s="154"/>
      <c r="E366" s="153" t="s">
        <v>830</v>
      </c>
      <c r="F366" s="155"/>
      <c r="G366" s="504">
        <v>0</v>
      </c>
      <c r="H366" s="159">
        <f>H367</f>
        <v>0</v>
      </c>
      <c r="I366" s="159">
        <f t="shared" ref="I366:I435" si="21">SUM(G366:H366)</f>
        <v>0</v>
      </c>
      <c r="J366" s="504">
        <v>0</v>
      </c>
      <c r="K366" s="159">
        <f>K367</f>
        <v>0</v>
      </c>
      <c r="L366" s="159">
        <f t="shared" ref="L366:L435" si="22">SUM(J366:K366)</f>
        <v>0</v>
      </c>
    </row>
    <row r="367" spans="1:12" ht="78.75" hidden="1" x14ac:dyDescent="0.2">
      <c r="A367" s="157" t="str">
        <f>IF(B367&gt;0,VLOOKUP(B367,КВСР!A292:B1457,2),IF(C367&gt;0,VLOOKUP(C367,КФСР!A292:B1804,2),IF(D367&gt;0,VLOOKUP(D367,Программа!A$1:B$5100,2),IF(F367&gt;0,VLOOKUP(F367,КВР!A$1:B$5001,2),IF(E367&gt;0,VLOOKUP(E367,Направление!A$1:B$4830,2))))))</f>
        <v>Предоставление субсидий бюджетным, автономным учреждениям и иным некоммерческим организациям</v>
      </c>
      <c r="B367" s="158"/>
      <c r="C367" s="153"/>
      <c r="D367" s="154"/>
      <c r="E367" s="153"/>
      <c r="F367" s="155">
        <v>600</v>
      </c>
      <c r="G367" s="495">
        <v>0</v>
      </c>
      <c r="H367" s="194"/>
      <c r="I367" s="159">
        <f t="shared" si="21"/>
        <v>0</v>
      </c>
      <c r="J367" s="495">
        <v>0</v>
      </c>
      <c r="K367" s="194"/>
      <c r="L367" s="159">
        <f t="shared" si="22"/>
        <v>0</v>
      </c>
    </row>
    <row r="368" spans="1:12" ht="110.25" hidden="1" x14ac:dyDescent="0.2">
      <c r="A368" s="157" t="str">
        <f>IF(B368&gt;0,VLOOKUP(B368,КВСР!A293:B1458,2),IF(C368&gt;0,VLOOKUP(C368,КФСР!A293:B1805,2),IF(D368&gt;0,VLOOKUP(D368,Программа!A$1:B$5100,2),IF(F368&gt;0,VLOOKUP(F368,КВР!A$1:B$5001,2),IF(E368&gt;0,VLOOKUP(E368,Направление!A$1:B$4830,2))))))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8" s="158"/>
      <c r="C368" s="153"/>
      <c r="D368" s="154"/>
      <c r="E368" s="153">
        <v>70650</v>
      </c>
      <c r="F368" s="155"/>
      <c r="G368" s="504">
        <v>0</v>
      </c>
      <c r="H368" s="159">
        <f>H369</f>
        <v>0</v>
      </c>
      <c r="I368" s="159">
        <f t="shared" si="21"/>
        <v>0</v>
      </c>
      <c r="J368" s="504">
        <v>0</v>
      </c>
      <c r="K368" s="159">
        <f>K369</f>
        <v>0</v>
      </c>
      <c r="L368" s="159">
        <f t="shared" si="22"/>
        <v>0</v>
      </c>
    </row>
    <row r="369" spans="1:12" ht="78.75" hidden="1" x14ac:dyDescent="0.2">
      <c r="A369" s="157" t="str">
        <f>IF(B369&gt;0,VLOOKUP(B369,КВСР!A294:B1459,2),IF(C369&gt;0,VLOOKUP(C369,КФСР!A294:B1806,2),IF(D369&gt;0,VLOOKUP(D369,Программа!A$1:B$5100,2),IF(F369&gt;0,VLOOKUP(F369,КВР!A$1:B$5001,2),IF(E369&gt;0,VLOOKUP(E369,Направление!A$1:B$4830,2))))))</f>
        <v>Предоставление субсидий бюджетным, автономным учреждениям и иным некоммерческим организациям</v>
      </c>
      <c r="B369" s="158"/>
      <c r="C369" s="153"/>
      <c r="D369" s="154"/>
      <c r="E369" s="153"/>
      <c r="F369" s="155">
        <v>600</v>
      </c>
      <c r="G369" s="495">
        <v>0</v>
      </c>
      <c r="H369" s="194"/>
      <c r="I369" s="159">
        <f t="shared" si="21"/>
        <v>0</v>
      </c>
      <c r="J369" s="495">
        <v>0</v>
      </c>
      <c r="K369" s="194"/>
      <c r="L369" s="159">
        <f t="shared" si="22"/>
        <v>0</v>
      </c>
    </row>
    <row r="370" spans="1:12" ht="15.75" x14ac:dyDescent="0.2">
      <c r="A370" s="157" t="str">
        <f>IF(B370&gt;0,VLOOKUP(B370,КВСР!A309:B1474,2),IF(C370&gt;0,VLOOKUP(C370,КФСР!A309:B1821,2),IF(D370&gt;0,VLOOKUP(D370,Программа!A$1:B$5100,2),IF(F370&gt;0,VLOOKUP(F370,КВР!A$1:B$5001,2),IF(E370&gt;0,VLOOKUP(E370,Направление!A$1:B$4830,2))))))</f>
        <v>Культура</v>
      </c>
      <c r="B370" s="158"/>
      <c r="C370" s="153">
        <v>801</v>
      </c>
      <c r="D370" s="174"/>
      <c r="E370" s="172"/>
      <c r="F370" s="173"/>
      <c r="G370" s="504">
        <v>58000000</v>
      </c>
      <c r="H370" s="159">
        <f>H371</f>
        <v>0</v>
      </c>
      <c r="I370" s="159">
        <f t="shared" si="21"/>
        <v>58000000</v>
      </c>
      <c r="J370" s="504">
        <v>21000000</v>
      </c>
      <c r="K370" s="159">
        <f>K371</f>
        <v>0</v>
      </c>
      <c r="L370" s="159">
        <f t="shared" si="22"/>
        <v>21000000</v>
      </c>
    </row>
    <row r="371" spans="1:12" ht="78.75" x14ac:dyDescent="0.2">
      <c r="A371" s="157" t="str">
        <f>IF(B371&gt;0,VLOOKUP(B371,КВСР!A310:B1475,2),IF(C371&gt;0,VLOOKUP(C371,КФСР!A310:B1822,2),IF(D371&gt;0,VLOOKUP(D371,Программа!A$1:B$5100,2),IF(F371&gt;0,VLOOKUP(F371,КВР!A$1:B$5001,2),IF(E371&gt;0,VLOOKUP(E371,Направление!A$1:B$4830,2))))))</f>
        <v>Муниципальная программа  "Развитие культуры, туризма и молодежной политики в Тутаевском муниципальном районе"</v>
      </c>
      <c r="B371" s="158"/>
      <c r="C371" s="153"/>
      <c r="D371" s="174" t="s">
        <v>716</v>
      </c>
      <c r="E371" s="172"/>
      <c r="F371" s="173"/>
      <c r="G371" s="504">
        <v>58000000</v>
      </c>
      <c r="H371" s="159">
        <f>H372</f>
        <v>0</v>
      </c>
      <c r="I371" s="159">
        <f t="shared" si="21"/>
        <v>58000000</v>
      </c>
      <c r="J371" s="504">
        <v>21000000</v>
      </c>
      <c r="K371" s="159">
        <f>K372</f>
        <v>0</v>
      </c>
      <c r="L371" s="159">
        <f t="shared" si="22"/>
        <v>21000000</v>
      </c>
    </row>
    <row r="372" spans="1:12" ht="78.75" x14ac:dyDescent="0.2">
      <c r="A372" s="157" t="str">
        <f>IF(B372&gt;0,VLOOKUP(B372,КВСР!A311:B1476,2),IF(C372&gt;0,VLOOKUP(C372,КФСР!A311:B1823,2),IF(D372&gt;0,VLOOKUP(D372,Программа!A$1:B$5100,2),IF(F372&gt;0,VLOOKUP(F372,КВР!A$1:B$5001,2),IF(E372&gt;0,VLOOKUP(E372,Направление!A$1:B$4830,2))))))</f>
        <v>Ведомственная целевая программа «Сохранение и развитие культуры Тутаевского муниципального района»</v>
      </c>
      <c r="B372" s="158"/>
      <c r="C372" s="153"/>
      <c r="D372" s="174" t="s">
        <v>819</v>
      </c>
      <c r="E372" s="172"/>
      <c r="F372" s="173"/>
      <c r="G372" s="504">
        <v>58000000</v>
      </c>
      <c r="H372" s="159">
        <f>H373+H376</f>
        <v>0</v>
      </c>
      <c r="I372" s="159">
        <f t="shared" si="21"/>
        <v>58000000</v>
      </c>
      <c r="J372" s="504">
        <v>21000000</v>
      </c>
      <c r="K372" s="159">
        <f>K373+K376</f>
        <v>0</v>
      </c>
      <c r="L372" s="159">
        <f t="shared" si="22"/>
        <v>21000000</v>
      </c>
    </row>
    <row r="373" spans="1:12" ht="47.25" x14ac:dyDescent="0.2">
      <c r="A373" s="157" t="str">
        <f>IF(B373&gt;0,VLOOKUP(B373,КВСР!A312:B1477,2),IF(C373&gt;0,VLOOKUP(C373,КФСР!A312:B1824,2),IF(D373&gt;0,VLOOKUP(D373,Программа!A$1:B$5100,2),IF(F373&gt;0,VLOOKUP(F373,КВР!A$1:B$5001,2),IF(E373&gt;0,VLOOKUP(E373,Направление!A$1:B$4830,2))))))</f>
        <v>Содействие доступу граждан к культурным ценностям</v>
      </c>
      <c r="B373" s="158"/>
      <c r="C373" s="153"/>
      <c r="D373" s="174" t="s">
        <v>838</v>
      </c>
      <c r="E373" s="172"/>
      <c r="F373" s="173"/>
      <c r="G373" s="504">
        <v>45000000</v>
      </c>
      <c r="H373" s="159">
        <f>H374</f>
        <v>0</v>
      </c>
      <c r="I373" s="159">
        <f t="shared" si="21"/>
        <v>45000000</v>
      </c>
      <c r="J373" s="504">
        <v>16000000</v>
      </c>
      <c r="K373" s="159">
        <f>K374</f>
        <v>0</v>
      </c>
      <c r="L373" s="159">
        <f t="shared" si="22"/>
        <v>16000000</v>
      </c>
    </row>
    <row r="374" spans="1:12" ht="47.25" x14ac:dyDescent="0.2">
      <c r="A374" s="157" t="str">
        <f>IF(B374&gt;0,VLOOKUP(B374,КВСР!A312:B1477,2),IF(C374&gt;0,VLOOKUP(C374,КФСР!A312:B1824,2),IF(D374&gt;0,VLOOKUP(D374,Программа!A$1:B$5100,2),IF(F374&gt;0,VLOOKUP(F374,КВР!A$1:B$5001,2),IF(E374&gt;0,VLOOKUP(E374,Направление!A$1:B$4830,2))))))</f>
        <v>Обеспечение деятельности учреждений по организации досуга в сфере культуры</v>
      </c>
      <c r="B374" s="158"/>
      <c r="C374" s="153"/>
      <c r="D374" s="174"/>
      <c r="E374" s="172">
        <v>15010</v>
      </c>
      <c r="F374" s="173"/>
      <c r="G374" s="504">
        <v>45000000</v>
      </c>
      <c r="H374" s="159">
        <f>H375</f>
        <v>0</v>
      </c>
      <c r="I374" s="159">
        <f t="shared" si="21"/>
        <v>45000000</v>
      </c>
      <c r="J374" s="504">
        <v>16000000</v>
      </c>
      <c r="K374" s="159">
        <f>K375</f>
        <v>0</v>
      </c>
      <c r="L374" s="159">
        <f t="shared" si="22"/>
        <v>16000000</v>
      </c>
    </row>
    <row r="375" spans="1:12" ht="78.75" x14ac:dyDescent="0.2">
      <c r="A375" s="157" t="str">
        <f>IF(B375&gt;0,VLOOKUP(B375,КВСР!A313:B1478,2),IF(C375&gt;0,VLOOKUP(C375,КФСР!A313:B1825,2),IF(D375&gt;0,VLOOKUP(D375,Программа!A$1:B$5100,2),IF(F375&gt;0,VLOOKUP(F375,КВР!A$1:B$5001,2),IF(E375&gt;0,VLOOKUP(E375,Направление!A$1:B$4830,2))))))</f>
        <v>Предоставление субсидий бюджетным, автономным учреждениям и иным некоммерческим организациям</v>
      </c>
      <c r="B375" s="158"/>
      <c r="C375" s="153"/>
      <c r="D375" s="174"/>
      <c r="E375" s="172"/>
      <c r="F375" s="173">
        <v>600</v>
      </c>
      <c r="G375" s="495">
        <v>45000000</v>
      </c>
      <c r="H375" s="194"/>
      <c r="I375" s="159">
        <f t="shared" si="21"/>
        <v>45000000</v>
      </c>
      <c r="J375" s="495">
        <v>16000000</v>
      </c>
      <c r="K375" s="194"/>
      <c r="L375" s="159">
        <f t="shared" si="22"/>
        <v>16000000</v>
      </c>
    </row>
    <row r="376" spans="1:12" ht="47.25" x14ac:dyDescent="0.2">
      <c r="A376" s="157" t="str">
        <f>IF(B376&gt;0,VLOOKUP(B376,КВСР!A314:B1479,2),IF(C376&gt;0,VLOOKUP(C376,КФСР!A314:B1826,2),IF(D376&gt;0,VLOOKUP(D376,Программа!A$1:B$5100,2),IF(F376&gt;0,VLOOKUP(F376,КВР!A$1:B$5001,2),IF(E376&gt;0,VLOOKUP(E376,Направление!A$1:B$4830,2))))))</f>
        <v>Поддержка доступа граждан к информационно-библиотечным ресурсам</v>
      </c>
      <c r="B376" s="158"/>
      <c r="C376" s="153"/>
      <c r="D376" s="174" t="s">
        <v>843</v>
      </c>
      <c r="E376" s="172"/>
      <c r="F376" s="173"/>
      <c r="G376" s="504">
        <v>13000000</v>
      </c>
      <c r="H376" s="159">
        <f>H377</f>
        <v>0</v>
      </c>
      <c r="I376" s="159">
        <f t="shared" si="21"/>
        <v>13000000</v>
      </c>
      <c r="J376" s="504">
        <v>5000000</v>
      </c>
      <c r="K376" s="159">
        <f>K377</f>
        <v>0</v>
      </c>
      <c r="L376" s="159">
        <f t="shared" si="22"/>
        <v>5000000</v>
      </c>
    </row>
    <row r="377" spans="1:12" ht="31.5" x14ac:dyDescent="0.2">
      <c r="A377" s="157" t="str">
        <f>IF(B377&gt;0,VLOOKUP(B377,КВСР!A315:B1480,2),IF(C377&gt;0,VLOOKUP(C377,КФСР!A315:B1827,2),IF(D377&gt;0,VLOOKUP(D377,Программа!A$1:B$5100,2),IF(F377&gt;0,VLOOKUP(F377,КВР!A$1:B$5001,2),IF(E377&gt;0,VLOOKUP(E377,Направление!A$1:B$4830,2))))))</f>
        <v>Обеспечение деятельности библиотек</v>
      </c>
      <c r="B377" s="158"/>
      <c r="C377" s="153"/>
      <c r="D377" s="174"/>
      <c r="E377" s="172">
        <v>15110</v>
      </c>
      <c r="F377" s="173"/>
      <c r="G377" s="504">
        <v>13000000</v>
      </c>
      <c r="H377" s="159">
        <f>H378</f>
        <v>0</v>
      </c>
      <c r="I377" s="159">
        <f t="shared" si="21"/>
        <v>13000000</v>
      </c>
      <c r="J377" s="504">
        <v>5000000</v>
      </c>
      <c r="K377" s="159">
        <f>K378</f>
        <v>0</v>
      </c>
      <c r="L377" s="159">
        <f t="shared" si="22"/>
        <v>5000000</v>
      </c>
    </row>
    <row r="378" spans="1:12" ht="78.75" x14ac:dyDescent="0.2">
      <c r="A378" s="157" t="str">
        <f>IF(B378&gt;0,VLOOKUP(B378,КВСР!A316:B1481,2),IF(C378&gt;0,VLOOKUP(C378,КФСР!A316:B1828,2),IF(D378&gt;0,VLOOKUP(D378,Программа!A$1:B$5100,2),IF(F378&gt;0,VLOOKUP(F378,КВР!A$1:B$5001,2),IF(E378&gt;0,VLOOKUP(E378,Направление!A$1:B$4830,2))))))</f>
        <v>Предоставление субсидий бюджетным, автономным учреждениям и иным некоммерческим организациям</v>
      </c>
      <c r="B378" s="158"/>
      <c r="C378" s="153"/>
      <c r="D378" s="174"/>
      <c r="E378" s="172"/>
      <c r="F378" s="173">
        <v>600</v>
      </c>
      <c r="G378" s="495">
        <v>13000000</v>
      </c>
      <c r="H378" s="194"/>
      <c r="I378" s="159">
        <f t="shared" si="21"/>
        <v>13000000</v>
      </c>
      <c r="J378" s="495">
        <v>5000000</v>
      </c>
      <c r="K378" s="194"/>
      <c r="L378" s="159">
        <f t="shared" si="22"/>
        <v>5000000</v>
      </c>
    </row>
    <row r="379" spans="1:12" ht="31.5" x14ac:dyDescent="0.2">
      <c r="A379" s="157" t="str">
        <f>IF(B379&gt;0,VLOOKUP(B379,КВСР!A317:B1482,2),IF(C379&gt;0,VLOOKUP(C379,КФСР!A317:B1829,2),IF(D379&gt;0,VLOOKUP(D379,Программа!A$1:B$5100,2),IF(F379&gt;0,VLOOKUP(F379,КВР!A$1:B$5001,2),IF(E379&gt;0,VLOOKUP(E379,Направление!A$1:B$4830,2))))))</f>
        <v>Другие вопросы в области культуры, кинематографии</v>
      </c>
      <c r="B379" s="158"/>
      <c r="C379" s="153">
        <v>804</v>
      </c>
      <c r="D379" s="154"/>
      <c r="E379" s="153"/>
      <c r="F379" s="155"/>
      <c r="G379" s="504">
        <v>28274673</v>
      </c>
      <c r="H379" s="159">
        <f>H380</f>
        <v>0</v>
      </c>
      <c r="I379" s="159">
        <f t="shared" si="21"/>
        <v>28274673</v>
      </c>
      <c r="J379" s="504">
        <v>28274673</v>
      </c>
      <c r="K379" s="159">
        <f>K380</f>
        <v>0</v>
      </c>
      <c r="L379" s="159">
        <f t="shared" si="22"/>
        <v>28274673</v>
      </c>
    </row>
    <row r="380" spans="1:12" ht="78.75" x14ac:dyDescent="0.2">
      <c r="A380" s="157" t="str">
        <f>IF(B380&gt;0,VLOOKUP(B380,КВСР!A329:B1494,2),IF(C380&gt;0,VLOOKUP(C380,КФСР!A329:B1841,2),IF(D380&gt;0,VLOOKUP(D380,Программа!A$1:B$5100,2),IF(F380&gt;0,VLOOKUP(F380,КВР!A$1:B$5001,2),IF(E380&gt;0,VLOOKUP(E380,Направление!A$1:B$4830,2))))))</f>
        <v>Муниципальная программа  "Развитие культуры, туризма и молодежной политики в Тутаевском муниципальном районе"</v>
      </c>
      <c r="B380" s="158"/>
      <c r="C380" s="153"/>
      <c r="D380" s="154" t="s">
        <v>716</v>
      </c>
      <c r="E380" s="153"/>
      <c r="F380" s="155"/>
      <c r="G380" s="504">
        <v>28274673</v>
      </c>
      <c r="H380" s="159">
        <f>H382</f>
        <v>0</v>
      </c>
      <c r="I380" s="159">
        <f t="shared" si="21"/>
        <v>28274673</v>
      </c>
      <c r="J380" s="504">
        <v>28274673</v>
      </c>
      <c r="K380" s="159">
        <f>K382</f>
        <v>0</v>
      </c>
      <c r="L380" s="159">
        <f t="shared" si="22"/>
        <v>28274673</v>
      </c>
    </row>
    <row r="381" spans="1:12" ht="78.75" x14ac:dyDescent="0.2">
      <c r="A381" s="157" t="str">
        <f>IF(B381&gt;0,VLOOKUP(B381,КВСР!A330:B1495,2),IF(C381&gt;0,VLOOKUP(C381,КФСР!A330:B1842,2),IF(D381&gt;0,VLOOKUP(D381,Программа!A$1:B$5100,2),IF(F381&gt;0,VLOOKUP(F381,КВР!A$1:B$5001,2),IF(E381&gt;0,VLOOKUP(E381,Направление!A$1:B$4830,2))))))</f>
        <v>Ведомственная целевая программа «Сохранение и развитие культуры Тутаевского муниципального района»</v>
      </c>
      <c r="B381" s="158"/>
      <c r="C381" s="153"/>
      <c r="D381" s="154" t="s">
        <v>819</v>
      </c>
      <c r="E381" s="153"/>
      <c r="F381" s="155"/>
      <c r="G381" s="504">
        <v>28274673</v>
      </c>
      <c r="H381" s="159">
        <f>H382</f>
        <v>0</v>
      </c>
      <c r="I381" s="159">
        <f t="shared" si="21"/>
        <v>28274673</v>
      </c>
      <c r="J381" s="504">
        <v>28274673</v>
      </c>
      <c r="K381" s="159">
        <f>K382</f>
        <v>0</v>
      </c>
      <c r="L381" s="159">
        <f t="shared" si="22"/>
        <v>28274673</v>
      </c>
    </row>
    <row r="382" spans="1:12" ht="47.25" x14ac:dyDescent="0.2">
      <c r="A382" s="157" t="str">
        <f>IF(B382&gt;0,VLOOKUP(B382,КВСР!A331:B1496,2),IF(C382&gt;0,VLOOKUP(C382,КФСР!A331:B1843,2),IF(D382&gt;0,VLOOKUP(D382,Программа!A$1:B$5100,2),IF(F382&gt;0,VLOOKUP(F382,КВР!A$1:B$5001,2),IF(E382&gt;0,VLOOKUP(E382,Направление!A$1:B$4830,2))))))</f>
        <v>Обеспечение эффективности управления системой культуры</v>
      </c>
      <c r="B382" s="158"/>
      <c r="C382" s="153"/>
      <c r="D382" s="154" t="s">
        <v>846</v>
      </c>
      <c r="E382" s="153"/>
      <c r="F382" s="155"/>
      <c r="G382" s="504">
        <v>28274673</v>
      </c>
      <c r="H382" s="159">
        <f>H383+H387+H391</f>
        <v>0</v>
      </c>
      <c r="I382" s="159">
        <f t="shared" si="21"/>
        <v>28274673</v>
      </c>
      <c r="J382" s="504">
        <v>28274673</v>
      </c>
      <c r="K382" s="159">
        <f>K383+K387+K391</f>
        <v>0</v>
      </c>
      <c r="L382" s="159">
        <f t="shared" si="22"/>
        <v>28274673</v>
      </c>
    </row>
    <row r="383" spans="1:12" ht="31.5" x14ac:dyDescent="0.2">
      <c r="A383" s="157" t="str">
        <f>IF(B383&gt;0,VLOOKUP(B383,КВСР!A332:B1497,2),IF(C383&gt;0,VLOOKUP(C383,КФСР!A332:B1844,2),IF(D383&gt;0,VLOOKUP(D383,Программа!A$1:B$5100,2),IF(F383&gt;0,VLOOKUP(F383,КВР!A$1:B$5001,2),IF(E383&gt;0,VLOOKUP(E383,Направление!A$1:B$4830,2))))))</f>
        <v>Содержание центрального аппарата</v>
      </c>
      <c r="B383" s="158"/>
      <c r="C383" s="153"/>
      <c r="D383" s="154"/>
      <c r="E383" s="153">
        <v>12010</v>
      </c>
      <c r="F383" s="155"/>
      <c r="G383" s="504">
        <v>3870015</v>
      </c>
      <c r="H383" s="504">
        <f>H384+H385+H386</f>
        <v>0</v>
      </c>
      <c r="I383" s="504">
        <f>I384+I385+I386</f>
        <v>3870015</v>
      </c>
      <c r="J383" s="504">
        <v>3870015</v>
      </c>
      <c r="K383" s="504">
        <f>K384+K385+K386</f>
        <v>0</v>
      </c>
      <c r="L383" s="504">
        <f>L384+L385+L386</f>
        <v>3870015</v>
      </c>
    </row>
    <row r="384" spans="1:12" ht="173.25" x14ac:dyDescent="0.2">
      <c r="A384" s="157" t="str">
        <f>IF(B384&gt;0,VLOOKUP(B384,КВСР!A332:B1497,2),IF(C384&gt;0,VLOOKUP(C384,КФСР!A332:B1844,2),IF(D384&gt;0,VLOOKUP(D384,Программа!A$1:B$5100,2),IF(F384&gt;0,VLOOKUP(F384,КВР!A$1:B$5001,2),IF(E384&gt;0,VLOOKUP(E384,Направление!A$1:B$4830,2))))))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4" s="158"/>
      <c r="C384" s="153"/>
      <c r="D384" s="154"/>
      <c r="E384" s="153"/>
      <c r="F384" s="155">
        <v>100</v>
      </c>
      <c r="G384" s="495">
        <v>3421129</v>
      </c>
      <c r="H384" s="194"/>
      <c r="I384" s="159">
        <f t="shared" si="21"/>
        <v>3421129</v>
      </c>
      <c r="J384" s="495">
        <v>3421129</v>
      </c>
      <c r="K384" s="194"/>
      <c r="L384" s="159">
        <f t="shared" si="22"/>
        <v>3421129</v>
      </c>
    </row>
    <row r="385" spans="1:12" ht="78.75" x14ac:dyDescent="0.2">
      <c r="A385" s="157" t="str">
        <f>IF(B385&gt;0,VLOOKUP(B385,КВСР!A333:B1498,2),IF(C385&gt;0,VLOOKUP(C385,КФСР!A333:B1845,2),IF(D385&gt;0,VLOOKUP(D385,Программа!A$1:B$5100,2),IF(F385&gt;0,VLOOKUP(F385,КВР!A$1:B$5001,2),IF(E385&gt;0,VLOOKUP(E385,Направление!A$1:B$4830,2))))))</f>
        <v xml:space="preserve">Закупка товаров, работ и услуг для обеспечения государственных (муниципальных) нужд
</v>
      </c>
      <c r="B385" s="158"/>
      <c r="C385" s="153"/>
      <c r="D385" s="154"/>
      <c r="E385" s="153"/>
      <c r="F385" s="155">
        <v>200</v>
      </c>
      <c r="G385" s="495">
        <v>392886</v>
      </c>
      <c r="H385" s="194"/>
      <c r="I385" s="159">
        <f t="shared" si="21"/>
        <v>392886</v>
      </c>
      <c r="J385" s="495">
        <v>392886</v>
      </c>
      <c r="K385" s="194"/>
      <c r="L385" s="159">
        <f t="shared" si="22"/>
        <v>392886</v>
      </c>
    </row>
    <row r="386" spans="1:12" ht="31.5" x14ac:dyDescent="0.2">
      <c r="A386" s="157" t="str">
        <f>IF(B386&gt;0,VLOOKUP(B386,КВСР!A334:B1499,2),IF(C386&gt;0,VLOOKUP(C386,КФСР!A334:B1846,2),IF(D386&gt;0,VLOOKUP(D386,Программа!A$1:B$5100,2),IF(F386&gt;0,VLOOKUP(F386,КВР!A$1:B$5001,2),IF(E386&gt;0,VLOOKUP(E386,Направление!A$1:B$4830,2))))))</f>
        <v>Иные бюджетные ассигнования</v>
      </c>
      <c r="B386" s="158"/>
      <c r="C386" s="153"/>
      <c r="D386" s="154"/>
      <c r="E386" s="153"/>
      <c r="F386" s="155">
        <v>800</v>
      </c>
      <c r="G386" s="495">
        <v>56000</v>
      </c>
      <c r="H386" s="194"/>
      <c r="I386" s="159">
        <f t="shared" si="21"/>
        <v>56000</v>
      </c>
      <c r="J386" s="495">
        <v>56000</v>
      </c>
      <c r="K386" s="194"/>
      <c r="L386" s="159">
        <f t="shared" si="22"/>
        <v>56000</v>
      </c>
    </row>
    <row r="387" spans="1:12" ht="47.25" x14ac:dyDescent="0.2">
      <c r="A387" s="157" t="str">
        <f>IF(B387&gt;0,VLOOKUP(B387,КВСР!A333:B1498,2),IF(C387&gt;0,VLOOKUP(C387,КФСР!A333:B1845,2),IF(D387&gt;0,VLOOKUP(D387,Программа!A$1:B$5100,2),IF(F387&gt;0,VLOOKUP(F387,КВР!A$1:B$5001,2),IF(E387&gt;0,VLOOKUP(E387,Направление!A$1:B$4830,2))))))</f>
        <v>Обеспечение деятельности прочих учреждений в сфере культуры</v>
      </c>
      <c r="B387" s="158"/>
      <c r="C387" s="153"/>
      <c r="D387" s="154"/>
      <c r="E387" s="153">
        <v>15210</v>
      </c>
      <c r="F387" s="155"/>
      <c r="G387" s="504">
        <v>24404658</v>
      </c>
      <c r="H387" s="504">
        <f>H388+H389+H390</f>
        <v>0</v>
      </c>
      <c r="I387" s="504">
        <f>I388+I389+I390</f>
        <v>24404658</v>
      </c>
      <c r="J387" s="504">
        <v>24404658</v>
      </c>
      <c r="K387" s="504">
        <f>K388+K389+K390</f>
        <v>0</v>
      </c>
      <c r="L387" s="504">
        <f>L388+L389+L390</f>
        <v>24404658</v>
      </c>
    </row>
    <row r="388" spans="1:12" ht="173.25" x14ac:dyDescent="0.2">
      <c r="A388" s="157" t="str">
        <f>IF(B388&gt;0,VLOOKUP(B388,КВСР!A334:B1499,2),IF(C388&gt;0,VLOOKUP(C388,КФСР!A334:B1846,2),IF(D388&gt;0,VLOOKUP(D388,Программа!A$1:B$5100,2),IF(F388&gt;0,VLOOKUP(F388,КВР!A$1:B$5001,2),IF(E388&gt;0,VLOOKUP(E388,Направление!A$1:B$4830,2))))))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8"/>
      <c r="C388" s="153"/>
      <c r="D388" s="154"/>
      <c r="E388" s="153"/>
      <c r="F388" s="155">
        <v>100</v>
      </c>
      <c r="G388" s="495">
        <v>23726658</v>
      </c>
      <c r="H388" s="194"/>
      <c r="I388" s="159">
        <f t="shared" si="21"/>
        <v>23726658</v>
      </c>
      <c r="J388" s="495">
        <v>23726658</v>
      </c>
      <c r="K388" s="194"/>
      <c r="L388" s="159">
        <f t="shared" si="22"/>
        <v>23726658</v>
      </c>
    </row>
    <row r="389" spans="1:12" ht="78.75" x14ac:dyDescent="0.2">
      <c r="A389" s="157" t="str">
        <f>IF(B389&gt;0,VLOOKUP(B389,КВСР!A335:B1500,2),IF(C389&gt;0,VLOOKUP(C389,КФСР!A335:B1847,2),IF(D389&gt;0,VLOOKUP(D389,Программа!A$1:B$5100,2),IF(F389&gt;0,VLOOKUP(F389,КВР!A$1:B$5001,2),IF(E389&gt;0,VLOOKUP(E389,Направление!A$1:B$4830,2))))))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8"/>
      <c r="C389" s="153"/>
      <c r="D389" s="154"/>
      <c r="E389" s="153"/>
      <c r="F389" s="155">
        <v>200</v>
      </c>
      <c r="G389" s="495">
        <v>661000</v>
      </c>
      <c r="H389" s="194"/>
      <c r="I389" s="159">
        <f t="shared" si="21"/>
        <v>661000</v>
      </c>
      <c r="J389" s="495">
        <v>661000</v>
      </c>
      <c r="K389" s="194"/>
      <c r="L389" s="159">
        <f t="shared" si="22"/>
        <v>661000</v>
      </c>
    </row>
    <row r="390" spans="1:12" ht="31.5" x14ac:dyDescent="0.2">
      <c r="A390" s="157" t="str">
        <f>IF(B390&gt;0,VLOOKUP(B390,КВСР!A336:B1501,2),IF(C390&gt;0,VLOOKUP(C390,КФСР!A336:B1848,2),IF(D390&gt;0,VLOOKUP(D390,Программа!A$1:B$5100,2),IF(F390&gt;0,VLOOKUP(F390,КВР!A$1:B$5001,2),IF(E390&gt;0,VLOOKUP(E390,Направление!A$1:B$4830,2))))))</f>
        <v>Иные бюджетные ассигнования</v>
      </c>
      <c r="B390" s="158"/>
      <c r="C390" s="153"/>
      <c r="D390" s="154"/>
      <c r="E390" s="153"/>
      <c r="F390" s="155">
        <v>800</v>
      </c>
      <c r="G390" s="495">
        <v>17000</v>
      </c>
      <c r="H390" s="194"/>
      <c r="I390" s="159">
        <f t="shared" si="21"/>
        <v>17000</v>
      </c>
      <c r="J390" s="495">
        <v>17000</v>
      </c>
      <c r="K390" s="194"/>
      <c r="L390" s="159">
        <f t="shared" si="22"/>
        <v>17000</v>
      </c>
    </row>
    <row r="391" spans="1:12" ht="47.25" hidden="1" x14ac:dyDescent="0.2">
      <c r="A391" s="157" t="str">
        <f>IF(B391&gt;0,VLOOKUP(B391,КВСР!A335:B1500,2),IF(C391&gt;0,VLOOKUP(C391,КФСР!A335:B1847,2),IF(D391&gt;0,VLOOKUP(D391,Программа!A$1:B$5100,2),IF(F391&gt;0,VLOOKUP(F391,КВР!A$1:B$5001,2),IF(E391&gt;0,VLOOKUP(E391,Направление!A$1:B$4830,2))))))</f>
        <v>Содержание органов местного самоуправления за счет средств поселений</v>
      </c>
      <c r="B391" s="158"/>
      <c r="C391" s="153"/>
      <c r="D391" s="154"/>
      <c r="E391" s="153">
        <v>29016</v>
      </c>
      <c r="F391" s="155"/>
      <c r="G391" s="504">
        <v>0</v>
      </c>
      <c r="H391" s="159">
        <f>H392+H393</f>
        <v>0</v>
      </c>
      <c r="I391" s="159">
        <f t="shared" si="21"/>
        <v>0</v>
      </c>
      <c r="J391" s="504">
        <v>0</v>
      </c>
      <c r="K391" s="159">
        <f>K392+K393</f>
        <v>0</v>
      </c>
      <c r="L391" s="159">
        <f t="shared" si="22"/>
        <v>0</v>
      </c>
    </row>
    <row r="392" spans="1:12" ht="173.25" hidden="1" x14ac:dyDescent="0.2">
      <c r="A392" s="157" t="str">
        <f>IF(B392&gt;0,VLOOKUP(B392,КВСР!A336:B1501,2),IF(C392&gt;0,VLOOKUP(C392,КФСР!A336:B1848,2),IF(D392&gt;0,VLOOKUP(D392,Программа!A$1:B$5100,2),IF(F392&gt;0,VLOOKUP(F392,КВР!A$1:B$5001,2),IF(E392&gt;0,VLOOKUP(E392,Направление!A$1:B$4830,2))))))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2" s="158"/>
      <c r="C392" s="153"/>
      <c r="D392" s="154"/>
      <c r="E392" s="153"/>
      <c r="F392" s="155">
        <v>100</v>
      </c>
      <c r="G392" s="495">
        <v>0</v>
      </c>
      <c r="H392" s="194"/>
      <c r="I392" s="159">
        <f t="shared" si="21"/>
        <v>0</v>
      </c>
      <c r="J392" s="495">
        <v>0</v>
      </c>
      <c r="K392" s="194"/>
      <c r="L392" s="159">
        <f t="shared" si="22"/>
        <v>0</v>
      </c>
    </row>
    <row r="393" spans="1:12" ht="78.75" hidden="1" x14ac:dyDescent="0.2">
      <c r="A393" s="157" t="str">
        <f>IF(B393&gt;0,VLOOKUP(B393,КВСР!A337:B1502,2),IF(C393&gt;0,VLOOKUP(C393,КФСР!A337:B1849,2),IF(D393&gt;0,VLOOKUP(D393,Программа!A$1:B$5100,2),IF(F393&gt;0,VLOOKUP(F393,КВР!A$1:B$5001,2),IF(E393&gt;0,VLOOKUP(E393,Направление!A$1:B$4830,2))))))</f>
        <v xml:space="preserve">Закупка товаров, работ и услуг для обеспечения государственных (муниципальных) нужд
</v>
      </c>
      <c r="B393" s="158"/>
      <c r="C393" s="153"/>
      <c r="D393" s="154"/>
      <c r="E393" s="153"/>
      <c r="F393" s="155">
        <v>200</v>
      </c>
      <c r="G393" s="495">
        <v>0</v>
      </c>
      <c r="H393" s="194"/>
      <c r="I393" s="159">
        <f t="shared" si="21"/>
        <v>0</v>
      </c>
      <c r="J393" s="495">
        <v>0</v>
      </c>
      <c r="K393" s="194"/>
      <c r="L393" s="159">
        <f t="shared" si="22"/>
        <v>0</v>
      </c>
    </row>
    <row r="394" spans="1:12" ht="31.5" x14ac:dyDescent="0.2">
      <c r="A394" s="157" t="str">
        <f>IF(B394&gt;0,VLOOKUP(B394,КВСР!A347:B1512,2),IF(C394&gt;0,VLOOKUP(C394,КФСР!A347:B1859,2),IF(D394&gt;0,VLOOKUP(D394,Программа!A$1:B$5100,2),IF(F394&gt;0,VLOOKUP(F394,КВР!A$1:B$5001,2),IF(E394&gt;0,VLOOKUP(E394,Направление!A$1:B$4830,2))))))</f>
        <v>Периодическая печать и издательства</v>
      </c>
      <c r="B394" s="158"/>
      <c r="C394" s="153">
        <v>1202</v>
      </c>
      <c r="D394" s="154"/>
      <c r="E394" s="153"/>
      <c r="F394" s="155"/>
      <c r="G394" s="504">
        <v>3010000</v>
      </c>
      <c r="H394" s="159">
        <f>H395</f>
        <v>0</v>
      </c>
      <c r="I394" s="159">
        <f t="shared" si="21"/>
        <v>3010000</v>
      </c>
      <c r="J394" s="504">
        <v>1500000</v>
      </c>
      <c r="K394" s="159">
        <f>K395</f>
        <v>0</v>
      </c>
      <c r="L394" s="159">
        <f t="shared" si="22"/>
        <v>1500000</v>
      </c>
    </row>
    <row r="395" spans="1:12" ht="31.5" x14ac:dyDescent="0.2">
      <c r="A395" s="157" t="str">
        <f>IF(B395&gt;0,VLOOKUP(B395,КВСР!A348:B1513,2),IF(C395&gt;0,VLOOKUP(C395,КФСР!A348:B1860,2),IF(D395&gt;0,VLOOKUP(D395,Программа!A$1:B$5100,2),IF(F395&gt;0,VLOOKUP(F395,КВР!A$1:B$5001,2),IF(E395&gt;0,VLOOKUP(E395,Направление!A$1:B$4830,2))))))</f>
        <v>Непрограммные расходы бюджета</v>
      </c>
      <c r="B395" s="158"/>
      <c r="C395" s="153"/>
      <c r="D395" s="154" t="s">
        <v>626</v>
      </c>
      <c r="E395" s="153"/>
      <c r="F395" s="155"/>
      <c r="G395" s="504">
        <v>3010000</v>
      </c>
      <c r="H395" s="159">
        <f>H396</f>
        <v>0</v>
      </c>
      <c r="I395" s="159">
        <f t="shared" si="21"/>
        <v>3010000</v>
      </c>
      <c r="J395" s="504">
        <v>1500000</v>
      </c>
      <c r="K395" s="159">
        <f>K396</f>
        <v>0</v>
      </c>
      <c r="L395" s="159">
        <f t="shared" si="22"/>
        <v>1500000</v>
      </c>
    </row>
    <row r="396" spans="1:12" ht="31.5" x14ac:dyDescent="0.2">
      <c r="A396" s="157" t="str">
        <f>IF(B396&gt;0,VLOOKUP(B396,КВСР!A349:B1514,2),IF(C396&gt;0,VLOOKUP(C396,КФСР!A349:B1861,2),IF(D396&gt;0,VLOOKUP(D396,Программа!A$1:B$5100,2),IF(F396&gt;0,VLOOKUP(F396,КВР!A$1:B$5001,2),IF(E396&gt;0,VLOOKUP(E396,Направление!A$1:B$4830,2))))))</f>
        <v xml:space="preserve">Поддержка периодических изданий </v>
      </c>
      <c r="B396" s="158"/>
      <c r="C396" s="153"/>
      <c r="D396" s="154"/>
      <c r="E396" s="153">
        <v>12750</v>
      </c>
      <c r="F396" s="155"/>
      <c r="G396" s="504">
        <v>3010000</v>
      </c>
      <c r="H396" s="159">
        <f>H397</f>
        <v>0</v>
      </c>
      <c r="I396" s="159">
        <f t="shared" si="21"/>
        <v>3010000</v>
      </c>
      <c r="J396" s="504">
        <v>1500000</v>
      </c>
      <c r="K396" s="159">
        <f>K397</f>
        <v>0</v>
      </c>
      <c r="L396" s="159">
        <f t="shared" si="22"/>
        <v>1500000</v>
      </c>
    </row>
    <row r="397" spans="1:12" ht="78.75" x14ac:dyDescent="0.2">
      <c r="A397" s="157" t="str">
        <f>IF(B397&gt;0,VLOOKUP(B397,КВСР!A350:B1515,2),IF(C397&gt;0,VLOOKUP(C397,КФСР!A350:B1862,2),IF(D397&gt;0,VLOOKUP(D397,Программа!A$1:B$5100,2),IF(F397&gt;0,VLOOKUP(F397,КВР!A$1:B$5001,2),IF(E397&gt;0,VLOOKUP(E397,Направление!A$1:B$4830,2))))))</f>
        <v>Предоставление субсидий бюджетным, автономным учреждениям и иным некоммерческим организациям</v>
      </c>
      <c r="B397" s="158"/>
      <c r="C397" s="153"/>
      <c r="D397" s="154"/>
      <c r="E397" s="153"/>
      <c r="F397" s="155">
        <v>600</v>
      </c>
      <c r="G397" s="495">
        <v>3010000</v>
      </c>
      <c r="H397" s="194"/>
      <c r="I397" s="159">
        <f t="shared" si="21"/>
        <v>3010000</v>
      </c>
      <c r="J397" s="495">
        <v>1500000</v>
      </c>
      <c r="K397" s="194"/>
      <c r="L397" s="159">
        <f t="shared" si="22"/>
        <v>1500000</v>
      </c>
    </row>
    <row r="398" spans="1:12" ht="47.25" x14ac:dyDescent="0.2">
      <c r="A398" s="151" t="str">
        <f>IF(B398&gt;0,VLOOKUP(B398,КВСР!A366:B1531,2),IF(C398&gt;0,VLOOKUP(C398,КФСР!A366:B1878,2),IF(D398&gt;0,VLOOKUP(D398,Программа!A$1:B$5100,2),IF(F398&gt;0,VLOOKUP(F398,КВР!A$1:B$5001,2),IF(E398&gt;0,VLOOKUP(E398,Направление!A$1:B$4830,2))))))</f>
        <v>Департамент ЖКХ и строительства Администрации ТМР</v>
      </c>
      <c r="B398" s="152">
        <v>958</v>
      </c>
      <c r="C398" s="153"/>
      <c r="D398" s="154"/>
      <c r="E398" s="153"/>
      <c r="F398" s="155"/>
      <c r="G398" s="610">
        <v>19837779</v>
      </c>
      <c r="H398" s="156">
        <f>H399+H403+H414+H429+H435+H451+H445+H409</f>
        <v>0</v>
      </c>
      <c r="I398" s="625">
        <f t="shared" si="21"/>
        <v>19837779</v>
      </c>
      <c r="J398" s="626">
        <v>9837779</v>
      </c>
      <c r="K398" s="625">
        <f>K399+K403+K414+K429+K435+K451+K445+K409</f>
        <v>0</v>
      </c>
      <c r="L398" s="625">
        <f t="shared" si="22"/>
        <v>9837779</v>
      </c>
    </row>
    <row r="399" spans="1:12" ht="47.25" hidden="1" x14ac:dyDescent="0.2">
      <c r="A399" s="157" t="str">
        <f>IF(B399&gt;0,VLOOKUP(B399,КВСР!A357:B1522,2),IF(C399&gt;0,VLOOKUP(C399,КФСР!A357:B1869,2),IF(D399&gt;0,VLOOKUP(D399,Программа!A$1:B$5100,2),IF(F399&gt;0,VLOOKUP(F399,КВР!A$1:B$5001,2),IF(E399&gt;0,VLOOKUP(E399,Направление!A$1:B$4830,2))))))</f>
        <v>Другие общегосударственные вопросы</v>
      </c>
      <c r="B399" s="152"/>
      <c r="C399" s="153">
        <v>113</v>
      </c>
      <c r="D399" s="154"/>
      <c r="E399" s="153"/>
      <c r="F399" s="155"/>
      <c r="G399" s="504">
        <v>0</v>
      </c>
      <c r="H399" s="159">
        <f>H400</f>
        <v>0</v>
      </c>
      <c r="I399" s="159">
        <f t="shared" si="21"/>
        <v>0</v>
      </c>
      <c r="J399" s="504">
        <v>0</v>
      </c>
      <c r="K399" s="159">
        <f>K400</f>
        <v>0</v>
      </c>
      <c r="L399" s="159">
        <f t="shared" si="22"/>
        <v>0</v>
      </c>
    </row>
    <row r="400" spans="1:12" ht="31.5" hidden="1" x14ac:dyDescent="0.2">
      <c r="A400" s="157" t="str">
        <f>IF(B400&gt;0,VLOOKUP(B400,КВСР!A358:B1523,2),IF(C400&gt;0,VLOOKUP(C400,КФСР!A358:B1870,2),IF(D400&gt;0,VLOOKUP(D400,Программа!A$1:B$5100,2),IF(F400&gt;0,VLOOKUP(F400,КВР!A$1:B$5001,2),IF(E400&gt;0,VLOOKUP(E400,Направление!A$1:B$4830,2))))))</f>
        <v>Непрограммные расходы бюджета</v>
      </c>
      <c r="B400" s="152"/>
      <c r="C400" s="153"/>
      <c r="D400" s="154" t="s">
        <v>626</v>
      </c>
      <c r="E400" s="153"/>
      <c r="F400" s="155"/>
      <c r="G400" s="504">
        <v>0</v>
      </c>
      <c r="H400" s="159">
        <f>H401</f>
        <v>0</v>
      </c>
      <c r="I400" s="159">
        <f t="shared" si="21"/>
        <v>0</v>
      </c>
      <c r="J400" s="504">
        <v>0</v>
      </c>
      <c r="K400" s="159">
        <f>K401</f>
        <v>0</v>
      </c>
      <c r="L400" s="159">
        <f t="shared" si="22"/>
        <v>0</v>
      </c>
    </row>
    <row r="401" spans="1:12" ht="63" hidden="1" x14ac:dyDescent="0.2">
      <c r="A401" s="157" t="str">
        <f>IF(B401&gt;0,VLOOKUP(B401,КВСР!A359:B1524,2),IF(C401&gt;0,VLOOKUP(C401,КФСР!A359:B1871,2),IF(D401&gt;0,VLOOKUP(D401,Программа!A$1:B$5100,2),IF(F401&gt;0,VLOOKUP(F401,КВР!A$1:B$5001,2),IF(E401&gt;0,VLOOKUP(E401,Направление!A$1:B$4830,2))))))</f>
        <v>Обеспечение деятельности подведомственных учреждений органов местного самоуправления</v>
      </c>
      <c r="B401" s="152"/>
      <c r="C401" s="153"/>
      <c r="D401" s="154"/>
      <c r="E401" s="153">
        <v>12100</v>
      </c>
      <c r="F401" s="155"/>
      <c r="G401" s="504">
        <v>0</v>
      </c>
      <c r="H401" s="159">
        <f>H402</f>
        <v>0</v>
      </c>
      <c r="I401" s="159">
        <f t="shared" si="21"/>
        <v>0</v>
      </c>
      <c r="J401" s="504">
        <v>0</v>
      </c>
      <c r="K401" s="159">
        <f>K402</f>
        <v>0</v>
      </c>
      <c r="L401" s="159">
        <f t="shared" si="22"/>
        <v>0</v>
      </c>
    </row>
    <row r="402" spans="1:12" ht="78.75" hidden="1" x14ac:dyDescent="0.2">
      <c r="A402" s="157" t="str">
        <f>IF(B402&gt;0,VLOOKUP(B402,КВСР!A360:B1525,2),IF(C402&gt;0,VLOOKUP(C402,КФСР!A360:B1872,2),IF(D402&gt;0,VLOOKUP(D402,Программа!A$1:B$5100,2),IF(F402&gt;0,VLOOKUP(F402,КВР!A$1:B$5001,2),IF(E402&gt;0,VLOOKUP(E402,Направление!A$1:B$4830,2))))))</f>
        <v>Предоставление субсидий бюджетным, автономным учреждениям и иным некоммерческим организациям</v>
      </c>
      <c r="B402" s="152"/>
      <c r="C402" s="153"/>
      <c r="D402" s="154"/>
      <c r="E402" s="153"/>
      <c r="F402" s="155">
        <v>600</v>
      </c>
      <c r="G402" s="495">
        <v>0</v>
      </c>
      <c r="H402" s="194"/>
      <c r="I402" s="159">
        <f t="shared" si="21"/>
        <v>0</v>
      </c>
      <c r="J402" s="495">
        <v>0</v>
      </c>
      <c r="K402" s="194"/>
      <c r="L402" s="159">
        <f t="shared" si="22"/>
        <v>0</v>
      </c>
    </row>
    <row r="403" spans="1:12" ht="31.5" x14ac:dyDescent="0.2">
      <c r="A403" s="157" t="str">
        <f>IF(B403&gt;0,VLOOKUP(B403,КВСР!A367:B1532,2),IF(C403&gt;0,VLOOKUP(C403,КФСР!A367:B1879,2),IF(D403&gt;0,VLOOKUP(D403,Программа!A$1:B$5100,2),IF(F403&gt;0,VLOOKUP(F403,КВР!A$1:B$5001,2),IF(E403&gt;0,VLOOKUP(E403,Направление!A$1:B$4830,2))))))</f>
        <v>Сельское хозяйство и рыболовство</v>
      </c>
      <c r="B403" s="152"/>
      <c r="C403" s="153">
        <v>405</v>
      </c>
      <c r="D403" s="154"/>
      <c r="E403" s="153"/>
      <c r="F403" s="155"/>
      <c r="G403" s="504">
        <v>688375</v>
      </c>
      <c r="H403" s="159">
        <f>H404</f>
        <v>0</v>
      </c>
      <c r="I403" s="159">
        <f t="shared" si="21"/>
        <v>688375</v>
      </c>
      <c r="J403" s="504">
        <v>688375</v>
      </c>
      <c r="K403" s="159">
        <f>K404</f>
        <v>0</v>
      </c>
      <c r="L403" s="159">
        <f t="shared" si="22"/>
        <v>688375</v>
      </c>
    </row>
    <row r="404" spans="1:12" ht="36" customHeight="1" x14ac:dyDescent="0.2">
      <c r="A404" s="157" t="str">
        <f>IF(B404&gt;0,VLOOKUP(B404,КВСР!A368:B1533,2),IF(C404&gt;0,VLOOKUP(C404,КФСР!A368:B1880,2),IF(D404&gt;0,VLOOKUP(D404,Программа!A$1:B$5100,2),IF(F404&gt;0,VLOOKUP(F404,КВР!A$1:B$5001,2),IF(E404&gt;0,VLOOKUP(E404,Направление!A$1:B$4830,2))))))</f>
        <v>Непрограммные расходы бюджета</v>
      </c>
      <c r="B404" s="152"/>
      <c r="C404" s="153"/>
      <c r="D404" s="154" t="s">
        <v>626</v>
      </c>
      <c r="E404" s="153"/>
      <c r="F404" s="155"/>
      <c r="G404" s="504">
        <v>688375</v>
      </c>
      <c r="H404" s="159">
        <f>H405+H407</f>
        <v>0</v>
      </c>
      <c r="I404" s="159">
        <f t="shared" si="21"/>
        <v>688375</v>
      </c>
      <c r="J404" s="504">
        <v>688375</v>
      </c>
      <c r="K404" s="159">
        <f>K405+K407</f>
        <v>0</v>
      </c>
      <c r="L404" s="159">
        <f t="shared" si="22"/>
        <v>688375</v>
      </c>
    </row>
    <row r="405" spans="1:12" ht="47.25" hidden="1" x14ac:dyDescent="0.2">
      <c r="A405" s="157" t="str">
        <f>IF(B405&gt;0,VLOOKUP(B405,КВСР!A369:B1534,2),IF(C405&gt;0,VLOOKUP(C405,КФСР!A369:B1881,2),IF(D405&gt;0,VLOOKUP(D405,Программа!A$1:B$5100,2),IF(F405&gt;0,VLOOKUP(F405,КВР!A$1:B$5001,2),IF(E405&gt;0,VLOOKUP(E405,Направление!A$1:B$4830,2))))))</f>
        <v>Субвенция на отлов и содержание безнадзорных животных</v>
      </c>
      <c r="B405" s="152"/>
      <c r="C405" s="153"/>
      <c r="D405" s="154"/>
      <c r="E405" s="153">
        <v>74420</v>
      </c>
      <c r="F405" s="155"/>
      <c r="G405" s="504">
        <v>0</v>
      </c>
      <c r="H405" s="159">
        <f>H406</f>
        <v>0</v>
      </c>
      <c r="I405" s="159">
        <f t="shared" si="21"/>
        <v>0</v>
      </c>
      <c r="J405" s="504">
        <v>0</v>
      </c>
      <c r="K405" s="159">
        <f>K406</f>
        <v>0</v>
      </c>
      <c r="L405" s="159">
        <f t="shared" si="22"/>
        <v>0</v>
      </c>
    </row>
    <row r="406" spans="1:12" ht="36.75" hidden="1" customHeight="1" x14ac:dyDescent="0.2">
      <c r="A406" s="157" t="str">
        <f>IF(B406&gt;0,VLOOKUP(B406,КВСР!A370:B1535,2),IF(C406&gt;0,VLOOKUP(C406,КФСР!A370:B1882,2),IF(D406&gt;0,VLOOKUP(D406,Программа!A$1:B$5100,2),IF(F406&gt;0,VLOOKUP(F406,КВР!A$1:B$5001,2),IF(E406&gt;0,VLOOKUP(E406,Направление!A$1:B$4830,2))))))</f>
        <v xml:space="preserve">Закупка товаров, работ и услуг для обеспечения государственных (муниципальных) нужд
</v>
      </c>
      <c r="B406" s="152"/>
      <c r="C406" s="153"/>
      <c r="D406" s="154"/>
      <c r="E406" s="153"/>
      <c r="F406" s="155">
        <v>200</v>
      </c>
      <c r="G406" s="495">
        <v>0</v>
      </c>
      <c r="H406" s="194"/>
      <c r="I406" s="159">
        <f t="shared" si="21"/>
        <v>0</v>
      </c>
      <c r="J406" s="495">
        <v>0</v>
      </c>
      <c r="K406" s="194"/>
      <c r="L406" s="159">
        <f t="shared" si="22"/>
        <v>0</v>
      </c>
    </row>
    <row r="407" spans="1:12" ht="46.5" hidden="1" customHeight="1" x14ac:dyDescent="0.2">
      <c r="A407" s="157" t="str">
        <f>IF(B407&gt;0,VLOOKUP(B407,КВСР!A371:B1536,2),IF(C407&gt;0,VLOOKUP(C407,КФСР!A371:B1883,2),IF(D407&gt;0,VLOOKUP(D407,Программа!A$1:B$5100,2),IF(F407&gt;0,VLOOKUP(F407,КВР!A$1:B$5001,2),IF(E407&gt;0,VLOOKUP(E407,Направление!A$1:B$4830,2))))))</f>
        <v>Субвенция на отлов и содержание безнадзорных животных</v>
      </c>
      <c r="B407" s="152"/>
      <c r="C407" s="153"/>
      <c r="D407" s="154"/>
      <c r="E407" s="153" t="s">
        <v>3277</v>
      </c>
      <c r="F407" s="155"/>
      <c r="G407" s="495"/>
      <c r="H407" s="495">
        <f>H408</f>
        <v>0</v>
      </c>
      <c r="I407" s="159"/>
      <c r="J407" s="495"/>
      <c r="K407" s="495">
        <f>K408</f>
        <v>0</v>
      </c>
      <c r="L407" s="159"/>
    </row>
    <row r="408" spans="1:12" ht="36.75" hidden="1" customHeight="1" x14ac:dyDescent="0.2">
      <c r="A408" s="157" t="str">
        <f>IF(B408&gt;0,VLOOKUP(B408,КВСР!A372:B1537,2),IF(C408&gt;0,VLOOKUP(C408,КФСР!A372:B1884,2),IF(D408&gt;0,VLOOKUP(D408,Программа!A$1:B$5100,2),IF(F408&gt;0,VLOOKUP(F408,КВР!A$1:B$5001,2),IF(E408&gt;0,VLOOKUP(E408,Направление!A$1:B$4830,2))))))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52"/>
      <c r="C408" s="153"/>
      <c r="D408" s="154"/>
      <c r="E408" s="153"/>
      <c r="F408" s="155">
        <v>200</v>
      </c>
      <c r="G408" s="495"/>
      <c r="H408" s="194"/>
      <c r="I408" s="159"/>
      <c r="J408" s="495"/>
      <c r="K408" s="194"/>
      <c r="L408" s="159"/>
    </row>
    <row r="409" spans="1:12" ht="28.5" customHeight="1" x14ac:dyDescent="0.2">
      <c r="A409" s="157" t="str">
        <f>IF(B409&gt;0,VLOOKUP(B409,КВСР!A371:B1536,2),IF(C409&gt;0,VLOOKUP(C409,КФСР!A371:B1883,2),IF(D409&gt;0,VLOOKUP(D409,Программа!A$1:B$5100,2),IF(F409&gt;0,VLOOKUP(F409,КВР!A$1:B$5001,2),IF(E409&gt;0,VLOOKUP(E409,Направление!A$1:B$4830,2))))))</f>
        <v>Транспорт</v>
      </c>
      <c r="B409" s="152"/>
      <c r="C409" s="153">
        <v>408</v>
      </c>
      <c r="D409" s="154"/>
      <c r="E409" s="153"/>
      <c r="F409" s="155"/>
      <c r="G409" s="495">
        <v>10000000</v>
      </c>
      <c r="H409" s="495">
        <f>H410</f>
        <v>0</v>
      </c>
      <c r="I409" s="159">
        <f t="shared" si="21"/>
        <v>10000000</v>
      </c>
      <c r="J409" s="495">
        <v>0</v>
      </c>
      <c r="K409" s="495">
        <f>K410</f>
        <v>0</v>
      </c>
      <c r="L409" s="159">
        <f t="shared" si="22"/>
        <v>0</v>
      </c>
    </row>
    <row r="410" spans="1:12" ht="36.75" customHeight="1" x14ac:dyDescent="0.2">
      <c r="A410" s="157" t="str">
        <f>IF(B410&gt;0,VLOOKUP(B410,КВСР!A372:B1537,2),IF(C410&gt;0,VLOOKUP(C410,КФСР!A372:B1884,2),IF(D410&gt;0,VLOOKUP(D410,Программа!A$1:B$5100,2),IF(F410&gt;0,VLOOKUP(F410,КВР!A$1:B$5001,2),IF(E410&gt;0,VLOOKUP(E410,Направление!A$1:B$4830,2))))))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10" s="152"/>
      <c r="C410" s="153"/>
      <c r="D410" s="154" t="s">
        <v>861</v>
      </c>
      <c r="E410" s="153"/>
      <c r="F410" s="155"/>
      <c r="G410" s="495">
        <v>10000000</v>
      </c>
      <c r="H410" s="495">
        <f>H411</f>
        <v>0</v>
      </c>
      <c r="I410" s="159">
        <f t="shared" si="21"/>
        <v>10000000</v>
      </c>
      <c r="J410" s="495">
        <v>0</v>
      </c>
      <c r="K410" s="495">
        <f>K411</f>
        <v>0</v>
      </c>
      <c r="L410" s="159">
        <f t="shared" si="22"/>
        <v>0</v>
      </c>
    </row>
    <row r="411" spans="1:12" ht="36.75" customHeight="1" x14ac:dyDescent="0.2">
      <c r="A411" s="157" t="str">
        <f>IF(B411&gt;0,VLOOKUP(B411,КВСР!A373:B1538,2),IF(C411&gt;0,VLOOKUP(C411,КФСР!A373:B1885,2),IF(D411&gt;0,VLOOKUP(D411,Программа!A$1:B$5100,2),IF(F411&gt;0,VLOOKUP(F411,КВР!A$1:B$5001,2),IF(E411&gt;0,VLOOKUP(E411,Направление!A$1:B$4830,2))))))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411" s="152"/>
      <c r="C411" s="153"/>
      <c r="D411" s="154" t="s">
        <v>867</v>
      </c>
      <c r="E411" s="153"/>
      <c r="F411" s="155"/>
      <c r="G411" s="495">
        <v>10000000</v>
      </c>
      <c r="H411" s="495">
        <f>H412</f>
        <v>0</v>
      </c>
      <c r="I411" s="159">
        <f t="shared" si="21"/>
        <v>10000000</v>
      </c>
      <c r="J411" s="495">
        <v>0</v>
      </c>
      <c r="K411" s="495">
        <f>K412</f>
        <v>0</v>
      </c>
      <c r="L411" s="159">
        <f t="shared" si="22"/>
        <v>0</v>
      </c>
    </row>
    <row r="412" spans="1:12" ht="36.75" customHeight="1" x14ac:dyDescent="0.2">
      <c r="A412" s="157" t="str">
        <f>IF(B412&gt;0,VLOOKUP(B412,КВСР!A374:B1539,2),IF(C412&gt;0,VLOOKUP(C412,КФСР!A374:B1886,2),IF(D412&gt;0,VLOOKUP(D412,Программа!A$1:B$5100,2),IF(F412&gt;0,VLOOKUP(F412,КВР!A$1:B$5001,2),IF(E412&gt;0,VLOOKUP(E412,Направление!A$1:B$4830,2))))))</f>
        <v>Субсидия на возмещение затрат по пассажирским перевозкам внутримуниципальным транспортом общего пользования</v>
      </c>
      <c r="B412" s="152"/>
      <c r="C412" s="153"/>
      <c r="D412" s="154"/>
      <c r="E412" s="153">
        <v>10100</v>
      </c>
      <c r="F412" s="155"/>
      <c r="G412" s="495">
        <v>10000000</v>
      </c>
      <c r="H412" s="495">
        <f>H413</f>
        <v>0</v>
      </c>
      <c r="I412" s="159">
        <f t="shared" si="21"/>
        <v>10000000</v>
      </c>
      <c r="J412" s="495">
        <v>0</v>
      </c>
      <c r="K412" s="495">
        <f>K413</f>
        <v>0</v>
      </c>
      <c r="L412" s="159">
        <f t="shared" si="22"/>
        <v>0</v>
      </c>
    </row>
    <row r="413" spans="1:12" ht="36.75" customHeight="1" x14ac:dyDescent="0.2">
      <c r="A413" s="157" t="str">
        <f>IF(B413&gt;0,VLOOKUP(B413,КВСР!A375:B1540,2),IF(C413&gt;0,VLOOKUP(C413,КФСР!A375:B1887,2),IF(D413&gt;0,VLOOKUP(D413,Программа!A$1:B$5100,2),IF(F413&gt;0,VLOOKUP(F413,КВР!A$1:B$5001,2),IF(E413&gt;0,VLOOKUP(E413,Направление!A$1:B$4830,2))))))</f>
        <v>Иные бюджетные ассигнования</v>
      </c>
      <c r="B413" s="152"/>
      <c r="C413" s="153"/>
      <c r="D413" s="154"/>
      <c r="E413" s="153"/>
      <c r="F413" s="155">
        <v>800</v>
      </c>
      <c r="G413" s="495">
        <v>10000000</v>
      </c>
      <c r="H413" s="194"/>
      <c r="I413" s="159">
        <f t="shared" si="21"/>
        <v>10000000</v>
      </c>
      <c r="J413" s="495">
        <v>0</v>
      </c>
      <c r="K413" s="194"/>
      <c r="L413" s="159">
        <f t="shared" si="22"/>
        <v>0</v>
      </c>
    </row>
    <row r="414" spans="1:12" ht="15.75" hidden="1" x14ac:dyDescent="0.2">
      <c r="A414" s="157" t="str">
        <f>IF(B414&gt;0,VLOOKUP(B414,КВСР!A371:B1536,2),IF(C414&gt;0,VLOOKUP(C414,КФСР!A371:B1883,2),IF(D414&gt;0,VLOOKUP(D414,Программа!A$1:B$5100,2),IF(F414&gt;0,VLOOKUP(F414,КВР!A$1:B$5001,2),IF(E414&gt;0,VLOOKUP(E414,Направление!A$1:B$4830,2))))))</f>
        <v>Дорожное хозяйство</v>
      </c>
      <c r="B414" s="152"/>
      <c r="C414" s="153">
        <v>409</v>
      </c>
      <c r="D414" s="154"/>
      <c r="E414" s="153"/>
      <c r="F414" s="155"/>
      <c r="G414" s="504">
        <v>0</v>
      </c>
      <c r="H414" s="159">
        <f>H415+H426</f>
        <v>0</v>
      </c>
      <c r="I414" s="159">
        <f t="shared" si="21"/>
        <v>0</v>
      </c>
      <c r="J414" s="504">
        <v>0</v>
      </c>
      <c r="K414" s="159">
        <f>K415+K426</f>
        <v>0</v>
      </c>
      <c r="L414" s="159">
        <f t="shared" si="22"/>
        <v>0</v>
      </c>
    </row>
    <row r="415" spans="1:12" ht="78.75" hidden="1" x14ac:dyDescent="0.2">
      <c r="A415" s="157" t="str">
        <f>IF(B415&gt;0,VLOOKUP(B415,КВСР!A372:B1537,2),IF(C415&gt;0,VLOOKUP(C415,КФСР!A372:B1884,2),IF(D415&gt;0,VLOOKUP(D415,Программа!A$1:B$5100,2),IF(F415&gt;0,VLOOKUP(F415,КВР!A$1:B$5001,2),IF(E415&gt;0,VLOOKUP(E415,Направление!A$1:B$4830,2))))))</f>
        <v>Муниципальная программа "Развитие дорожного хозяйства и транспорта в Тутаевском муниципальном районе"</v>
      </c>
      <c r="B415" s="152"/>
      <c r="C415" s="153"/>
      <c r="D415" s="154" t="s">
        <v>869</v>
      </c>
      <c r="E415" s="153"/>
      <c r="F415" s="155"/>
      <c r="G415" s="504">
        <v>0</v>
      </c>
      <c r="H415" s="159">
        <f>H416+H420</f>
        <v>0</v>
      </c>
      <c r="I415" s="159">
        <f t="shared" si="21"/>
        <v>0</v>
      </c>
      <c r="J415" s="504">
        <v>0</v>
      </c>
      <c r="K415" s="159">
        <f>K416+K420</f>
        <v>0</v>
      </c>
      <c r="L415" s="159">
        <f t="shared" si="22"/>
        <v>0</v>
      </c>
    </row>
    <row r="416" spans="1:12" ht="94.5" hidden="1" x14ac:dyDescent="0.2">
      <c r="A416" s="157" t="str">
        <f>IF(B416&gt;0,VLOOKUP(B416,КВСР!A373:B1538,2),IF(C416&gt;0,VLOOKUP(C416,КФСР!A373:B1885,2),IF(D416&gt;0,VLOOKUP(D416,Программа!A$1:B$5100,2),IF(F416&gt;0,VLOOKUP(F416,КВР!A$1:B$5001,2),IF(E416&gt;0,VLOOKUP(E416,Направление!A$1:B$4830,2))))))</f>
        <v>Муниципальная целевая программа «Повышение безопасности дорожного движения на территории Тутаевского муниципального района»</v>
      </c>
      <c r="B416" s="152"/>
      <c r="C416" s="153"/>
      <c r="D416" s="154" t="s">
        <v>871</v>
      </c>
      <c r="E416" s="153"/>
      <c r="F416" s="155"/>
      <c r="G416" s="504">
        <v>0</v>
      </c>
      <c r="H416" s="159">
        <f>H417</f>
        <v>0</v>
      </c>
      <c r="I416" s="159">
        <f t="shared" si="21"/>
        <v>0</v>
      </c>
      <c r="J416" s="504">
        <v>0</v>
      </c>
      <c r="K416" s="159">
        <f>K417</f>
        <v>0</v>
      </c>
      <c r="L416" s="159">
        <f t="shared" si="22"/>
        <v>0</v>
      </c>
    </row>
    <row r="417" spans="1:12" ht="63.75" hidden="1" customHeight="1" x14ac:dyDescent="0.2">
      <c r="A417" s="157" t="str">
        <f>IF(B417&gt;0,VLOOKUP(B417,КВСР!A374:B1539,2),IF(C417&gt;0,VLOOKUP(C417,КФСР!A374:B1886,2),IF(D417&gt;0,VLOOKUP(D417,Программа!A$1:B$5100,2),IF(F417&gt;0,VLOOKUP(F417,КВР!A$1:B$5001,2),IF(E417&gt;0,VLOOKUP(E417,Направление!A$1:B$4830,2))))))</f>
        <v>Повышение безопасности дорожного движения на автомобильных дорогах</v>
      </c>
      <c r="B417" s="152"/>
      <c r="C417" s="153"/>
      <c r="D417" s="154" t="s">
        <v>873</v>
      </c>
      <c r="E417" s="153"/>
      <c r="F417" s="155"/>
      <c r="G417" s="504">
        <v>0</v>
      </c>
      <c r="H417" s="159">
        <f>H419</f>
        <v>0</v>
      </c>
      <c r="I417" s="159">
        <f t="shared" si="21"/>
        <v>0</v>
      </c>
      <c r="J417" s="504">
        <v>0</v>
      </c>
      <c r="K417" s="159">
        <f>K419</f>
        <v>0</v>
      </c>
      <c r="L417" s="159">
        <f t="shared" si="22"/>
        <v>0</v>
      </c>
    </row>
    <row r="418" spans="1:12" ht="56.25" hidden="1" customHeight="1" x14ac:dyDescent="0.2">
      <c r="A418" s="157" t="str">
        <f>IF(B418&gt;0,VLOOKUP(B418,КВСР!A374:B1539,2),IF(C418&gt;0,VLOOKUP(C418,КФСР!A374:B1886,2),IF(D418&gt;0,VLOOKUP(D418,Программа!A$1:B$5100,2),IF(F418&gt;0,VLOOKUP(F418,КВР!A$1:B$5001,2),IF(E418&gt;0,VLOOKUP(E418,Направление!A$1:B$4830,2))))))</f>
        <v>Содержание и ремонт  автомобильных дорог общего пользования</v>
      </c>
      <c r="B418" s="152"/>
      <c r="C418" s="153"/>
      <c r="D418" s="154"/>
      <c r="E418" s="153">
        <v>10200</v>
      </c>
      <c r="F418" s="155"/>
      <c r="G418" s="504">
        <v>0</v>
      </c>
      <c r="H418" s="159">
        <f>H419</f>
        <v>0</v>
      </c>
      <c r="I418" s="159">
        <f t="shared" si="21"/>
        <v>0</v>
      </c>
      <c r="J418" s="504">
        <v>0</v>
      </c>
      <c r="K418" s="159">
        <f>K419</f>
        <v>0</v>
      </c>
      <c r="L418" s="159">
        <f t="shared" si="22"/>
        <v>0</v>
      </c>
    </row>
    <row r="419" spans="1:12" ht="78.75" hidden="1" x14ac:dyDescent="0.2">
      <c r="A419" s="157" t="str">
        <f>IF(B419&gt;0,VLOOKUP(B419,КВСР!A375:B1540,2),IF(C419&gt;0,VLOOKUP(C419,КФСР!A375:B1887,2),IF(D419&gt;0,VLOOKUP(D419,Программа!A$1:B$5100,2),IF(F419&gt;0,VLOOKUP(F419,КВР!A$1:B$5001,2),IF(E419&gt;0,VLOOKUP(E419,Направление!A$1:B$4830,2))))))</f>
        <v xml:space="preserve">Закупка товаров, работ и услуг для обеспечения государственных (муниципальных) нужд
</v>
      </c>
      <c r="B419" s="152"/>
      <c r="C419" s="153"/>
      <c r="D419" s="154"/>
      <c r="E419" s="153"/>
      <c r="F419" s="155">
        <v>200</v>
      </c>
      <c r="G419" s="495">
        <v>0</v>
      </c>
      <c r="H419" s="194"/>
      <c r="I419" s="159">
        <f t="shared" si="21"/>
        <v>0</v>
      </c>
      <c r="J419" s="495">
        <v>0</v>
      </c>
      <c r="K419" s="194"/>
      <c r="L419" s="159">
        <f t="shared" si="22"/>
        <v>0</v>
      </c>
    </row>
    <row r="420" spans="1:12" ht="94.5" hidden="1" x14ac:dyDescent="0.2">
      <c r="A420" s="157" t="str">
        <f>IF(B420&gt;0,VLOOKUP(B420,КВСР!A376:B1541,2),IF(C420&gt;0,VLOOKUP(C420,КФСР!A376:B1888,2),IF(D420&gt;0,VLOOKUP(D420,Программа!A$1:B$5100,2),IF(F420&gt;0,VLOOKUP(F420,КВР!A$1:B$5001,2),IF(E420&gt;0,VLOOKUP(E420,Направление!A$1:B$4830,2))))))</f>
        <v>Муниципальная целевая программа «Сохранность автомобильных дорог общего пользования Тутаевского муниципального района»</v>
      </c>
      <c r="B420" s="152"/>
      <c r="C420" s="153"/>
      <c r="D420" s="154" t="s">
        <v>876</v>
      </c>
      <c r="E420" s="153"/>
      <c r="F420" s="155"/>
      <c r="G420" s="504">
        <v>0</v>
      </c>
      <c r="H420" s="159">
        <f>H421</f>
        <v>0</v>
      </c>
      <c r="I420" s="159">
        <f t="shared" si="21"/>
        <v>0</v>
      </c>
      <c r="J420" s="504">
        <v>0</v>
      </c>
      <c r="K420" s="159">
        <f>K421</f>
        <v>0</v>
      </c>
      <c r="L420" s="159">
        <f t="shared" si="22"/>
        <v>0</v>
      </c>
    </row>
    <row r="421" spans="1:12" ht="65.25" hidden="1" customHeight="1" x14ac:dyDescent="0.2">
      <c r="A421" s="157" t="str">
        <f>IF(B421&gt;0,VLOOKUP(B421,КВСР!A377:B1542,2),IF(C421&gt;0,VLOOKUP(C421,КФСР!A377:B1889,2),IF(D421&gt;0,VLOOKUP(D421,Программа!A$1:B$5100,2),IF(F421&gt;0,VLOOKUP(F421,КВР!A$1:B$5001,2),IF(E421&gt;0,VLOOKUP(E421,Направление!A$1:B$4830,2))))))</f>
        <v>Приведение  в нормативное состояние автомобильных дорог общего пользования</v>
      </c>
      <c r="B421" s="152"/>
      <c r="C421" s="153"/>
      <c r="D421" s="154" t="s">
        <v>878</v>
      </c>
      <c r="E421" s="153"/>
      <c r="F421" s="155"/>
      <c r="G421" s="504">
        <v>0</v>
      </c>
      <c r="H421" s="159">
        <f>H422+H424</f>
        <v>0</v>
      </c>
      <c r="I421" s="159">
        <f t="shared" si="21"/>
        <v>0</v>
      </c>
      <c r="J421" s="504">
        <v>0</v>
      </c>
      <c r="K421" s="159">
        <f>K422+K424</f>
        <v>0</v>
      </c>
      <c r="L421" s="159">
        <f t="shared" si="22"/>
        <v>0</v>
      </c>
    </row>
    <row r="422" spans="1:12" ht="49.5" hidden="1" customHeight="1" x14ac:dyDescent="0.2">
      <c r="A422" s="157" t="str">
        <f>IF(B422&gt;0,VLOOKUP(B422,КВСР!A377:B1542,2),IF(C422&gt;0,VLOOKUP(C422,КФСР!A377:B1889,2),IF(D422&gt;0,VLOOKUP(D422,Программа!A$1:B$5100,2),IF(F422&gt;0,VLOOKUP(F422,КВР!A$1:B$5001,2),IF(E422&gt;0,VLOOKUP(E422,Направление!A$1:B$4830,2))))))</f>
        <v>Содержание и ремонт  автомобильных дорог общего пользования</v>
      </c>
      <c r="B422" s="152"/>
      <c r="C422" s="153"/>
      <c r="D422" s="154"/>
      <c r="E422" s="153">
        <v>10200</v>
      </c>
      <c r="F422" s="155"/>
      <c r="G422" s="504">
        <v>0</v>
      </c>
      <c r="H422" s="159">
        <f>H423</f>
        <v>0</v>
      </c>
      <c r="I422" s="159">
        <f t="shared" si="21"/>
        <v>0</v>
      </c>
      <c r="J422" s="504">
        <v>0</v>
      </c>
      <c r="K422" s="159">
        <f>K423</f>
        <v>0</v>
      </c>
      <c r="L422" s="159">
        <f t="shared" si="22"/>
        <v>0</v>
      </c>
    </row>
    <row r="423" spans="1:12" ht="78.75" hidden="1" x14ac:dyDescent="0.2">
      <c r="A423" s="157" t="str">
        <f>IF(B423&gt;0,VLOOKUP(B423,КВСР!A376:B1541,2),IF(C423&gt;0,VLOOKUP(C423,КФСР!A376:B1888,2),IF(D423&gt;0,VLOOKUP(D423,Программа!A$1:B$5100,2),IF(F423&gt;0,VLOOKUP(F423,КВР!A$1:B$5001,2),IF(E423&gt;0,VLOOKUP(E423,Направление!A$1:B$4830,2))))))</f>
        <v xml:space="preserve">Закупка товаров, работ и услуг для обеспечения государственных (муниципальных) нужд
</v>
      </c>
      <c r="B423" s="152"/>
      <c r="C423" s="153"/>
      <c r="D423" s="154"/>
      <c r="E423" s="153"/>
      <c r="F423" s="155">
        <v>200</v>
      </c>
      <c r="G423" s="495">
        <v>0</v>
      </c>
      <c r="H423" s="194"/>
      <c r="I423" s="159">
        <f t="shared" si="21"/>
        <v>0</v>
      </c>
      <c r="J423" s="495">
        <v>0</v>
      </c>
      <c r="K423" s="194"/>
      <c r="L423" s="159">
        <f t="shared" si="22"/>
        <v>0</v>
      </c>
    </row>
    <row r="424" spans="1:12" ht="63" hidden="1" x14ac:dyDescent="0.2">
      <c r="A424" s="157" t="str">
        <f>IF(B424&gt;0,VLOOKUP(B424,КВСР!A377:B1542,2),IF(C424&gt;0,VLOOKUP(C424,КФСР!A377:B1889,2),IF(D424&gt;0,VLOOKUP(D424,Программа!A$1:B$5100,2),IF(F424&gt;0,VLOOKUP(F424,КВР!A$1:B$5001,2),IF(E424&gt;0,VLOOKUP(E424,Направление!A$1:B$4830,2))))))</f>
        <v>Расходы на финансирование дорожного хозяйства за счет средств областного бюджета</v>
      </c>
      <c r="B424" s="152"/>
      <c r="C424" s="153"/>
      <c r="D424" s="154"/>
      <c r="E424" s="153">
        <v>72440</v>
      </c>
      <c r="F424" s="155"/>
      <c r="G424" s="504">
        <v>0</v>
      </c>
      <c r="H424" s="159">
        <f>H425</f>
        <v>0</v>
      </c>
      <c r="I424" s="159">
        <f t="shared" si="21"/>
        <v>0</v>
      </c>
      <c r="J424" s="504">
        <v>0</v>
      </c>
      <c r="K424" s="159">
        <f>K425</f>
        <v>0</v>
      </c>
      <c r="L424" s="159">
        <f t="shared" si="22"/>
        <v>0</v>
      </c>
    </row>
    <row r="425" spans="1:12" ht="78.75" hidden="1" x14ac:dyDescent="0.2">
      <c r="A425" s="157" t="str">
        <f>IF(B425&gt;0,VLOOKUP(B425,КВСР!A378:B1543,2),IF(C425&gt;0,VLOOKUP(C425,КФСР!A378:B1890,2),IF(D425&gt;0,VLOOKUP(D425,Программа!A$1:B$5100,2),IF(F425&gt;0,VLOOKUP(F425,КВР!A$1:B$5001,2),IF(E425&gt;0,VLOOKUP(E425,Направление!A$1:B$4830,2))))))</f>
        <v xml:space="preserve">Закупка товаров, работ и услуг для обеспечения государственных (муниципальных) нужд
</v>
      </c>
      <c r="B425" s="152"/>
      <c r="C425" s="153"/>
      <c r="D425" s="154"/>
      <c r="E425" s="153"/>
      <c r="F425" s="155">
        <v>200</v>
      </c>
      <c r="G425" s="495">
        <v>0</v>
      </c>
      <c r="H425" s="194"/>
      <c r="I425" s="159">
        <f t="shared" si="21"/>
        <v>0</v>
      </c>
      <c r="J425" s="495">
        <v>0</v>
      </c>
      <c r="K425" s="194"/>
      <c r="L425" s="159">
        <f t="shared" si="22"/>
        <v>0</v>
      </c>
    </row>
    <row r="426" spans="1:12" ht="47.25" hidden="1" x14ac:dyDescent="0.2">
      <c r="A426" s="157" t="str">
        <f>IF(B426&gt;0,VLOOKUP(B426,КВСР!A379:B1544,2),IF(C426&gt;0,VLOOKUP(C426,КФСР!A379:B1891,2),IF(D426&gt;0,VLOOKUP(D426,Программа!A$1:B$5100,2),IF(F426&gt;0,VLOOKUP(F426,КВР!A$1:B$5001,2),IF(E426&gt;0,VLOOKUP(E426,Направление!A$1:B$4830,2))))))</f>
        <v>Межбюджетные трансферты  поселениям района</v>
      </c>
      <c r="B426" s="152"/>
      <c r="C426" s="153"/>
      <c r="D426" s="154" t="s">
        <v>801</v>
      </c>
      <c r="E426" s="153"/>
      <c r="F426" s="155"/>
      <c r="G426" s="504">
        <v>0</v>
      </c>
      <c r="H426" s="159">
        <f>H427</f>
        <v>0</v>
      </c>
      <c r="I426" s="159">
        <f t="shared" si="21"/>
        <v>0</v>
      </c>
      <c r="J426" s="504">
        <v>0</v>
      </c>
      <c r="K426" s="159">
        <f>K427</f>
        <v>0</v>
      </c>
      <c r="L426" s="159">
        <f t="shared" si="22"/>
        <v>0</v>
      </c>
    </row>
    <row r="427" spans="1:12" ht="63" hidden="1" x14ac:dyDescent="0.2">
      <c r="A427" s="157" t="str">
        <f>IF(B427&gt;0,VLOOKUP(B427,КВСР!A380:B1545,2),IF(C427&gt;0,VLOOKUP(C427,КФСР!A380:B1892,2),IF(D427&gt;0,VLOOKUP(D427,Программа!A$1:B$5100,2),IF(F427&gt;0,VLOOKUP(F427,КВР!A$1:B$5001,2),IF(E427&gt;0,VLOOKUP(E427,Направление!A$1:B$4830,2))))))</f>
        <v>Расходы на финансирование дорожного хозяйства за счет средств областного бюджета</v>
      </c>
      <c r="B427" s="152"/>
      <c r="C427" s="153"/>
      <c r="D427" s="154"/>
      <c r="E427" s="153">
        <v>72440</v>
      </c>
      <c r="F427" s="155"/>
      <c r="G427" s="504">
        <v>0</v>
      </c>
      <c r="H427" s="159">
        <f>H428</f>
        <v>0</v>
      </c>
      <c r="I427" s="159">
        <f t="shared" si="21"/>
        <v>0</v>
      </c>
      <c r="J427" s="504">
        <v>0</v>
      </c>
      <c r="K427" s="159">
        <f>K428</f>
        <v>0</v>
      </c>
      <c r="L427" s="159">
        <f t="shared" si="22"/>
        <v>0</v>
      </c>
    </row>
    <row r="428" spans="1:12" ht="31.5" hidden="1" x14ac:dyDescent="0.2">
      <c r="A428" s="157" t="str">
        <f>IF(B428&gt;0,VLOOKUP(B428,КВСР!A381:B1546,2),IF(C428&gt;0,VLOOKUP(C428,КФСР!A381:B1893,2),IF(D428&gt;0,VLOOKUP(D428,Программа!A$1:B$5100,2),IF(F428&gt;0,VLOOKUP(F428,КВР!A$1:B$5001,2),IF(E428&gt;0,VLOOKUP(E428,Направление!A$1:B$4830,2))))))</f>
        <v xml:space="preserve"> Межбюджетные трансферты</v>
      </c>
      <c r="B428" s="152"/>
      <c r="C428" s="153"/>
      <c r="D428" s="154"/>
      <c r="E428" s="153"/>
      <c r="F428" s="155">
        <v>500</v>
      </c>
      <c r="G428" s="495">
        <v>0</v>
      </c>
      <c r="H428" s="194"/>
      <c r="I428" s="159">
        <f t="shared" si="21"/>
        <v>0</v>
      </c>
      <c r="J428" s="495">
        <v>0</v>
      </c>
      <c r="K428" s="194"/>
      <c r="L428" s="159">
        <f t="shared" si="22"/>
        <v>0</v>
      </c>
    </row>
    <row r="429" spans="1:12" ht="15.75" x14ac:dyDescent="0.2">
      <c r="A429" s="157" t="str">
        <f>IF(B429&gt;0,VLOOKUP(B429,КВСР!A377:B1542,2),IF(C429&gt;0,VLOOKUP(C429,КФСР!A377:B1889,2),IF(D429&gt;0,VLOOKUP(D429,Программа!A$1:B$5100,2),IF(F429&gt;0,VLOOKUP(F429,КВР!A$1:B$5001,2),IF(E429&gt;0,VLOOKUP(E429,Направление!A$1:B$4830,2))))))</f>
        <v>Коммунальное хозяйство</v>
      </c>
      <c r="B429" s="152"/>
      <c r="C429" s="153">
        <v>502</v>
      </c>
      <c r="D429" s="154"/>
      <c r="E429" s="153"/>
      <c r="F429" s="155"/>
      <c r="G429" s="504">
        <v>3000000</v>
      </c>
      <c r="H429" s="159">
        <f>H430</f>
        <v>0</v>
      </c>
      <c r="I429" s="159">
        <f t="shared" si="21"/>
        <v>3000000</v>
      </c>
      <c r="J429" s="504">
        <v>3000000</v>
      </c>
      <c r="K429" s="159">
        <f>K430</f>
        <v>0</v>
      </c>
      <c r="L429" s="159">
        <f t="shared" si="22"/>
        <v>3000000</v>
      </c>
    </row>
    <row r="430" spans="1:12" ht="94.5" x14ac:dyDescent="0.2">
      <c r="A430" s="157" t="str">
        <f>IF(B430&gt;0,VLOOKUP(B430,КВСР!A378:B1543,2),IF(C430&gt;0,VLOOKUP(C430,КФСР!A378:B1890,2),IF(D430&gt;0,VLOOKUP(D430,Программа!A$1:B$5100,2),IF(F430&gt;0,VLOOKUP(F430,КВР!A$1:B$5001,2),IF(E430&gt;0,VLOOKUP(E430,Направление!A$1:B$4830,2))))))</f>
        <v>Муниципальная программа "Обеспечение качественными коммунальными услугами населения Тутаевского муниципального района"</v>
      </c>
      <c r="B430" s="152"/>
      <c r="C430" s="153"/>
      <c r="D430" s="154" t="s">
        <v>851</v>
      </c>
      <c r="E430" s="153"/>
      <c r="F430" s="155"/>
      <c r="G430" s="504">
        <v>3000000</v>
      </c>
      <c r="H430" s="159">
        <f>H431</f>
        <v>0</v>
      </c>
      <c r="I430" s="159">
        <f t="shared" si="21"/>
        <v>3000000</v>
      </c>
      <c r="J430" s="504">
        <v>3000000</v>
      </c>
      <c r="K430" s="159">
        <f>K431</f>
        <v>0</v>
      </c>
      <c r="L430" s="159">
        <f t="shared" si="22"/>
        <v>3000000</v>
      </c>
    </row>
    <row r="431" spans="1:12" ht="114" customHeight="1" x14ac:dyDescent="0.2">
      <c r="A431" s="157" t="str">
        <f>IF(B431&gt;0,VLOOKUP(B431,КВСР!A379:B1544,2),IF(C431&gt;0,VLOOKUP(C431,КФСР!A379:B1891,2),IF(D431&gt;0,VLOOKUP(D431,Программа!A$1:B$5100,2),IF(F431&gt;0,VLOOKUP(F431,КВР!A$1:B$5001,2),IF(E431&gt;0,VLOOKUP(E431,Направление!A$1:B$4830,2))))))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31" s="152"/>
      <c r="C431" s="153"/>
      <c r="D431" s="154" t="s">
        <v>883</v>
      </c>
      <c r="E431" s="153"/>
      <c r="F431" s="155"/>
      <c r="G431" s="504">
        <v>3000000</v>
      </c>
      <c r="H431" s="159">
        <f>H432</f>
        <v>0</v>
      </c>
      <c r="I431" s="159">
        <f t="shared" si="21"/>
        <v>3000000</v>
      </c>
      <c r="J431" s="504">
        <v>3000000</v>
      </c>
      <c r="K431" s="159">
        <f>K432</f>
        <v>0</v>
      </c>
      <c r="L431" s="159">
        <f t="shared" si="22"/>
        <v>3000000</v>
      </c>
    </row>
    <row r="432" spans="1:12" ht="82.5" customHeight="1" x14ac:dyDescent="0.2">
      <c r="A432" s="157" t="str">
        <f>IF(B432&gt;0,VLOOKUP(B432,КВСР!A380:B1545,2),IF(C432&gt;0,VLOOKUP(C432,КФСР!A380:B1892,2),IF(D432&gt;0,VLOOKUP(D432,Программа!A$1:B$5100,2),IF(F432&gt;0,VLOOKUP(F432,КВР!A$1:B$5001,2),IF(E432&gt;0,VLOOKUP(E432,Направление!A$1:B$4830,2))))))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432" s="152"/>
      <c r="C432" s="153"/>
      <c r="D432" s="154" t="s">
        <v>927</v>
      </c>
      <c r="E432" s="153"/>
      <c r="F432" s="155"/>
      <c r="G432" s="504">
        <v>3000000</v>
      </c>
      <c r="H432" s="159">
        <f>H433</f>
        <v>0</v>
      </c>
      <c r="I432" s="159">
        <f t="shared" si="21"/>
        <v>3000000</v>
      </c>
      <c r="J432" s="504">
        <v>3000000</v>
      </c>
      <c r="K432" s="159">
        <f>K433</f>
        <v>0</v>
      </c>
      <c r="L432" s="159">
        <f t="shared" si="22"/>
        <v>3000000</v>
      </c>
    </row>
    <row r="433" spans="1:12" ht="48" customHeight="1" x14ac:dyDescent="0.2">
      <c r="A433" s="157" t="str">
        <f>IF(B433&gt;0,VLOOKUP(B433,КВСР!A380:B1545,2),IF(C433&gt;0,VLOOKUP(C433,КФСР!A380:B1892,2),IF(D433&gt;0,VLOOKUP(D433,Программа!A$1:B$5100,2),IF(F433&gt;0,VLOOKUP(F433,КВР!A$1:B$5001,2),IF(E433&gt;0,VLOOKUP(E433,Направление!A$1:B$4830,2))))))</f>
        <v>Бюджетные инвестиции в объекты капитального строительства муниципальной собственности</v>
      </c>
      <c r="B433" s="152"/>
      <c r="C433" s="153"/>
      <c r="D433" s="154"/>
      <c r="E433" s="153">
        <v>10010</v>
      </c>
      <c r="F433" s="155"/>
      <c r="G433" s="504">
        <v>3000000</v>
      </c>
      <c r="H433" s="159">
        <f>H434</f>
        <v>0</v>
      </c>
      <c r="I433" s="159">
        <f t="shared" si="21"/>
        <v>3000000</v>
      </c>
      <c r="J433" s="504">
        <v>3000000</v>
      </c>
      <c r="K433" s="159">
        <f>K434</f>
        <v>0</v>
      </c>
      <c r="L433" s="159">
        <f t="shared" si="22"/>
        <v>3000000</v>
      </c>
    </row>
    <row r="434" spans="1:12" ht="20.25" customHeight="1" x14ac:dyDescent="0.2">
      <c r="A434" s="157" t="str">
        <f>IF(B434&gt;0,VLOOKUP(B434,КВСР!A381:B1546,2),IF(C434&gt;0,VLOOKUP(C434,КФСР!A381:B1893,2),IF(D434&gt;0,VLOOKUP(D434,Программа!A$1:B$5100,2),IF(F434&gt;0,VLOOKUP(F434,КВР!A$1:B$5001,2),IF(E434&gt;0,VLOOKUP(E434,Направление!A$1:B$4830,2))))))</f>
        <v>Капитальные вложения в объекты государственной (муниципальной) собственности</v>
      </c>
      <c r="B434" s="152"/>
      <c r="C434" s="153"/>
      <c r="D434" s="154"/>
      <c r="E434" s="153"/>
      <c r="F434" s="155">
        <v>400</v>
      </c>
      <c r="G434" s="495">
        <v>3000000</v>
      </c>
      <c r="H434" s="194"/>
      <c r="I434" s="159">
        <f t="shared" si="21"/>
        <v>3000000</v>
      </c>
      <c r="J434" s="495">
        <v>3000000</v>
      </c>
      <c r="K434" s="194"/>
      <c r="L434" s="159">
        <f t="shared" si="22"/>
        <v>3000000</v>
      </c>
    </row>
    <row r="435" spans="1:12" ht="47.25" x14ac:dyDescent="0.2">
      <c r="A435" s="157" t="str">
        <f>IF(B435&gt;0,VLOOKUP(B435,КВСР!A390:B1555,2),IF(C435&gt;0,VLOOKUP(C435,КФСР!A390:B1902,2),IF(D435&gt;0,VLOOKUP(D435,Программа!A$1:B$5100,2),IF(F435&gt;0,VLOOKUP(F435,КВР!A$1:B$5001,2),IF(E435&gt;0,VLOOKUP(E435,Направление!A$1:B$4830,2))))))</f>
        <v>Другие вопросы в области жилищно-коммунального хозяйства</v>
      </c>
      <c r="B435" s="154"/>
      <c r="C435" s="153">
        <v>505</v>
      </c>
      <c r="D435" s="154"/>
      <c r="E435" s="153"/>
      <c r="F435" s="155"/>
      <c r="G435" s="504">
        <v>5475404</v>
      </c>
      <c r="H435" s="159">
        <f>H436</f>
        <v>0</v>
      </c>
      <c r="I435" s="159">
        <f t="shared" si="21"/>
        <v>5475404</v>
      </c>
      <c r="J435" s="504">
        <v>5475404</v>
      </c>
      <c r="K435" s="159">
        <f>K436</f>
        <v>0</v>
      </c>
      <c r="L435" s="159">
        <f t="shared" si="22"/>
        <v>5475404</v>
      </c>
    </row>
    <row r="436" spans="1:12" ht="31.5" x14ac:dyDescent="0.2">
      <c r="A436" s="157" t="str">
        <f>IF(B436&gt;0,VLOOKUP(B436,КВСР!A391:B1556,2),IF(C436&gt;0,VLOOKUP(C436,КФСР!A391:B1903,2),IF(D436&gt;0,VLOOKUP(D436,Программа!A$1:B$5100,2),IF(F436&gt;0,VLOOKUP(F436,КВР!A$1:B$5001,2),IF(E436&gt;0,VLOOKUP(E436,Направление!A$1:B$4830,2))))))</f>
        <v>Непрограммные расходы бюджета</v>
      </c>
      <c r="B436" s="158"/>
      <c r="C436" s="153"/>
      <c r="D436" s="154" t="s">
        <v>626</v>
      </c>
      <c r="E436" s="153"/>
      <c r="F436" s="155"/>
      <c r="G436" s="504">
        <v>5475404</v>
      </c>
      <c r="H436" s="159">
        <f>H437+H441</f>
        <v>0</v>
      </c>
      <c r="I436" s="159">
        <f t="shared" ref="I436:I473" si="23">SUM(G436:H436)</f>
        <v>5475404</v>
      </c>
      <c r="J436" s="504">
        <v>5475404</v>
      </c>
      <c r="K436" s="159">
        <f>K437+K441</f>
        <v>0</v>
      </c>
      <c r="L436" s="159">
        <f t="shared" ref="L436:L473" si="24">SUM(J436:K436)</f>
        <v>5475404</v>
      </c>
    </row>
    <row r="437" spans="1:12" ht="33.75" customHeight="1" x14ac:dyDescent="0.2">
      <c r="A437" s="157" t="str">
        <f>IF(B437&gt;0,VLOOKUP(B437,КВСР!A392:B1557,2),IF(C437&gt;0,VLOOKUP(C437,КФСР!A392:B1904,2),IF(D437&gt;0,VLOOKUP(D437,Программа!A$1:B$5100,2),IF(F437&gt;0,VLOOKUP(F437,КВР!A$1:B$5001,2),IF(E437&gt;0,VLOOKUP(E437,Направление!A$1:B$4830,2))))))</f>
        <v>Содержание центрального аппарата</v>
      </c>
      <c r="B437" s="158"/>
      <c r="C437" s="153"/>
      <c r="D437" s="154"/>
      <c r="E437" s="153">
        <v>12010</v>
      </c>
      <c r="F437" s="155"/>
      <c r="G437" s="504">
        <v>5475404</v>
      </c>
      <c r="H437" s="159">
        <f>H438</f>
        <v>0</v>
      </c>
      <c r="I437" s="159">
        <f t="shared" si="23"/>
        <v>5475404</v>
      </c>
      <c r="J437" s="504">
        <v>5475404</v>
      </c>
      <c r="K437" s="159">
        <f>K438</f>
        <v>0</v>
      </c>
      <c r="L437" s="159">
        <f t="shared" si="24"/>
        <v>5475404</v>
      </c>
    </row>
    <row r="438" spans="1:12" ht="173.25" x14ac:dyDescent="0.2">
      <c r="A438" s="157" t="str">
        <f>IF(B438&gt;0,VLOOKUP(B438,КВСР!A393:B1558,2),IF(C438&gt;0,VLOOKUP(C438,КФСР!A393:B1905,2),IF(D438&gt;0,VLOOKUP(D438,Программа!A$1:B$5100,2),IF(F438&gt;0,VLOOKUP(F438,КВР!A$1:B$5001,2),IF(E438&gt;0,VLOOKUP(E438,Направление!A$1:B$4830,2))))))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38" s="158"/>
      <c r="C438" s="153"/>
      <c r="D438" s="154"/>
      <c r="E438" s="153"/>
      <c r="F438" s="155">
        <v>100</v>
      </c>
      <c r="G438" s="495">
        <v>4378412</v>
      </c>
      <c r="H438" s="194"/>
      <c r="I438" s="159">
        <f t="shared" si="23"/>
        <v>4378412</v>
      </c>
      <c r="J438" s="495">
        <v>4378412</v>
      </c>
      <c r="K438" s="194"/>
      <c r="L438" s="159">
        <f t="shared" si="24"/>
        <v>4378412</v>
      </c>
    </row>
    <row r="439" spans="1:12" ht="68.25" customHeight="1" x14ac:dyDescent="0.2">
      <c r="A439" s="157" t="str">
        <f>IF(B439&gt;0,VLOOKUP(B439,КВСР!A394:B1559,2),IF(C439&gt;0,VLOOKUP(C439,КФСР!A394:B1906,2),IF(D439&gt;0,VLOOKUP(D439,Программа!A$1:B$5100,2),IF(F439&gt;0,VLOOKUP(F439,КВР!A$1:B$5001,2),IF(E439&gt;0,VLOOKUP(E439,Направление!A$1:B$4830,2))))))</f>
        <v xml:space="preserve">Закупка товаров, работ и услуг для обеспечения государственных (муниципальных) нужд
</v>
      </c>
      <c r="B439" s="158"/>
      <c r="C439" s="153"/>
      <c r="D439" s="154"/>
      <c r="E439" s="153"/>
      <c r="F439" s="155">
        <v>200</v>
      </c>
      <c r="G439" s="495">
        <v>1046992</v>
      </c>
      <c r="H439" s="194"/>
      <c r="I439" s="159">
        <f>SUM(G439:H439)</f>
        <v>1046992</v>
      </c>
      <c r="J439" s="495">
        <v>1046992</v>
      </c>
      <c r="K439" s="194"/>
      <c r="L439" s="159">
        <f>SUM(J439:K439)</f>
        <v>1046992</v>
      </c>
    </row>
    <row r="440" spans="1:12" ht="42" customHeight="1" x14ac:dyDescent="0.2">
      <c r="A440" s="157" t="str">
        <f>IF(B440&gt;0,VLOOKUP(B440,КВСР!A395:B1560,2),IF(C440&gt;0,VLOOKUP(C440,КФСР!A395:B1907,2),IF(D440&gt;0,VLOOKUP(D440,Программа!A$1:B$5100,2),IF(F440&gt;0,VLOOKUP(F440,КВР!A$1:B$5001,2),IF(E440&gt;0,VLOOKUP(E440,Направление!A$1:B$4830,2))))))</f>
        <v>Иные бюджетные ассигнования</v>
      </c>
      <c r="B440" s="158"/>
      <c r="C440" s="153"/>
      <c r="D440" s="154"/>
      <c r="E440" s="153"/>
      <c r="F440" s="155">
        <v>800</v>
      </c>
      <c r="G440" s="495">
        <v>50000</v>
      </c>
      <c r="H440" s="194"/>
      <c r="I440" s="159">
        <f>SUM(G440:H440)</f>
        <v>50000</v>
      </c>
      <c r="J440" s="495">
        <v>50000</v>
      </c>
      <c r="K440" s="194"/>
      <c r="L440" s="159">
        <f>SUM(J440:K440)</f>
        <v>50000</v>
      </c>
    </row>
    <row r="441" spans="1:12" ht="47.25" hidden="1" x14ac:dyDescent="0.2">
      <c r="A441" s="157" t="str">
        <f>IF(B441&gt;0,VLOOKUP(B441,КВСР!A394:B1559,2),IF(C441&gt;0,VLOOKUP(C441,КФСР!A394:B1906,2),IF(D441&gt;0,VLOOKUP(D441,Программа!A$1:B$5100,2),IF(F441&gt;0,VLOOKUP(F441,КВР!A$1:B$5001,2),IF(E441&gt;0,VLOOKUP(E441,Направление!A$1:B$4830,2))))))</f>
        <v>Содержание органов местного самоуправления за счет средств поселений</v>
      </c>
      <c r="B441" s="158"/>
      <c r="C441" s="153"/>
      <c r="D441" s="154"/>
      <c r="E441" s="153">
        <v>29016</v>
      </c>
      <c r="F441" s="155"/>
      <c r="G441" s="504">
        <v>0</v>
      </c>
      <c r="H441" s="159">
        <f>H442+H443+H444</f>
        <v>0</v>
      </c>
      <c r="I441" s="159">
        <f t="shared" si="23"/>
        <v>0</v>
      </c>
      <c r="J441" s="504">
        <v>0</v>
      </c>
      <c r="K441" s="159">
        <f>K442+K443+K444</f>
        <v>0</v>
      </c>
      <c r="L441" s="159">
        <f t="shared" si="24"/>
        <v>0</v>
      </c>
    </row>
    <row r="442" spans="1:12" ht="173.25" hidden="1" x14ac:dyDescent="0.2">
      <c r="A442" s="157" t="str">
        <f>IF(B442&gt;0,VLOOKUP(B442,КВСР!A395:B1560,2),IF(C442&gt;0,VLOOKUP(C442,КФСР!A395:B1907,2),IF(D442&gt;0,VLOOKUP(D442,Программа!A$1:B$5100,2),IF(F442&gt;0,VLOOKUP(F442,КВР!A$1:B$5001,2),IF(E442&gt;0,VLOOKUP(E442,Направление!A$1:B$4830,2))))))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2" s="158"/>
      <c r="C442" s="153"/>
      <c r="D442" s="154"/>
      <c r="E442" s="153"/>
      <c r="F442" s="155">
        <v>100</v>
      </c>
      <c r="G442" s="495">
        <v>0</v>
      </c>
      <c r="H442" s="194"/>
      <c r="I442" s="159">
        <f t="shared" si="23"/>
        <v>0</v>
      </c>
      <c r="J442" s="495">
        <v>0</v>
      </c>
      <c r="K442" s="194"/>
      <c r="L442" s="159">
        <f t="shared" si="24"/>
        <v>0</v>
      </c>
    </row>
    <row r="443" spans="1:12" ht="78.75" hidden="1" x14ac:dyDescent="0.2">
      <c r="A443" s="157" t="str">
        <f>IF(B443&gt;0,VLOOKUP(B443,КВСР!A396:B1561,2),IF(C443&gt;0,VLOOKUP(C443,КФСР!A396:B1908,2),IF(D443&gt;0,VLOOKUP(D443,Программа!A$1:B$5100,2),IF(F443&gt;0,VLOOKUP(F443,КВР!A$1:B$5001,2),IF(E443&gt;0,VLOOKUP(E443,Направление!A$1:B$4830,2))))))</f>
        <v xml:space="preserve">Закупка товаров, работ и услуг для обеспечения государственных (муниципальных) нужд
</v>
      </c>
      <c r="B443" s="158"/>
      <c r="C443" s="153"/>
      <c r="D443" s="154"/>
      <c r="E443" s="153"/>
      <c r="F443" s="155">
        <v>200</v>
      </c>
      <c r="G443" s="495">
        <v>0</v>
      </c>
      <c r="H443" s="194"/>
      <c r="I443" s="159">
        <f t="shared" si="23"/>
        <v>0</v>
      </c>
      <c r="J443" s="495">
        <v>0</v>
      </c>
      <c r="K443" s="194"/>
      <c r="L443" s="159">
        <f t="shared" si="24"/>
        <v>0</v>
      </c>
    </row>
    <row r="444" spans="1:12" ht="31.5" hidden="1" x14ac:dyDescent="0.2">
      <c r="A444" s="157" t="str">
        <f>IF(B444&gt;0,VLOOKUP(B444,КВСР!A397:B1562,2),IF(C444&gt;0,VLOOKUP(C444,КФСР!A397:B1909,2),IF(D444&gt;0,VLOOKUP(D444,Программа!A$1:B$5100,2),IF(F444&gt;0,VLOOKUP(F444,КВР!A$1:B$5001,2),IF(E444&gt;0,VLOOKUP(E444,Направление!A$1:B$4830,2))))))</f>
        <v>Иные бюджетные ассигнования</v>
      </c>
      <c r="B444" s="158"/>
      <c r="C444" s="153"/>
      <c r="D444" s="154"/>
      <c r="E444" s="153"/>
      <c r="F444" s="155">
        <v>800</v>
      </c>
      <c r="G444" s="495">
        <v>0</v>
      </c>
      <c r="H444" s="194"/>
      <c r="I444" s="159">
        <f t="shared" si="23"/>
        <v>0</v>
      </c>
      <c r="J444" s="495">
        <v>0</v>
      </c>
      <c r="K444" s="194"/>
      <c r="L444" s="159">
        <f t="shared" si="24"/>
        <v>0</v>
      </c>
    </row>
    <row r="445" spans="1:12" ht="31.5" hidden="1" x14ac:dyDescent="0.2">
      <c r="A445" s="157" t="str">
        <f>IF(B445&gt;0,VLOOKUP(B445,КВСР!A398:B1563,2),IF(C445&gt;0,VLOOKUP(C445,КФСР!A398:B1910,2),IF(D445&gt;0,VLOOKUP(D445,Программа!A$1:B$5100,2),IF(F445&gt;0,VLOOKUP(F445,КВР!A$1:B$5001,2),IF(E445&gt;0,VLOOKUP(E445,Направление!A$1:B$4830,2))))))</f>
        <v>Дополнительное образование детей</v>
      </c>
      <c r="B445" s="158"/>
      <c r="C445" s="153">
        <v>703</v>
      </c>
      <c r="D445" s="154"/>
      <c r="E445" s="153"/>
      <c r="F445" s="155"/>
      <c r="G445" s="504">
        <v>0</v>
      </c>
      <c r="H445" s="538">
        <f>H446</f>
        <v>0</v>
      </c>
      <c r="I445" s="159">
        <f t="shared" si="23"/>
        <v>0</v>
      </c>
      <c r="J445" s="504">
        <v>0</v>
      </c>
      <c r="K445" s="538">
        <f>K446</f>
        <v>0</v>
      </c>
      <c r="L445" s="159">
        <f t="shared" si="24"/>
        <v>0</v>
      </c>
    </row>
    <row r="446" spans="1:12" ht="94.5" hidden="1" x14ac:dyDescent="0.2">
      <c r="A446" s="157" t="str">
        <f>IF(B446&gt;0,VLOOKUP(B446,КВСР!A399:B1564,2),IF(C446&gt;0,VLOOKUP(C446,КФСР!A399:B1911,2),IF(D446&gt;0,VLOOKUP(D446,Программа!A$1:B$5100,2),IF(F446&gt;0,VLOOKUP(F446,КВР!A$1:B$5001,2),IF(E446&gt;0,VLOOKUP(E446,Направление!A$1:B$4830,2))))))</f>
        <v>Муниципальная программа "Обеспечение качественными коммунальными услугами населения Тутаевского муниципального района"</v>
      </c>
      <c r="B446" s="158"/>
      <c r="C446" s="153"/>
      <c r="D446" s="154" t="s">
        <v>851</v>
      </c>
      <c r="E446" s="153"/>
      <c r="F446" s="155"/>
      <c r="G446" s="504">
        <v>0</v>
      </c>
      <c r="H446" s="538">
        <f>H447</f>
        <v>0</v>
      </c>
      <c r="I446" s="159">
        <f t="shared" si="23"/>
        <v>0</v>
      </c>
      <c r="J446" s="504">
        <v>0</v>
      </c>
      <c r="K446" s="538">
        <f>K447</f>
        <v>0</v>
      </c>
      <c r="L446" s="159">
        <f t="shared" si="24"/>
        <v>0</v>
      </c>
    </row>
    <row r="447" spans="1:12" ht="110.25" hidden="1" x14ac:dyDescent="0.2">
      <c r="A447" s="157" t="str">
        <f>IF(B447&gt;0,VLOOKUP(B447,КВСР!A400:B1565,2),IF(C447&gt;0,VLOOKUP(C447,КФСР!A400:B1912,2),IF(D447&gt;0,VLOOKUP(D447,Программа!A$1:B$5100,2),IF(F447&gt;0,VLOOKUP(F447,КВР!A$1:B$5001,2),IF(E447&gt;0,VLOOKUP(E447,Направление!A$1:B$4830,2))))))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47" s="158"/>
      <c r="C447" s="153"/>
      <c r="D447" s="154" t="s">
        <v>883</v>
      </c>
      <c r="E447" s="153"/>
      <c r="F447" s="155"/>
      <c r="G447" s="504">
        <v>0</v>
      </c>
      <c r="H447" s="538">
        <f>H448</f>
        <v>0</v>
      </c>
      <c r="I447" s="159">
        <f t="shared" si="23"/>
        <v>0</v>
      </c>
      <c r="J447" s="504">
        <v>0</v>
      </c>
      <c r="K447" s="538">
        <f>K448</f>
        <v>0</v>
      </c>
      <c r="L447" s="159">
        <f t="shared" si="24"/>
        <v>0</v>
      </c>
    </row>
    <row r="448" spans="1:12" ht="63" hidden="1" x14ac:dyDescent="0.2">
      <c r="A448" s="157" t="str">
        <f>IF(B448&gt;0,VLOOKUP(B448,КВСР!A401:B1566,2),IF(C448&gt;0,VLOOKUP(C448,КФСР!A401:B1913,2),IF(D448&gt;0,VLOOKUP(D448,Программа!A$1:B$5100,2),IF(F448&gt;0,VLOOKUP(F448,КВР!A$1:B$5001,2),IF(E448&gt;0,VLOOKUP(E448,Направление!A$1:B$4830,2))))))</f>
        <v>Повышение уровня газификации и модернизации объектов социальной сферы</v>
      </c>
      <c r="B448" s="158"/>
      <c r="C448" s="153"/>
      <c r="D448" s="154" t="s">
        <v>884</v>
      </c>
      <c r="E448" s="153"/>
      <c r="F448" s="155"/>
      <c r="G448" s="504">
        <v>0</v>
      </c>
      <c r="H448" s="538">
        <f>H449</f>
        <v>0</v>
      </c>
      <c r="I448" s="159">
        <f t="shared" si="23"/>
        <v>0</v>
      </c>
      <c r="J448" s="504">
        <v>0</v>
      </c>
      <c r="K448" s="538">
        <f>K449</f>
        <v>0</v>
      </c>
      <c r="L448" s="159">
        <f t="shared" si="24"/>
        <v>0</v>
      </c>
    </row>
    <row r="449" spans="1:13" ht="63" hidden="1" x14ac:dyDescent="0.2">
      <c r="A449" s="157" t="str">
        <f>IF(B449&gt;0,VLOOKUP(B449,КВСР!A402:B1567,2),IF(C449&gt;0,VLOOKUP(C449,КФСР!A402:B1914,2),IF(D449&gt;0,VLOOKUP(D449,Программа!A$1:B$5100,2),IF(F449&gt;0,VLOOKUP(F449,КВР!A$1:B$5001,2),IF(E449&gt;0,VLOOKUP(E449,Направление!A$1:B$4830,2))))))</f>
        <v>Обеспечение деятельности учреждений дополнительного образования</v>
      </c>
      <c r="B449" s="158"/>
      <c r="C449" s="153"/>
      <c r="D449" s="155"/>
      <c r="E449" s="153">
        <v>13210</v>
      </c>
      <c r="F449" s="155"/>
      <c r="G449" s="504">
        <v>0</v>
      </c>
      <c r="H449" s="538">
        <f>H450</f>
        <v>0</v>
      </c>
      <c r="I449" s="159">
        <f t="shared" si="23"/>
        <v>0</v>
      </c>
      <c r="J449" s="504">
        <v>0</v>
      </c>
      <c r="K449" s="538">
        <f>K450</f>
        <v>0</v>
      </c>
      <c r="L449" s="159">
        <f t="shared" si="24"/>
        <v>0</v>
      </c>
    </row>
    <row r="450" spans="1:13" ht="63" hidden="1" x14ac:dyDescent="0.2">
      <c r="A450" s="157" t="str">
        <f>IF(B450&gt;0,VLOOKUP(B450,КВСР!A401:B1566,2),IF(C450&gt;0,VLOOKUP(C450,КФСР!A401:B1913,2),IF(D450&gt;0,VLOOKUP(D450,Программа!A$1:B$5100,2),IF(F450&gt;0,VLOOKUP(F450,КВР!A$1:B$5001,2),IF(E450&gt;0,VLOOKUP(E450,Направление!A$1:B$4830,2))))))</f>
        <v>Капитальные вложения в объекты государственной (муниципальной) собственности</v>
      </c>
      <c r="B450" s="158"/>
      <c r="C450" s="153"/>
      <c r="D450" s="155"/>
      <c r="E450" s="153"/>
      <c r="F450" s="155">
        <v>400</v>
      </c>
      <c r="G450" s="495">
        <v>0</v>
      </c>
      <c r="H450" s="194"/>
      <c r="I450" s="159">
        <f t="shared" si="23"/>
        <v>0</v>
      </c>
      <c r="J450" s="495">
        <v>0</v>
      </c>
      <c r="K450" s="194"/>
      <c r="L450" s="159">
        <f t="shared" si="24"/>
        <v>0</v>
      </c>
    </row>
    <row r="451" spans="1:13" ht="31.5" x14ac:dyDescent="0.2">
      <c r="A451" s="157" t="str">
        <f>IF(B451&gt;0,VLOOKUP(B451,КВСР!A398:B1563,2),IF(C451&gt;0,VLOOKUP(C451,КФСР!A398:B1910,2),IF(D451&gt;0,VLOOKUP(D451,Программа!A$1:B$5100,2),IF(F451&gt;0,VLOOKUP(F451,КВР!A$1:B$5001,2),IF(E451&gt;0,VLOOKUP(E451,Направление!A$1:B$4830,2))))))</f>
        <v>Социальное обеспечение населения</v>
      </c>
      <c r="B451" s="158"/>
      <c r="C451" s="153">
        <v>1003</v>
      </c>
      <c r="D451" s="154"/>
      <c r="E451" s="153"/>
      <c r="F451" s="155"/>
      <c r="G451" s="495">
        <v>674000</v>
      </c>
      <c r="H451" s="495">
        <f>H452</f>
        <v>0</v>
      </c>
      <c r="I451" s="159">
        <f t="shared" si="23"/>
        <v>674000</v>
      </c>
      <c r="J451" s="495">
        <v>674000</v>
      </c>
      <c r="K451" s="495">
        <f>K452</f>
        <v>0</v>
      </c>
      <c r="L451" s="159">
        <f t="shared" si="24"/>
        <v>674000</v>
      </c>
    </row>
    <row r="452" spans="1:13" ht="99.75" customHeight="1" x14ac:dyDescent="0.2">
      <c r="A452" s="157" t="str">
        <f>IF(B452&gt;0,VLOOKUP(B452,КВСР!A399:B1564,2),IF(C452&gt;0,VLOOKUP(C452,КФСР!A399:B1911,2),IF(D452&gt;0,VLOOKUP(D452,Программа!A$1:B$5100,2),IF(F452&gt;0,VLOOKUP(F452,КВР!A$1:B$5001,2),IF(E452&gt;0,VLOOKUP(E452,Направление!A$1:B$4830,2))))))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52" s="158"/>
      <c r="C452" s="153"/>
      <c r="D452" s="154" t="s">
        <v>861</v>
      </c>
      <c r="E452" s="153"/>
      <c r="F452" s="155"/>
      <c r="G452" s="168">
        <v>674000</v>
      </c>
      <c r="H452" s="168">
        <f>H453+H456</f>
        <v>0</v>
      </c>
      <c r="I452" s="159">
        <f t="shared" si="23"/>
        <v>674000</v>
      </c>
      <c r="J452" s="168">
        <v>674000</v>
      </c>
      <c r="K452" s="168">
        <f>K453+K456</f>
        <v>0</v>
      </c>
      <c r="L452" s="159">
        <f t="shared" si="24"/>
        <v>674000</v>
      </c>
    </row>
    <row r="453" spans="1:13" ht="129.75" customHeight="1" x14ac:dyDescent="0.2">
      <c r="A453" s="157" t="str">
        <f>IF(B453&gt;0,VLOOKUP(B453,КВСР!A400:B1565,2),IF(C453&gt;0,VLOOKUP(C453,КФСР!A400:B1912,2),IF(D453&gt;0,VLOOKUP(D453,Программа!A$1:B$5100,2),IF(F453&gt;0,VLOOKUP(F453,КВР!A$1:B$5001,2),IF(E453&gt;0,VLOOKUP(E453,Направление!A$1:B$4830,2))))))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53" s="158"/>
      <c r="C453" s="153"/>
      <c r="D453" s="154" t="s">
        <v>863</v>
      </c>
      <c r="E453" s="153"/>
      <c r="F453" s="155"/>
      <c r="G453" s="168">
        <v>15000</v>
      </c>
      <c r="H453" s="168">
        <f>H454</f>
        <v>0</v>
      </c>
      <c r="I453" s="159">
        <f t="shared" si="23"/>
        <v>15000</v>
      </c>
      <c r="J453" s="168">
        <v>15000</v>
      </c>
      <c r="K453" s="168">
        <f>K454</f>
        <v>0</v>
      </c>
      <c r="L453" s="159">
        <f t="shared" si="24"/>
        <v>15000</v>
      </c>
    </row>
    <row r="454" spans="1:13" ht="132" customHeight="1" x14ac:dyDescent="0.2">
      <c r="A454" s="157" t="str">
        <f>IF(B454&gt;0,VLOOKUP(B454,КВСР!A401:B1566,2),IF(C454&gt;0,VLOOKUP(C454,КФСР!A401:B1913,2),IF(D454&gt;0,VLOOKUP(D454,Программа!A$1:B$5100,2),IF(F454&gt;0,VLOOKUP(F454,КВР!A$1:B$5001,2),IF(E454&gt;0,VLOOKUP(E454,Направление!A$1:B$4830,2))))))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54" s="158"/>
      <c r="C454" s="153"/>
      <c r="D454" s="154"/>
      <c r="E454" s="153">
        <v>72550</v>
      </c>
      <c r="F454" s="155"/>
      <c r="G454" s="168">
        <v>15000</v>
      </c>
      <c r="H454" s="168">
        <f>H455</f>
        <v>0</v>
      </c>
      <c r="I454" s="159">
        <f t="shared" si="23"/>
        <v>15000</v>
      </c>
      <c r="J454" s="168">
        <v>15000</v>
      </c>
      <c r="K454" s="168">
        <f>K455</f>
        <v>0</v>
      </c>
      <c r="L454" s="159">
        <f t="shared" si="24"/>
        <v>15000</v>
      </c>
    </row>
    <row r="455" spans="1:13" ht="31.5" x14ac:dyDescent="0.2">
      <c r="A455" s="157" t="str">
        <f>IF(B455&gt;0,VLOOKUP(B455,КВСР!A402:B1567,2),IF(C455&gt;0,VLOOKUP(C455,КФСР!A402:B1914,2),IF(D455&gt;0,VLOOKUP(D455,Программа!A$1:B$5100,2),IF(F455&gt;0,VLOOKUP(F455,КВР!A$1:B$5001,2),IF(E455&gt;0,VLOOKUP(E455,Направление!A$1:B$4830,2))))))</f>
        <v>Иные бюджетные ассигнования</v>
      </c>
      <c r="B455" s="158"/>
      <c r="C455" s="153"/>
      <c r="D455" s="154"/>
      <c r="E455" s="153"/>
      <c r="F455" s="155">
        <v>800</v>
      </c>
      <c r="G455" s="495">
        <v>15000</v>
      </c>
      <c r="H455" s="194"/>
      <c r="I455" s="159">
        <f t="shared" si="23"/>
        <v>15000</v>
      </c>
      <c r="J455" s="495">
        <v>15000</v>
      </c>
      <c r="K455" s="194"/>
      <c r="L455" s="159">
        <f t="shared" si="24"/>
        <v>15000</v>
      </c>
    </row>
    <row r="456" spans="1:13" ht="126" x14ac:dyDescent="0.2">
      <c r="A456" s="157" t="str">
        <f>IF(B456&gt;0,VLOOKUP(B456,КВСР!A403:B1568,2),IF(C456&gt;0,VLOOKUP(C456,КФСР!A403:B1915,2),IF(D456&gt;0,VLOOKUP(D456,Программа!A$1:B$5100,2),IF(F456&gt;0,VLOOKUP(F456,КВР!A$1:B$5001,2),IF(E456&gt;0,VLOOKUP(E456,Направление!A$1:B$4830,2))))))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56" s="158"/>
      <c r="C456" s="153"/>
      <c r="D456" s="154" t="s">
        <v>865</v>
      </c>
      <c r="E456" s="153"/>
      <c r="F456" s="155"/>
      <c r="G456" s="168">
        <v>659000</v>
      </c>
      <c r="H456" s="168">
        <f>H457</f>
        <v>0</v>
      </c>
      <c r="I456" s="159">
        <f t="shared" si="23"/>
        <v>659000</v>
      </c>
      <c r="J456" s="168">
        <v>659000</v>
      </c>
      <c r="K456" s="168">
        <f>K457</f>
        <v>0</v>
      </c>
      <c r="L456" s="159">
        <f t="shared" si="24"/>
        <v>659000</v>
      </c>
    </row>
    <row r="457" spans="1:13" ht="114" customHeight="1" x14ac:dyDescent="0.2">
      <c r="A457" s="157" t="str">
        <f>IF(B457&gt;0,VLOOKUP(B457,КВСР!A404:B1569,2),IF(C457&gt;0,VLOOKUP(C457,КФСР!A404:B1916,2),IF(D457&gt;0,VLOOKUP(D457,Программа!A$1:B$5100,2),IF(F457&gt;0,VLOOKUP(F457,КВР!A$1:B$5001,2),IF(E457&gt;0,VLOOKUP(E457,Направление!A$1:B$4830,2))))))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57" s="158"/>
      <c r="C457" s="153"/>
      <c r="D457" s="154"/>
      <c r="E457" s="153">
        <v>72560</v>
      </c>
      <c r="F457" s="155"/>
      <c r="G457" s="168">
        <v>659000</v>
      </c>
      <c r="H457" s="168">
        <f>H458</f>
        <v>0</v>
      </c>
      <c r="I457" s="159">
        <f t="shared" si="23"/>
        <v>659000</v>
      </c>
      <c r="J457" s="168">
        <v>659000</v>
      </c>
      <c r="K457" s="168">
        <f>K458</f>
        <v>0</v>
      </c>
      <c r="L457" s="159">
        <f t="shared" si="24"/>
        <v>659000</v>
      </c>
    </row>
    <row r="458" spans="1:13" ht="31.5" x14ac:dyDescent="0.2">
      <c r="A458" s="157" t="str">
        <f>IF(B458&gt;0,VLOOKUP(B458,КВСР!A405:B1570,2),IF(C458&gt;0,VLOOKUP(C458,КФСР!A405:B1917,2),IF(D458&gt;0,VLOOKUP(D458,Программа!A$1:B$5100,2),IF(F458&gt;0,VLOOKUP(F458,КВР!A$1:B$5001,2),IF(E458&gt;0,VLOOKUP(E458,Направление!A$1:B$4830,2))))))</f>
        <v>Иные бюджетные ассигнования</v>
      </c>
      <c r="B458" s="158"/>
      <c r="C458" s="153"/>
      <c r="D458" s="154"/>
      <c r="E458" s="153"/>
      <c r="F458" s="155">
        <v>800</v>
      </c>
      <c r="G458" s="495">
        <v>659000</v>
      </c>
      <c r="H458" s="194"/>
      <c r="I458" s="159">
        <f t="shared" si="23"/>
        <v>659000</v>
      </c>
      <c r="J458" s="495">
        <v>659000</v>
      </c>
      <c r="K458" s="194"/>
      <c r="L458" s="159">
        <f t="shared" si="24"/>
        <v>659000</v>
      </c>
    </row>
    <row r="459" spans="1:13" ht="31.5" x14ac:dyDescent="0.2">
      <c r="A459" s="151" t="str">
        <f>IF(B459&gt;0,VLOOKUP(B459,КВСР!A415:B1580,2),IF(C459&gt;0,VLOOKUP(C459,КФСР!A415:B1927,2),IF(D459&gt;0,VLOOKUP(D459,Программа!A$1:B$5100,2),IF(F459&gt;0,VLOOKUP(F459,КВР!A$1:B$5001,2),IF(E459&gt;0,VLOOKUP(E459,Направление!A$1:B$4830,2))))))</f>
        <v>МУ Контрольно-счетная палата ТМР</v>
      </c>
      <c r="B459" s="152">
        <v>982</v>
      </c>
      <c r="C459" s="187"/>
      <c r="D459" s="188"/>
      <c r="E459" s="187"/>
      <c r="F459" s="189"/>
      <c r="G459" s="610">
        <v>1755903</v>
      </c>
      <c r="H459" s="156">
        <f>H460</f>
        <v>0</v>
      </c>
      <c r="I459" s="156">
        <f t="shared" si="23"/>
        <v>1755903</v>
      </c>
      <c r="J459" s="610">
        <v>1755903</v>
      </c>
      <c r="K459" s="156">
        <f>K460</f>
        <v>0</v>
      </c>
      <c r="L459" s="156">
        <f t="shared" si="24"/>
        <v>1755903</v>
      </c>
      <c r="M459" s="196"/>
    </row>
    <row r="460" spans="1:13" ht="94.5" x14ac:dyDescent="0.2">
      <c r="A460" s="157" t="str">
        <f>IF(B460&gt;0,VLOOKUP(B460,КВСР!A416:B1581,2),IF(C460&gt;0,VLOOKUP(C460,КФСР!A416:B1928,2),IF(D460&gt;0,VLOOKUP(D460,Программа!A$1:B$5100,2),IF(F460&gt;0,VLOOKUP(F460,КВР!A$1:B$5001,2),IF(E460&gt;0,VLOOKUP(E460,Направление!A$1:B$4830,2))))))</f>
        <v>Обеспечение деятельности финансовых, налоговых и таможенных органов и органов финансового (финансово-бюджетного) надзора</v>
      </c>
      <c r="B460" s="184"/>
      <c r="C460" s="153">
        <v>106</v>
      </c>
      <c r="D460" s="178"/>
      <c r="E460" s="179"/>
      <c r="F460" s="181"/>
      <c r="G460" s="504">
        <v>1755903</v>
      </c>
      <c r="H460" s="159">
        <f>H461</f>
        <v>0</v>
      </c>
      <c r="I460" s="159">
        <f t="shared" si="23"/>
        <v>1755903</v>
      </c>
      <c r="J460" s="504">
        <v>1755903</v>
      </c>
      <c r="K460" s="159">
        <f>K461</f>
        <v>0</v>
      </c>
      <c r="L460" s="159">
        <f t="shared" si="24"/>
        <v>1755903</v>
      </c>
    </row>
    <row r="461" spans="1:13" ht="31.5" x14ac:dyDescent="0.2">
      <c r="A461" s="157" t="str">
        <f>IF(B461&gt;0,VLOOKUP(B461,КВСР!A417:B1582,2),IF(C461&gt;0,VLOOKUP(C461,КФСР!A417:B1929,2),IF(D461&gt;0,VLOOKUP(D461,Программа!A$1:B$5100,2),IF(F461&gt;0,VLOOKUP(F461,КВР!A$1:B$5001,2),IF(E461&gt;0,VLOOKUP(E461,Направление!A$1:B$4830,2))))))</f>
        <v>Непрограммные расходы бюджета</v>
      </c>
      <c r="B461" s="184"/>
      <c r="C461" s="153"/>
      <c r="D461" s="178" t="s">
        <v>626</v>
      </c>
      <c r="E461" s="179"/>
      <c r="F461" s="181"/>
      <c r="G461" s="504">
        <v>1755903</v>
      </c>
      <c r="H461" s="159">
        <f>H462+H466+H468</f>
        <v>0</v>
      </c>
      <c r="I461" s="159">
        <f t="shared" si="23"/>
        <v>1755903</v>
      </c>
      <c r="J461" s="504">
        <v>1755903</v>
      </c>
      <c r="K461" s="159">
        <f>K462+K466+K468</f>
        <v>0</v>
      </c>
      <c r="L461" s="159">
        <f t="shared" si="24"/>
        <v>1755903</v>
      </c>
    </row>
    <row r="462" spans="1:13" ht="31.5" x14ac:dyDescent="0.2">
      <c r="A462" s="157" t="str">
        <f>IF(B462&gt;0,VLOOKUP(B462,КВСР!A418:B1583,2),IF(C462&gt;0,VLOOKUP(C462,КФСР!A418:B1930,2),IF(D462&gt;0,VLOOKUP(D462,Программа!A$1:B$5100,2),IF(F462&gt;0,VLOOKUP(F462,КВР!A$1:B$5001,2),IF(E462&gt;0,VLOOKUP(E462,Направление!A$1:B$4830,2))))))</f>
        <v>Содержание центрального аппарата</v>
      </c>
      <c r="B462" s="184"/>
      <c r="C462" s="179"/>
      <c r="D462" s="154"/>
      <c r="E462" s="153">
        <v>12010</v>
      </c>
      <c r="F462" s="181"/>
      <c r="G462" s="504">
        <v>960603</v>
      </c>
      <c r="H462" s="504">
        <f>H463+H464+H465</f>
        <v>0</v>
      </c>
      <c r="I462" s="504">
        <f>I463+I464+I465</f>
        <v>960603</v>
      </c>
      <c r="J462" s="504">
        <v>960603</v>
      </c>
      <c r="K462" s="504">
        <f>K463+K464+K465</f>
        <v>0</v>
      </c>
      <c r="L462" s="504">
        <f>L463+L464+L465</f>
        <v>960603</v>
      </c>
    </row>
    <row r="463" spans="1:13" ht="173.25" x14ac:dyDescent="0.2">
      <c r="A463" s="157" t="str">
        <f>IF(B463&gt;0,VLOOKUP(B463,КВСР!A419:B1584,2),IF(C463&gt;0,VLOOKUP(C463,КФСР!A419:B1931,2),IF(D463&gt;0,VLOOKUP(D463,Программа!A$1:B$5100,2),IF(F463&gt;0,VLOOKUP(F463,КВР!A$1:B$5001,2),IF(E463&gt;0,VLOOKUP(E463,Направление!A$1:B$4830,2))))))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3" s="184"/>
      <c r="C463" s="179"/>
      <c r="D463" s="178"/>
      <c r="E463" s="179"/>
      <c r="F463" s="181">
        <v>100</v>
      </c>
      <c r="G463" s="495">
        <v>941520</v>
      </c>
      <c r="H463" s="194"/>
      <c r="I463" s="159">
        <f t="shared" si="23"/>
        <v>941520</v>
      </c>
      <c r="J463" s="495">
        <v>941520</v>
      </c>
      <c r="K463" s="194"/>
      <c r="L463" s="159">
        <f t="shared" si="24"/>
        <v>941520</v>
      </c>
    </row>
    <row r="464" spans="1:13" ht="78.75" x14ac:dyDescent="0.2">
      <c r="A464" s="157" t="str">
        <f>IF(B464&gt;0,VLOOKUP(B464,КВСР!A420:B1585,2),IF(C464&gt;0,VLOOKUP(C464,КФСР!A420:B1932,2),IF(D464&gt;0,VLOOKUP(D464,Программа!A$1:B$5100,2),IF(F464&gt;0,VLOOKUP(F464,КВР!A$1:B$5001,2),IF(E464&gt;0,VLOOKUP(E464,Направление!A$1:B$4830,2))))))</f>
        <v xml:space="preserve">Закупка товаров, работ и услуг для обеспечения государственных (муниципальных) нужд
</v>
      </c>
      <c r="B464" s="184"/>
      <c r="C464" s="179"/>
      <c r="D464" s="178"/>
      <c r="E464" s="179"/>
      <c r="F464" s="181">
        <v>200</v>
      </c>
      <c r="G464" s="495">
        <v>18483</v>
      </c>
      <c r="H464" s="194"/>
      <c r="I464" s="159">
        <f t="shared" si="23"/>
        <v>18483</v>
      </c>
      <c r="J464" s="495">
        <v>18483</v>
      </c>
      <c r="K464" s="194"/>
      <c r="L464" s="159">
        <f t="shared" si="24"/>
        <v>18483</v>
      </c>
    </row>
    <row r="465" spans="1:12" ht="31.5" x14ac:dyDescent="0.2">
      <c r="A465" s="157" t="str">
        <f>IF(B465&gt;0,VLOOKUP(B465,КВСР!A421:B1586,2),IF(C465&gt;0,VLOOKUP(C465,КФСР!A421:B1933,2),IF(D465&gt;0,VLOOKUP(D465,Программа!A$1:B$5100,2),IF(F465&gt;0,VLOOKUP(F465,КВР!A$1:B$5001,2),IF(E465&gt;0,VLOOKUP(E465,Направление!A$1:B$4830,2))))))</f>
        <v>Иные бюджетные ассигнования</v>
      </c>
      <c r="B465" s="184"/>
      <c r="C465" s="179"/>
      <c r="D465" s="178"/>
      <c r="E465" s="179"/>
      <c r="F465" s="181">
        <v>800</v>
      </c>
      <c r="G465" s="495">
        <v>600</v>
      </c>
      <c r="H465" s="194"/>
      <c r="I465" s="159">
        <f t="shared" si="23"/>
        <v>600</v>
      </c>
      <c r="J465" s="495">
        <v>600</v>
      </c>
      <c r="K465" s="194"/>
      <c r="L465" s="159">
        <f t="shared" si="24"/>
        <v>600</v>
      </c>
    </row>
    <row r="466" spans="1:12" ht="78.75" x14ac:dyDescent="0.2">
      <c r="A466" s="157" t="str">
        <f>IF(B466&gt;0,VLOOKUP(B466,КВСР!A420:B1585,2),IF(C466&gt;0,VLOOKUP(C466,КФСР!A420:B1932,2),IF(D466&gt;0,VLOOKUP(D466,Программа!A$1:B$5100,2),IF(F466&gt;0,VLOOKUP(F466,КВР!A$1:B$5001,2),IF(E466&gt;0,VLOOKUP(E466,Направление!A$1:B$4830,2))))))</f>
        <v>Содержание руководителя контрольно-счетной палаты муниципального образования и его заместителей</v>
      </c>
      <c r="B466" s="184"/>
      <c r="C466" s="179"/>
      <c r="D466" s="178"/>
      <c r="E466" s="179">
        <v>12030</v>
      </c>
      <c r="F466" s="181"/>
      <c r="G466" s="504">
        <v>795300</v>
      </c>
      <c r="H466" s="159">
        <f>H467</f>
        <v>0</v>
      </c>
      <c r="I466" s="159">
        <f t="shared" si="23"/>
        <v>795300</v>
      </c>
      <c r="J466" s="504">
        <v>795300</v>
      </c>
      <c r="K466" s="159">
        <f>K467</f>
        <v>0</v>
      </c>
      <c r="L466" s="159">
        <f t="shared" si="24"/>
        <v>795300</v>
      </c>
    </row>
    <row r="467" spans="1:12" ht="173.25" x14ac:dyDescent="0.2">
      <c r="A467" s="157" t="str">
        <f>IF(B467&gt;0,VLOOKUP(B467,КВСР!A421:B1586,2),IF(C467&gt;0,VLOOKUP(C467,КФСР!A421:B1933,2),IF(D467&gt;0,VLOOKUP(D467,Программа!A$1:B$5100,2),IF(F467&gt;0,VLOOKUP(F467,КВР!A$1:B$5001,2),IF(E467&gt;0,VLOOKUP(E467,Направление!A$1:B$4830,2))))))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7" s="184"/>
      <c r="C467" s="179"/>
      <c r="D467" s="178"/>
      <c r="E467" s="179"/>
      <c r="F467" s="181">
        <v>100</v>
      </c>
      <c r="G467" s="495">
        <v>795300</v>
      </c>
      <c r="H467" s="194"/>
      <c r="I467" s="159">
        <f t="shared" si="23"/>
        <v>795300</v>
      </c>
      <c r="J467" s="495">
        <v>795300</v>
      </c>
      <c r="K467" s="194"/>
      <c r="L467" s="159">
        <f t="shared" si="24"/>
        <v>795300</v>
      </c>
    </row>
    <row r="468" spans="1:12" ht="47.25" hidden="1" x14ac:dyDescent="0.2">
      <c r="A468" s="157" t="str">
        <f>IF(B468&gt;0,VLOOKUP(B468,КВСР!A422:B1587,2),IF(C468&gt;0,VLOOKUP(C468,КФСР!A422:B1934,2),IF(D468&gt;0,VLOOKUP(D468,Программа!A$1:B$5100,2),IF(F468&gt;0,VLOOKUP(F468,КВР!A$1:B$5001,2),IF(E468&gt;0,VLOOKUP(E468,Направление!A$1:B$4830,2))))))</f>
        <v>Содержание органов местного самоуправления за счет средств поселений</v>
      </c>
      <c r="B468" s="184"/>
      <c r="C468" s="179"/>
      <c r="D468" s="178"/>
      <c r="E468" s="179">
        <v>29016</v>
      </c>
      <c r="F468" s="181"/>
      <c r="G468" s="504">
        <v>0</v>
      </c>
      <c r="H468" s="159">
        <f>H469+H470</f>
        <v>0</v>
      </c>
      <c r="I468" s="159">
        <f t="shared" si="23"/>
        <v>0</v>
      </c>
      <c r="J468" s="504">
        <v>0</v>
      </c>
      <c r="K468" s="159">
        <f>K469+K470</f>
        <v>0</v>
      </c>
      <c r="L468" s="159">
        <f t="shared" si="24"/>
        <v>0</v>
      </c>
    </row>
    <row r="469" spans="1:12" ht="173.25" hidden="1" x14ac:dyDescent="0.2">
      <c r="A469" s="157" t="str">
        <f>IF(B469&gt;0,VLOOKUP(B469,КВСР!A423:B1588,2),IF(C469&gt;0,VLOOKUP(C469,КФСР!A423:B1935,2),IF(D469&gt;0,VLOOKUP(D469,Программа!A$1:B$5100,2),IF(F469&gt;0,VLOOKUP(F469,КВР!A$1:B$5001,2),IF(E469&gt;0,VLOOKUP(E469,Направление!A$1:B$4830,2))))))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9" s="184"/>
      <c r="C469" s="179"/>
      <c r="D469" s="178"/>
      <c r="E469" s="179"/>
      <c r="F469" s="181">
        <v>100</v>
      </c>
      <c r="G469" s="495">
        <v>0</v>
      </c>
      <c r="H469" s="194"/>
      <c r="I469" s="159">
        <f t="shared" si="23"/>
        <v>0</v>
      </c>
      <c r="J469" s="495">
        <v>0</v>
      </c>
      <c r="K469" s="194"/>
      <c r="L469" s="159">
        <f t="shared" si="24"/>
        <v>0</v>
      </c>
    </row>
    <row r="470" spans="1:12" ht="78.75" hidden="1" x14ac:dyDescent="0.2">
      <c r="A470" s="157" t="str">
        <f>IF(B470&gt;0,VLOOKUP(B470,КВСР!A424:B1589,2),IF(C470&gt;0,VLOOKUP(C470,КФСР!A424:B1936,2),IF(D470&gt;0,VLOOKUP(D470,Программа!A$1:B$5100,2),IF(F470&gt;0,VLOOKUP(F470,КВР!A$1:B$5001,2),IF(E470&gt;0,VLOOKUP(E470,Направление!A$1:B$4830,2))))))</f>
        <v xml:space="preserve">Закупка товаров, работ и услуг для обеспечения государственных (муниципальных) нужд
</v>
      </c>
      <c r="B470" s="184"/>
      <c r="C470" s="179"/>
      <c r="D470" s="178"/>
      <c r="E470" s="179"/>
      <c r="F470" s="181">
        <v>200</v>
      </c>
      <c r="G470" s="495">
        <v>0</v>
      </c>
      <c r="H470" s="194"/>
      <c r="I470" s="159">
        <f t="shared" si="23"/>
        <v>0</v>
      </c>
      <c r="J470" s="495">
        <v>0</v>
      </c>
      <c r="K470" s="194"/>
      <c r="L470" s="159">
        <f t="shared" si="24"/>
        <v>0</v>
      </c>
    </row>
    <row r="471" spans="1:12" ht="15.75" x14ac:dyDescent="0.2">
      <c r="A471" s="200" t="s">
        <v>177</v>
      </c>
      <c r="B471" s="201"/>
      <c r="C471" s="201"/>
      <c r="D471" s="201"/>
      <c r="E471" s="202"/>
      <c r="F471" s="201"/>
      <c r="G471" s="596">
        <v>1537551836</v>
      </c>
      <c r="H471" s="23">
        <f>H10+H82+H98+H213+H322+H353+H398+H459</f>
        <v>0</v>
      </c>
      <c r="I471" s="156">
        <f t="shared" si="23"/>
        <v>1537551836</v>
      </c>
      <c r="J471" s="596">
        <v>1327526513</v>
      </c>
      <c r="K471" s="23">
        <f>K10+K82+K98+K213+K322+K353+K398+K459</f>
        <v>0</v>
      </c>
      <c r="L471" s="156">
        <f t="shared" si="24"/>
        <v>1327526513</v>
      </c>
    </row>
    <row r="472" spans="1:12" s="196" customFormat="1" ht="15.75" x14ac:dyDescent="0.25">
      <c r="A472" s="203" t="s">
        <v>305</v>
      </c>
      <c r="B472" s="203"/>
      <c r="C472" s="203"/>
      <c r="D472" s="204"/>
      <c r="E472" s="205"/>
      <c r="F472" s="203"/>
      <c r="G472" s="610">
        <v>14027500</v>
      </c>
      <c r="H472" s="156"/>
      <c r="I472" s="156">
        <f t="shared" si="23"/>
        <v>14027500</v>
      </c>
      <c r="J472" s="610">
        <v>17718500</v>
      </c>
      <c r="K472" s="156"/>
      <c r="L472" s="156">
        <f t="shared" si="24"/>
        <v>17718500</v>
      </c>
    </row>
    <row r="473" spans="1:12" s="196" customFormat="1" ht="15.75" x14ac:dyDescent="0.25">
      <c r="A473" s="203" t="s">
        <v>901</v>
      </c>
      <c r="B473" s="203"/>
      <c r="C473" s="203"/>
      <c r="D473" s="204"/>
      <c r="E473" s="205"/>
      <c r="F473" s="203"/>
      <c r="G473" s="610">
        <v>1551579336</v>
      </c>
      <c r="H473" s="156">
        <f>H471+H472</f>
        <v>0</v>
      </c>
      <c r="I473" s="156">
        <f t="shared" si="23"/>
        <v>1551579336</v>
      </c>
      <c r="J473" s="610">
        <f>J471+J472</f>
        <v>1345245013</v>
      </c>
      <c r="K473" s="156">
        <f>K471+K472</f>
        <v>0</v>
      </c>
      <c r="L473" s="156">
        <f t="shared" si="24"/>
        <v>1345245013</v>
      </c>
    </row>
    <row r="474" spans="1:12" x14ac:dyDescent="0.2">
      <c r="A474" s="81"/>
      <c r="B474" s="81"/>
      <c r="C474" s="81"/>
      <c r="D474" s="206"/>
      <c r="E474" s="207"/>
      <c r="F474" s="81"/>
    </row>
  </sheetData>
  <autoFilter ref="A8:L473">
    <filterColumn colId="3" showButton="0"/>
  </autoFilter>
  <mergeCells count="18">
    <mergeCell ref="A1:L1"/>
    <mergeCell ref="A2:L2"/>
    <mergeCell ref="A3:L3"/>
    <mergeCell ref="A4:L4"/>
    <mergeCell ref="A6:L6"/>
    <mergeCell ref="G5:L5"/>
    <mergeCell ref="G7:L7"/>
    <mergeCell ref="J8:J9"/>
    <mergeCell ref="A8:A9"/>
    <mergeCell ref="B8:B9"/>
    <mergeCell ref="C8:C9"/>
    <mergeCell ref="F8:F9"/>
    <mergeCell ref="G8:G9"/>
    <mergeCell ref="D8:E8"/>
    <mergeCell ref="H8:H9"/>
    <mergeCell ref="I8:I9"/>
    <mergeCell ref="K8:K9"/>
    <mergeCell ref="L8:L9"/>
  </mergeCells>
  <printOptions gridLinesSet="0"/>
  <pageMargins left="0.70866141732283472" right="0.70866141732283472" top="0.74803149606299213" bottom="0.74803149606299213" header="0.51181102362204722" footer="0.51181102362204722"/>
  <pageSetup paperSize="9" scale="5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ColWidth="9.140625" defaultRowHeight="12.75" x14ac:dyDescent="0.2"/>
  <cols>
    <col min="1" max="1" width="6.28515625" style="128" customWidth="1"/>
    <col min="2" max="2" width="42.28515625" style="128" customWidth="1"/>
    <col min="3" max="3" width="13.140625" style="128" customWidth="1"/>
    <col min="4" max="4" width="17.42578125" style="128" hidden="1" customWidth="1"/>
    <col min="5" max="5" width="17" style="128" hidden="1" customWidth="1"/>
    <col min="6" max="6" width="14.5703125" style="128" customWidth="1"/>
    <col min="7" max="7" width="15.85546875" style="128" hidden="1" customWidth="1"/>
    <col min="8" max="8" width="18.85546875" style="128" hidden="1" customWidth="1"/>
    <col min="9" max="9" width="17.28515625" style="128" customWidth="1"/>
    <col min="10" max="16384" width="9.140625" style="128"/>
  </cols>
  <sheetData>
    <row r="1" spans="1:9" ht="15.75" customHeight="1" x14ac:dyDescent="0.25">
      <c r="A1" s="979" t="s">
        <v>617</v>
      </c>
      <c r="B1" s="979"/>
      <c r="C1" s="979"/>
      <c r="D1" s="979"/>
      <c r="E1" s="979"/>
      <c r="F1" s="979"/>
      <c r="G1" s="979"/>
      <c r="H1" s="979"/>
      <c r="I1" s="979"/>
    </row>
    <row r="2" spans="1:9" ht="15.75" customHeight="1" x14ac:dyDescent="0.25">
      <c r="A2" s="979" t="s">
        <v>1</v>
      </c>
      <c r="B2" s="979"/>
      <c r="C2" s="979"/>
      <c r="D2" s="979"/>
      <c r="E2" s="979"/>
      <c r="F2" s="979"/>
      <c r="G2" s="979"/>
      <c r="H2" s="979"/>
      <c r="I2" s="979"/>
    </row>
    <row r="3" spans="1:9" ht="15.75" customHeight="1" x14ac:dyDescent="0.25">
      <c r="A3" s="979" t="s">
        <v>2</v>
      </c>
      <c r="B3" s="979"/>
      <c r="C3" s="979"/>
      <c r="D3" s="979"/>
      <c r="E3" s="979"/>
      <c r="F3" s="979"/>
      <c r="G3" s="979"/>
      <c r="H3" s="979"/>
      <c r="I3" s="979"/>
    </row>
    <row r="4" spans="1:9" ht="15.75" customHeight="1" x14ac:dyDescent="0.25">
      <c r="A4" s="979" t="s">
        <v>994</v>
      </c>
      <c r="B4" s="979"/>
      <c r="C4" s="979"/>
      <c r="D4" s="979"/>
      <c r="E4" s="979"/>
      <c r="F4" s="979"/>
      <c r="G4" s="979"/>
      <c r="H4" s="979"/>
      <c r="I4" s="979"/>
    </row>
    <row r="5" spans="1:9" ht="15.75" x14ac:dyDescent="0.25">
      <c r="A5" s="227"/>
      <c r="B5" s="228"/>
      <c r="C5" s="228"/>
      <c r="D5" s="228"/>
      <c r="E5" s="980"/>
      <c r="F5" s="980"/>
      <c r="G5" s="980"/>
      <c r="H5" s="980"/>
      <c r="I5" s="980"/>
    </row>
    <row r="6" spans="1:9" ht="30" customHeight="1" x14ac:dyDescent="0.25">
      <c r="A6" s="879" t="s">
        <v>995</v>
      </c>
      <c r="B6" s="879"/>
      <c r="C6" s="879"/>
      <c r="D6" s="879"/>
      <c r="E6" s="879"/>
      <c r="F6" s="879"/>
      <c r="G6" s="879"/>
      <c r="H6" s="879"/>
      <c r="I6" s="879"/>
    </row>
    <row r="7" spans="1:9" ht="15.75" x14ac:dyDescent="0.25">
      <c r="A7" s="227"/>
      <c r="B7" s="228"/>
      <c r="C7" s="228"/>
      <c r="D7" s="228"/>
      <c r="E7" s="981"/>
      <c r="F7" s="981"/>
      <c r="G7" s="981"/>
      <c r="H7" s="981"/>
      <c r="I7" s="981"/>
    </row>
    <row r="8" spans="1:9" x14ac:dyDescent="0.2">
      <c r="A8" s="957" t="s">
        <v>903</v>
      </c>
      <c r="B8" s="957" t="s">
        <v>904</v>
      </c>
      <c r="C8" s="957" t="s">
        <v>905</v>
      </c>
      <c r="D8" s="957" t="s">
        <v>996</v>
      </c>
      <c r="E8" s="957" t="s">
        <v>997</v>
      </c>
      <c r="F8" s="957" t="s">
        <v>998</v>
      </c>
      <c r="G8" s="957" t="s">
        <v>996</v>
      </c>
      <c r="H8" s="957" t="s">
        <v>997</v>
      </c>
      <c r="I8" s="957" t="s">
        <v>999</v>
      </c>
    </row>
    <row r="9" spans="1:9" ht="20.25" customHeight="1" x14ac:dyDescent="0.2">
      <c r="A9" s="957"/>
      <c r="B9" s="957"/>
      <c r="C9" s="982"/>
      <c r="D9" s="957"/>
      <c r="E9" s="957"/>
      <c r="F9" s="957"/>
      <c r="G9" s="957"/>
      <c r="H9" s="957"/>
      <c r="I9" s="957"/>
    </row>
    <row r="10" spans="1:9" ht="15.75" x14ac:dyDescent="0.2">
      <c r="A10" s="222">
        <v>1</v>
      </c>
      <c r="B10" s="67" t="e">
        <f>IF(C10&gt;0,VLOOKUP(C10,Программа!A$2:B$5100,2))</f>
        <v>#N/A</v>
      </c>
      <c r="C10" s="229">
        <v>10</v>
      </c>
      <c r="D10" s="218" t="e">
        <f>SUMIFS(Пр.13!#REF!,Пр.13!$D$10:$D$1037,C10)</f>
        <v>#REF!</v>
      </c>
      <c r="E10" s="218">
        <f>SUMIFS(Пр.13!$G$10:$G$1037,Пр.13!$D$10:$D$1037,C10)</f>
        <v>0</v>
      </c>
      <c r="F10" s="218" t="e">
        <f>SUMIFS(Пр.13!#REF!,Пр.13!$D$10:$D$1037,C10)</f>
        <v>#REF!</v>
      </c>
      <c r="G10" s="218" t="e">
        <f>SUMIFS(Пр.13!#REF!,Пр.13!$D$10:$D$1037,C10)</f>
        <v>#REF!</v>
      </c>
      <c r="H10" s="218">
        <f>SUMIFS(Пр.13!$H$10:$H$1037,Пр.13!$D$10:$D$1037,C10)</f>
        <v>0</v>
      </c>
      <c r="I10" s="218" t="e">
        <f>SUMIFS(Пр.13!#REF!,Пр.13!$D$10:$D$1037,C10)</f>
        <v>#REF!</v>
      </c>
    </row>
    <row r="11" spans="1:9" ht="15.75" x14ac:dyDescent="0.2">
      <c r="A11" s="217" t="s">
        <v>906</v>
      </c>
      <c r="B11" s="67" t="e">
        <f>IF(C11&gt;0,VLOOKUP(C11,Программа!A$2:B$5100,2))</f>
        <v>#N/A</v>
      </c>
      <c r="C11" s="230">
        <v>11</v>
      </c>
      <c r="D11" s="218" t="e">
        <f>SUMIFS(Пр.13!#REF!,Пр.13!$D$10:$D$1037,C11)</f>
        <v>#REF!</v>
      </c>
      <c r="E11" s="218">
        <f>SUMIFS(Пр.13!$G$10:$G$1037,Пр.13!$D$10:$D$1037,C11)</f>
        <v>0</v>
      </c>
      <c r="F11" s="218" t="e">
        <f>SUMIFS(Пр.13!#REF!,Пр.13!$D$10:$D$1037,C11)</f>
        <v>#REF!</v>
      </c>
      <c r="G11" s="218" t="e">
        <f>SUMIFS(Пр.13!#REF!,Пр.13!$D$10:$D$1037,C11)</f>
        <v>#REF!</v>
      </c>
      <c r="H11" s="218">
        <f>SUMIFS(Пр.13!$H$10:$H$1037,Пр.13!$D$10:$D$1037,C11)</f>
        <v>0</v>
      </c>
      <c r="I11" s="218" t="e">
        <f>SUMIFS(Пр.13!#REF!,Пр.13!$D$10:$D$1037,C11)</f>
        <v>#REF!</v>
      </c>
    </row>
    <row r="12" spans="1:9" ht="15.75" x14ac:dyDescent="0.2">
      <c r="A12" s="217" t="s">
        <v>907</v>
      </c>
      <c r="B12" s="67" t="e">
        <f>IF(C12&gt;0,VLOOKUP(C12,Программа!A$2:B$5100,2))</f>
        <v>#N/A</v>
      </c>
      <c r="C12" s="230">
        <v>12</v>
      </c>
      <c r="D12" s="218" t="e">
        <f>SUMIFS(Пр.13!#REF!,Пр.13!$D$10:$D$1037,C12)</f>
        <v>#REF!</v>
      </c>
      <c r="E12" s="218">
        <f>SUMIFS(Пр.13!$G$10:$G$1037,Пр.13!$D$10:$D$1037,C12)</f>
        <v>0</v>
      </c>
      <c r="F12" s="218" t="e">
        <f>SUMIFS(Пр.13!#REF!,Пр.13!$D$10:$D$1037,C12)</f>
        <v>#REF!</v>
      </c>
      <c r="G12" s="218" t="e">
        <f>SUMIFS(Пр.13!#REF!,Пр.13!$D$10:$D$1037,C12)</f>
        <v>#REF!</v>
      </c>
      <c r="H12" s="218">
        <f>SUMIFS(Пр.13!$H$10:$H$1037,Пр.13!$D$10:$D$1037,C12)</f>
        <v>0</v>
      </c>
      <c r="I12" s="218" t="e">
        <f>SUMIFS(Пр.13!#REF!,Пр.13!$D$10:$D$1037,C12)</f>
        <v>#REF!</v>
      </c>
    </row>
    <row r="13" spans="1:9" ht="15.75" hidden="1" x14ac:dyDescent="0.2">
      <c r="A13" s="220" t="s">
        <v>1000</v>
      </c>
      <c r="B13" s="67" t="e">
        <f>IF(C13&gt;0,VLOOKUP(C13,Программа!A$2:B$5100,2))</f>
        <v>#N/A</v>
      </c>
      <c r="C13" s="229">
        <v>13</v>
      </c>
      <c r="D13" s="218" t="e">
        <f>SUMIFS(Пр.13!#REF!,Пр.13!$D$10:$D$1037,C13)</f>
        <v>#REF!</v>
      </c>
      <c r="E13" s="218">
        <f>SUMIFS(Пр.13!$G$10:$G$1037,Пр.13!$D$10:$D$1037,C13)</f>
        <v>0</v>
      </c>
      <c r="F13" s="218" t="e">
        <f>SUMIFS(Пр.13!#REF!,Пр.13!$D$10:$D$1037,C13)</f>
        <v>#REF!</v>
      </c>
      <c r="G13" s="218" t="e">
        <f>SUMIFS(Пр.13!#REF!,Пр.13!$D$10:$D$1037,C13)</f>
        <v>#REF!</v>
      </c>
      <c r="H13" s="218">
        <f>SUMIFS(Пр.13!$H$10:$H$1037,Пр.13!$D$10:$D$1037,C13)</f>
        <v>0</v>
      </c>
      <c r="I13" s="218" t="e">
        <f>SUMIFS(Пр.13!#REF!,Пр.13!$D$10:$D$1037,C13)</f>
        <v>#REF!</v>
      </c>
    </row>
    <row r="14" spans="1:9" ht="15.75" x14ac:dyDescent="0.2">
      <c r="A14" s="222" t="s">
        <v>81</v>
      </c>
      <c r="B14" s="67" t="e">
        <f>IF(C14&gt;0,VLOOKUP(C14,Программа!A$2:B$5100,2))</f>
        <v>#N/A</v>
      </c>
      <c r="C14" s="229">
        <v>20</v>
      </c>
      <c r="D14" s="218" t="e">
        <f>SUMIFS(Пр.13!#REF!,Пр.13!$D$10:$D$1037,C14)</f>
        <v>#REF!</v>
      </c>
      <c r="E14" s="218">
        <f>SUMIFS(Пр.13!$G$10:$G$1037,Пр.13!$D$10:$D$1037,C14)</f>
        <v>0</v>
      </c>
      <c r="F14" s="218" t="e">
        <f>SUMIFS(Пр.13!#REF!,Пр.13!$D$10:$D$1037,C14)</f>
        <v>#REF!</v>
      </c>
      <c r="G14" s="218" t="e">
        <f>SUMIFS(Пр.13!#REF!,Пр.13!$D$10:$D$1037,C14)</f>
        <v>#REF!</v>
      </c>
      <c r="H14" s="218">
        <f>SUMIFS(Пр.13!$H$10:$H$1037,Пр.13!$D$10:$D$1037,C14)</f>
        <v>0</v>
      </c>
      <c r="I14" s="218" t="e">
        <f>SUMIFS(Пр.13!#REF!,Пр.13!$D$10:$D$1037,C14)</f>
        <v>#REF!</v>
      </c>
    </row>
    <row r="15" spans="1:9" ht="15.75" x14ac:dyDescent="0.2">
      <c r="A15" s="217" t="s">
        <v>910</v>
      </c>
      <c r="B15" s="67" t="e">
        <f>IF(C15&gt;0,VLOOKUP(C15,Программа!A$2:B$5100,2))</f>
        <v>#N/A</v>
      </c>
      <c r="C15" s="229">
        <v>21</v>
      </c>
      <c r="D15" s="218" t="e">
        <f>SUMIFS(Пр.13!#REF!,Пр.13!$D$10:$D$1037,C15)</f>
        <v>#REF!</v>
      </c>
      <c r="E15" s="218">
        <f>SUMIFS(Пр.13!$G$10:$G$1037,Пр.13!$D$10:$D$1037,C15)</f>
        <v>0</v>
      </c>
      <c r="F15" s="218" t="e">
        <f>SUMIFS(Пр.13!#REF!,Пр.13!$D$10:$D$1037,C15)</f>
        <v>#REF!</v>
      </c>
      <c r="G15" s="218" t="e">
        <f>SUMIFS(Пр.13!#REF!,Пр.13!$D$10:$D$1037,C15)</f>
        <v>#REF!</v>
      </c>
      <c r="H15" s="218">
        <f>SUMIFS(Пр.13!$H$10:$H$1037,Пр.13!$D$10:$D$1037,C15)</f>
        <v>0</v>
      </c>
      <c r="I15" s="218" t="e">
        <f>SUMIFS(Пр.13!#REF!,Пр.13!$D$10:$D$1037,C15)</f>
        <v>#REF!</v>
      </c>
    </row>
    <row r="16" spans="1:9" ht="15.75" x14ac:dyDescent="0.2">
      <c r="A16" s="217" t="s">
        <v>911</v>
      </c>
      <c r="B16" s="67" t="e">
        <f>IF(C16&gt;0,VLOOKUP(C16,Программа!A$2:B$5100,2))</f>
        <v>#N/A</v>
      </c>
      <c r="C16" s="229">
        <v>22</v>
      </c>
      <c r="D16" s="218" t="e">
        <f>SUMIFS(Пр.13!#REF!,Пр.13!$D$10:$D$1037,C16)</f>
        <v>#REF!</v>
      </c>
      <c r="E16" s="218">
        <f>SUMIFS(Пр.13!$G$10:$G$1037,Пр.13!$D$10:$D$1037,C16)</f>
        <v>0</v>
      </c>
      <c r="F16" s="218" t="e">
        <f>SUMIFS(Пр.13!#REF!,Пр.13!$D$10:$D$1037,C16)</f>
        <v>#REF!</v>
      </c>
      <c r="G16" s="218" t="e">
        <f>SUMIFS(Пр.13!#REF!,Пр.13!$D$10:$D$1037,C16)</f>
        <v>#REF!</v>
      </c>
      <c r="H16" s="218">
        <f>SUMIFS(Пр.13!$H$10:$H$1037,Пр.13!$D$10:$D$1037,C16)</f>
        <v>0</v>
      </c>
      <c r="I16" s="218" t="e">
        <f>SUMIFS(Пр.13!#REF!,Пр.13!$D$10:$D$1037,C16)</f>
        <v>#REF!</v>
      </c>
    </row>
    <row r="17" spans="1:9" ht="15.75" x14ac:dyDescent="0.2">
      <c r="A17" s="222" t="s">
        <v>914</v>
      </c>
      <c r="B17" s="67" t="e">
        <f>IF(C17&gt;0,VLOOKUP(C17,Программа!A$2:B$5100,2))</f>
        <v>#N/A</v>
      </c>
      <c r="C17" s="229">
        <v>30</v>
      </c>
      <c r="D17" s="218" t="e">
        <f>SUMIFS(Пр.13!#REF!,Пр.13!$D$10:$D$1037,C17)</f>
        <v>#REF!</v>
      </c>
      <c r="E17" s="218">
        <f>SUMIFS(Пр.13!$G$10:$G$1037,Пр.13!$D$10:$D$1037,C17)</f>
        <v>0</v>
      </c>
      <c r="F17" s="218" t="e">
        <f>SUMIFS(Пр.13!#REF!,Пр.13!$D$10:$D$1037,C17)</f>
        <v>#REF!</v>
      </c>
      <c r="G17" s="218" t="e">
        <f>SUMIFS(Пр.13!#REF!,Пр.13!$D$10:$D$1037,C17)</f>
        <v>#REF!</v>
      </c>
      <c r="H17" s="218">
        <f>SUMIFS(Пр.13!$H$10:$H$1037,Пр.13!$D$10:$D$1037,C17)</f>
        <v>0</v>
      </c>
      <c r="I17" s="218" t="e">
        <f>SUMIFS(Пр.13!#REF!,Пр.13!$D$10:$D$1037,C17)</f>
        <v>#REF!</v>
      </c>
    </row>
    <row r="18" spans="1:9" ht="15.75" x14ac:dyDescent="0.2">
      <c r="A18" s="217" t="s">
        <v>915</v>
      </c>
      <c r="B18" s="67" t="e">
        <f>IF(C18&gt;0,VLOOKUP(C18,Программа!A$2:B$5100,2))</f>
        <v>#N/A</v>
      </c>
      <c r="C18" s="229">
        <v>31</v>
      </c>
      <c r="D18" s="218" t="e">
        <f>SUMIFS(Пр.13!#REF!,Пр.13!$D$10:$D$1037,C18)</f>
        <v>#REF!</v>
      </c>
      <c r="E18" s="218">
        <f>SUMIFS(Пр.13!$G$10:$G$1037,Пр.13!$D$10:$D$1037,C18)</f>
        <v>0</v>
      </c>
      <c r="F18" s="218" t="e">
        <f>SUMIFS(Пр.13!#REF!,Пр.13!$D$10:$D$1037,C18)</f>
        <v>#REF!</v>
      </c>
      <c r="G18" s="218" t="e">
        <f>SUMIFS(Пр.13!#REF!,Пр.13!$D$10:$D$1037,C18)</f>
        <v>#REF!</v>
      </c>
      <c r="H18" s="218">
        <f>SUMIFS(Пр.13!$H$10:$H$1037,Пр.13!$D$10:$D$1037,C18)</f>
        <v>0</v>
      </c>
      <c r="I18" s="218" t="e">
        <f>SUMIFS(Пр.13!#REF!,Пр.13!$D$10:$D$1037,C18)</f>
        <v>#REF!</v>
      </c>
    </row>
    <row r="19" spans="1:9" ht="15.75" x14ac:dyDescent="0.2">
      <c r="A19" s="217" t="s">
        <v>1001</v>
      </c>
      <c r="B19" s="67" t="e">
        <f>IF(C19&gt;0,VLOOKUP(C19,Программа!A$2:B$5100,2))</f>
        <v>#N/A</v>
      </c>
      <c r="C19" s="229">
        <v>32</v>
      </c>
      <c r="D19" s="218" t="e">
        <f>SUMIFS(Пр.13!#REF!,Пр.13!$D$10:$D$1037,C19)</f>
        <v>#REF!</v>
      </c>
      <c r="E19" s="218">
        <f>SUMIFS(Пр.13!$G$10:$G$1037,Пр.13!$D$10:$D$1037,C19)</f>
        <v>0</v>
      </c>
      <c r="F19" s="218" t="e">
        <f>SUMIFS(Пр.13!#REF!,Пр.13!$D$10:$D$1037,C19)</f>
        <v>#REF!</v>
      </c>
      <c r="G19" s="218" t="e">
        <f>SUMIFS(Пр.13!#REF!,Пр.13!$D$10:$D$1037,C19)</f>
        <v>#REF!</v>
      </c>
      <c r="H19" s="218">
        <f>SUMIFS(Пр.13!$H$10:$H$1037,Пр.13!$D$10:$D$1037,C19)</f>
        <v>0</v>
      </c>
      <c r="I19" s="218" t="e">
        <f>SUMIFS(Пр.13!#REF!,Пр.13!$D$10:$D$1037,C19)</f>
        <v>#REF!</v>
      </c>
    </row>
    <row r="20" spans="1:9" ht="15.75" x14ac:dyDescent="0.2">
      <c r="A20" s="222" t="s">
        <v>916</v>
      </c>
      <c r="B20" s="67" t="e">
        <f>IF(C20&gt;0,VLOOKUP(C20,Программа!A$2:B$5100,2))</f>
        <v>#N/A</v>
      </c>
      <c r="C20" s="229">
        <v>40</v>
      </c>
      <c r="D20" s="218" t="e">
        <f>SUMIFS(Пр.13!#REF!,Пр.13!$D$10:$D$1037,C20)</f>
        <v>#REF!</v>
      </c>
      <c r="E20" s="218">
        <f>SUMIFS(Пр.13!$G$10:$G$1037,Пр.13!$D$10:$D$1037,C20)</f>
        <v>0</v>
      </c>
      <c r="F20" s="218" t="e">
        <f>SUMIFS(Пр.13!#REF!,Пр.13!$D$10:$D$1037,C20)</f>
        <v>#REF!</v>
      </c>
      <c r="G20" s="218" t="e">
        <f>SUMIFS(Пр.13!#REF!,Пр.13!$D$10:$D$1037,C20)</f>
        <v>#REF!</v>
      </c>
      <c r="H20" s="218">
        <f>SUMIFS(Пр.13!$H$10:$H$1037,Пр.13!$D$10:$D$1037,C20)</f>
        <v>0</v>
      </c>
      <c r="I20" s="218" t="e">
        <f>SUMIFS(Пр.13!#REF!,Пр.13!$D$10:$D$1037,C20)</f>
        <v>#REF!</v>
      </c>
    </row>
    <row r="21" spans="1:9" ht="15.75" x14ac:dyDescent="0.2">
      <c r="A21" s="217" t="s">
        <v>917</v>
      </c>
      <c r="B21" s="67" t="e">
        <f>IF(C21&gt;0,VLOOKUP(C21,Программа!A$2:B$5100,2))</f>
        <v>#N/A</v>
      </c>
      <c r="C21" s="229">
        <v>41</v>
      </c>
      <c r="D21" s="218" t="e">
        <f>SUMIFS(Пр.13!#REF!,Пр.13!$D$10:$D$1037,C21)</f>
        <v>#REF!</v>
      </c>
      <c r="E21" s="218">
        <f>SUMIFS(Пр.13!$G$10:$G$1037,Пр.13!$D$10:$D$1037,C21)</f>
        <v>0</v>
      </c>
      <c r="F21" s="218" t="e">
        <f>SUMIFS(Пр.13!#REF!,Пр.13!$D$10:$D$1037,C21)</f>
        <v>#REF!</v>
      </c>
      <c r="G21" s="218" t="e">
        <f>SUMIFS(Пр.13!#REF!,Пр.13!$D$10:$D$1037,C21)</f>
        <v>#REF!</v>
      </c>
      <c r="H21" s="218">
        <f>SUMIFS(Пр.13!$H$10:$H$1037,Пр.13!$D$10:$D$1037,C21)</f>
        <v>0</v>
      </c>
      <c r="I21" s="218" t="e">
        <f>SUMIFS(Пр.13!#REF!,Пр.13!$D$10:$D$1037,C21)</f>
        <v>#REF!</v>
      </c>
    </row>
    <row r="22" spans="1:9" ht="15.75" x14ac:dyDescent="0.2">
      <c r="A22" s="222" t="s">
        <v>918</v>
      </c>
      <c r="B22" s="67" t="e">
        <f>IF(C22&gt;0,VLOOKUP(C22,Программа!A$2:B$5100,2))</f>
        <v>#N/A</v>
      </c>
      <c r="C22" s="229">
        <v>50</v>
      </c>
      <c r="D22" s="218" t="e">
        <f>SUMIFS(Пр.13!#REF!,Пр.13!$D$10:$D$1037,C22)</f>
        <v>#REF!</v>
      </c>
      <c r="E22" s="218">
        <f>SUMIFS(Пр.13!$G$10:$G$1037,Пр.13!$D$10:$D$1037,C22)</f>
        <v>0</v>
      </c>
      <c r="F22" s="218" t="e">
        <f>SUMIFS(Пр.13!#REF!,Пр.13!$D$10:$D$1037,C22)</f>
        <v>#REF!</v>
      </c>
      <c r="G22" s="218" t="e">
        <f>SUMIFS(Пр.13!#REF!,Пр.13!$D$10:$D$1037,C22)</f>
        <v>#REF!</v>
      </c>
      <c r="H22" s="218">
        <f>SUMIFS(Пр.13!$H$10:$H$1037,Пр.13!$D$10:$D$1037,C22)</f>
        <v>0</v>
      </c>
      <c r="I22" s="218" t="e">
        <f>SUMIFS(Пр.13!#REF!,Пр.13!$D$10:$D$1037,C22)</f>
        <v>#REF!</v>
      </c>
    </row>
    <row r="23" spans="1:9" ht="15.75" x14ac:dyDescent="0.2">
      <c r="A23" s="217" t="s">
        <v>919</v>
      </c>
      <c r="B23" s="67" t="e">
        <f>IF(C23&gt;0,VLOOKUP(C23,Программа!A$2:B$5100,2))</f>
        <v>#N/A</v>
      </c>
      <c r="C23" s="229">
        <v>51</v>
      </c>
      <c r="D23" s="218" t="e">
        <f>SUMIFS(Пр.13!#REF!,Пр.13!$D$10:$D$1037,C23)</f>
        <v>#REF!</v>
      </c>
      <c r="E23" s="218">
        <f>SUMIFS(Пр.13!$G$10:$G$1037,Пр.13!$D$10:$D$1037,C23)</f>
        <v>0</v>
      </c>
      <c r="F23" s="218" t="e">
        <f>SUMIFS(Пр.13!#REF!,Пр.13!$D$10:$D$1037,C23)</f>
        <v>#REF!</v>
      </c>
      <c r="G23" s="218" t="e">
        <f>SUMIFS(Пр.13!#REF!,Пр.13!$D$10:$D$1037,C23)</f>
        <v>#REF!</v>
      </c>
      <c r="H23" s="218">
        <f>SUMIFS(Пр.13!$H$10:$H$1037,Пр.13!$D$10:$D$1037,C23)</f>
        <v>0</v>
      </c>
      <c r="I23" s="218" t="e">
        <f>SUMIFS(Пр.13!#REF!,Пр.13!$D$10:$D$1037,C23)</f>
        <v>#REF!</v>
      </c>
    </row>
    <row r="24" spans="1:9" ht="15.75" x14ac:dyDescent="0.2">
      <c r="A24" s="222" t="s">
        <v>922</v>
      </c>
      <c r="B24" s="67" t="e">
        <f>IF(C24&gt;0,VLOOKUP(C24,Программа!A$2:B$5100,2))</f>
        <v>#N/A</v>
      </c>
      <c r="C24" s="229">
        <v>60</v>
      </c>
      <c r="D24" s="218" t="e">
        <f>SUMIFS(Пр.13!#REF!,Пр.13!$D$10:$D$1037,C24)</f>
        <v>#REF!</v>
      </c>
      <c r="E24" s="218">
        <f>SUMIFS(Пр.13!$G$10:$G$1037,Пр.13!$D$10:$D$1037,C24)</f>
        <v>0</v>
      </c>
      <c r="F24" s="218" t="e">
        <f>SUMIFS(Пр.13!#REF!,Пр.13!$D$10:$D$1037,C24)</f>
        <v>#REF!</v>
      </c>
      <c r="G24" s="218" t="e">
        <f>SUMIFS(Пр.13!#REF!,Пр.13!$D$10:$D$1037,C24)</f>
        <v>#REF!</v>
      </c>
      <c r="H24" s="218">
        <f>SUMIFS(Пр.13!$H$10:$H$1037,Пр.13!$D$10:$D$1037,C24)</f>
        <v>0</v>
      </c>
      <c r="I24" s="218" t="e">
        <f>SUMIFS(Пр.13!#REF!,Пр.13!$D$10:$D$1037,C24)</f>
        <v>#REF!</v>
      </c>
    </row>
    <row r="25" spans="1:9" ht="15.75" x14ac:dyDescent="0.2">
      <c r="A25" s="217" t="s">
        <v>923</v>
      </c>
      <c r="B25" s="67" t="e">
        <f>IF(C25&gt;0,VLOOKUP(C25,Программа!A$2:B$5100,2))</f>
        <v>#N/A</v>
      </c>
      <c r="C25" s="229">
        <v>61</v>
      </c>
      <c r="D25" s="218" t="e">
        <f>SUMIFS(Пр.13!#REF!,Пр.13!$D$10:$D$1037,C25)</f>
        <v>#REF!</v>
      </c>
      <c r="E25" s="218">
        <f>SUMIFS(Пр.13!$G$10:$G$1037,Пр.13!$D$10:$D$1037,C25)</f>
        <v>0</v>
      </c>
      <c r="F25" s="218" t="e">
        <f>SUMIFS(Пр.13!#REF!,Пр.13!$D$10:$D$1037,C25)</f>
        <v>#REF!</v>
      </c>
      <c r="G25" s="218" t="e">
        <f>SUMIFS(Пр.13!#REF!,Пр.13!$D$10:$D$1037,C25)</f>
        <v>#REF!</v>
      </c>
      <c r="H25" s="218">
        <f>SUMIFS(Пр.13!$H$10:$H$1037,Пр.13!$D$10:$D$1037,C25)</f>
        <v>0</v>
      </c>
      <c r="I25" s="218" t="e">
        <f>SUMIFS(Пр.13!#REF!,Пр.13!$D$10:$D$1037,C25)</f>
        <v>#REF!</v>
      </c>
    </row>
    <row r="26" spans="1:9" ht="15.75" x14ac:dyDescent="0.2">
      <c r="A26" s="222" t="s">
        <v>924</v>
      </c>
      <c r="B26" s="67" t="e">
        <f>IF(C26&gt;0,VLOOKUP(C26,Программа!A$2:B$5100,2))</f>
        <v>#N/A</v>
      </c>
      <c r="C26" s="229">
        <v>70</v>
      </c>
      <c r="D26" s="218" t="e">
        <f>SUMIFS(Пр.13!#REF!,Пр.13!$D$10:$D$1037,C26)</f>
        <v>#REF!</v>
      </c>
      <c r="E26" s="218">
        <f>SUMIFS(Пр.13!$G$10:$G$1037,Пр.13!$D$10:$D$1037,C26)</f>
        <v>0</v>
      </c>
      <c r="F26" s="218" t="e">
        <f>SUMIFS(Пр.13!#REF!,Пр.13!$D$10:$D$1037,C26)</f>
        <v>#REF!</v>
      </c>
      <c r="G26" s="218" t="e">
        <f>SUMIFS(Пр.13!#REF!,Пр.13!$D$10:$D$1037,C26)</f>
        <v>#REF!</v>
      </c>
      <c r="H26" s="218">
        <f>SUMIFS(Пр.13!$H$10:$H$1037,Пр.13!$D$10:$D$1037,C26)</f>
        <v>0</v>
      </c>
      <c r="I26" s="218" t="e">
        <f>SUMIFS(Пр.13!#REF!,Пр.13!$D$10:$D$1037,C26)</f>
        <v>#REF!</v>
      </c>
    </row>
    <row r="27" spans="1:9" ht="15.75" x14ac:dyDescent="0.2">
      <c r="A27" s="217" t="s">
        <v>925</v>
      </c>
      <c r="B27" s="67" t="e">
        <f>IF(C27&gt;0,VLOOKUP(C27,Программа!A$2:B$5100,2))</f>
        <v>#N/A</v>
      </c>
      <c r="C27" s="229">
        <v>71</v>
      </c>
      <c r="D27" s="218" t="e">
        <f>SUMIFS(Пр.13!#REF!,Пр.13!$D$10:$D$1037,C27)</f>
        <v>#REF!</v>
      </c>
      <c r="E27" s="218">
        <f>SUMIFS(Пр.13!$G$10:$G$1037,Пр.13!$D$10:$D$1037,C27)</f>
        <v>0</v>
      </c>
      <c r="F27" s="218" t="e">
        <f>SUMIFS(Пр.13!#REF!,Пр.13!$D$10:$D$1037,C27)</f>
        <v>#REF!</v>
      </c>
      <c r="G27" s="218" t="e">
        <f>SUMIFS(Пр.13!#REF!,Пр.13!$D$10:$D$1037,C27)</f>
        <v>#REF!</v>
      </c>
      <c r="H27" s="218">
        <f>SUMIFS(Пр.13!$H$10:$H$1037,Пр.13!$D$10:$D$1037,C27)</f>
        <v>0</v>
      </c>
      <c r="I27" s="218" t="e">
        <f>SUMIFS(Пр.13!#REF!,Пр.13!$D$10:$D$1037,C27)</f>
        <v>#REF!</v>
      </c>
    </row>
    <row r="28" spans="1:9" ht="15.75" x14ac:dyDescent="0.2">
      <c r="A28" s="217" t="s">
        <v>926</v>
      </c>
      <c r="B28" s="67" t="e">
        <f>IF(C28&gt;0,VLOOKUP(C28,Программа!A$2:B$5100,2))</f>
        <v>#N/A</v>
      </c>
      <c r="C28" s="229">
        <v>72</v>
      </c>
      <c r="D28" s="218" t="e">
        <f>SUMIFS(Пр.13!#REF!,Пр.13!$D$10:$D$1037,C28)</f>
        <v>#REF!</v>
      </c>
      <c r="E28" s="218">
        <f>SUMIFS(Пр.13!$G$10:$G$1037,Пр.13!$D$10:$D$1037,C28)</f>
        <v>0</v>
      </c>
      <c r="F28" s="218" t="e">
        <f>SUMIFS(Пр.13!#REF!,Пр.13!$D$10:$D$1037,C28)</f>
        <v>#REF!</v>
      </c>
      <c r="G28" s="218" t="e">
        <f>SUMIFS(Пр.13!#REF!,Пр.13!$D$10:$D$1037,C28)</f>
        <v>#REF!</v>
      </c>
      <c r="H28" s="218">
        <f>SUMIFS(Пр.13!$H$10:$H$1037,Пр.13!$D$10:$D$1037,C28)</f>
        <v>0</v>
      </c>
      <c r="I28" s="218" t="e">
        <f>SUMIFS(Пр.13!#REF!,Пр.13!$D$10:$D$1037,C28)</f>
        <v>#REF!</v>
      </c>
    </row>
    <row r="29" spans="1:9" ht="15.75" x14ac:dyDescent="0.2">
      <c r="A29" s="222" t="s">
        <v>947</v>
      </c>
      <c r="B29" s="67" t="e">
        <f>IF(C29&gt;0,VLOOKUP(C29,Программа!A$2:B$5100,2))</f>
        <v>#N/A</v>
      </c>
      <c r="C29" s="229">
        <v>80</v>
      </c>
      <c r="D29" s="218" t="e">
        <f>SUMIFS(Пр.13!#REF!,Пр.13!$D$10:$D$1037,C29)</f>
        <v>#REF!</v>
      </c>
      <c r="E29" s="218">
        <f>SUMIFS(Пр.13!$G$10:$G$1037,Пр.13!$D$10:$D$1037,C29)</f>
        <v>0</v>
      </c>
      <c r="F29" s="218" t="e">
        <f>SUMIFS(Пр.13!#REF!,Пр.13!$D$10:$D$1037,C29)</f>
        <v>#REF!</v>
      </c>
      <c r="G29" s="218" t="e">
        <f>SUMIFS(Пр.13!#REF!,Пр.13!$D$10:$D$1037,C29)</f>
        <v>#REF!</v>
      </c>
      <c r="H29" s="218">
        <f>SUMIFS(Пр.13!$H$10:$H$1037,Пр.13!$D$10:$D$1037,C29)</f>
        <v>0</v>
      </c>
      <c r="I29" s="218" t="e">
        <f>SUMIFS(Пр.13!#REF!,Пр.13!$D$10:$D$1037,C29)</f>
        <v>#REF!</v>
      </c>
    </row>
    <row r="30" spans="1:9" ht="15.75" x14ac:dyDescent="0.2">
      <c r="A30" s="217" t="s">
        <v>949</v>
      </c>
      <c r="B30" s="67" t="e">
        <f>IF(C30&gt;0,VLOOKUP(C30,Программа!A$2:B$5100,2))</f>
        <v>#N/A</v>
      </c>
      <c r="C30" s="229">
        <v>81</v>
      </c>
      <c r="D30" s="218" t="e">
        <f>SUMIFS(Пр.13!#REF!,Пр.13!$D$10:$D$1037,C30)</f>
        <v>#REF!</v>
      </c>
      <c r="E30" s="218">
        <f>SUMIFS(Пр.13!$G$10:$G$1037,Пр.13!$D$10:$D$1037,C30)</f>
        <v>0</v>
      </c>
      <c r="F30" s="218" t="e">
        <f>SUMIFS(Пр.13!#REF!,Пр.13!$D$10:$D$1037,C30)</f>
        <v>#REF!</v>
      </c>
      <c r="G30" s="218" t="e">
        <f>SUMIFS(Пр.13!#REF!,Пр.13!$D$10:$D$1037,C30)</f>
        <v>#REF!</v>
      </c>
      <c r="H30" s="218">
        <f>SUMIFS(Пр.13!$H$10:$H$1037,Пр.13!$D$10:$D$1037,C30)</f>
        <v>0</v>
      </c>
      <c r="I30" s="218" t="e">
        <f>SUMIFS(Пр.13!#REF!,Пр.13!$D$10:$D$1037,C30)</f>
        <v>#REF!</v>
      </c>
    </row>
    <row r="31" spans="1:9" ht="15.75" x14ac:dyDescent="0.2">
      <c r="A31" s="222" t="s">
        <v>950</v>
      </c>
      <c r="B31" s="67" t="e">
        <f>IF(C31&gt;0,VLOOKUP(C31,Программа!A$2:B$5100,2))</f>
        <v>#N/A</v>
      </c>
      <c r="C31" s="229">
        <v>90</v>
      </c>
      <c r="D31" s="218" t="e">
        <f>SUMIFS(Пр.13!#REF!,Пр.13!$D$10:$D$1037,C31)</f>
        <v>#REF!</v>
      </c>
      <c r="E31" s="218">
        <f>SUMIFS(Пр.13!$G$10:$G$1037,Пр.13!$D$10:$D$1037,C31)</f>
        <v>0</v>
      </c>
      <c r="F31" s="218" t="e">
        <f>SUMIFS(Пр.13!#REF!,Пр.13!$D$10:$D$1037,C31)</f>
        <v>#REF!</v>
      </c>
      <c r="G31" s="218" t="e">
        <f>SUMIFS(Пр.13!#REF!,Пр.13!$D$10:$D$1037,C31)</f>
        <v>#REF!</v>
      </c>
      <c r="H31" s="218">
        <f>SUMIFS(Пр.13!$H$10:$H$1037,Пр.13!$D$10:$D$1037,C31)</f>
        <v>0</v>
      </c>
      <c r="I31" s="218" t="e">
        <f>SUMIFS(Пр.13!#REF!,Пр.13!$D$10:$D$1037,C31)</f>
        <v>#REF!</v>
      </c>
    </row>
    <row r="32" spans="1:9" ht="15.75" x14ac:dyDescent="0.2">
      <c r="A32" s="217" t="s">
        <v>951</v>
      </c>
      <c r="B32" s="67" t="e">
        <f>IF(C32&gt;0,VLOOKUP(C32,Программа!A$2:B$5100,2))</f>
        <v>#N/A</v>
      </c>
      <c r="C32" s="229">
        <v>91</v>
      </c>
      <c r="D32" s="218" t="e">
        <f>SUMIFS(Пр.13!#REF!,Пр.13!$D$10:$D$1037,C32)</f>
        <v>#REF!</v>
      </c>
      <c r="E32" s="218">
        <f>SUMIFS(Пр.13!$G$10:$G$1037,Пр.13!$D$10:$D$1037,C32)</f>
        <v>0</v>
      </c>
      <c r="F32" s="218" t="e">
        <f>SUMIFS(Пр.13!#REF!,Пр.13!$D$10:$D$1037,C32)</f>
        <v>#REF!</v>
      </c>
      <c r="G32" s="218" t="e">
        <f>SUMIFS(Пр.13!#REF!,Пр.13!$D$10:$D$1037,C32)</f>
        <v>#REF!</v>
      </c>
      <c r="H32" s="218">
        <f>SUMIFS(Пр.13!$H$10:$H$1037,Пр.13!$D$10:$D$1037,C32)</f>
        <v>0</v>
      </c>
      <c r="I32" s="218" t="e">
        <f>SUMIFS(Пр.13!#REF!,Пр.13!$D$10:$D$1037,C32)</f>
        <v>#REF!</v>
      </c>
    </row>
    <row r="33" spans="1:9" ht="15.75" x14ac:dyDescent="0.2">
      <c r="A33" s="222" t="s">
        <v>73</v>
      </c>
      <c r="B33" s="67" t="e">
        <f>IF(C33&gt;0,VLOOKUP(C33,Программа!A$2:B$5100,2))</f>
        <v>#N/A</v>
      </c>
      <c r="C33" s="229">
        <v>100</v>
      </c>
      <c r="D33" s="218" t="e">
        <f>SUMIFS(Пр.13!#REF!,Пр.13!$D$10:$D$1037,C33)</f>
        <v>#REF!</v>
      </c>
      <c r="E33" s="218">
        <f>SUMIFS(Пр.13!$G$10:$G$1037,Пр.13!$D$10:$D$1037,C33)</f>
        <v>0</v>
      </c>
      <c r="F33" s="218" t="e">
        <f>SUMIFS(Пр.13!#REF!,Пр.13!$D$10:$D$1037,C33)</f>
        <v>#REF!</v>
      </c>
      <c r="G33" s="218" t="e">
        <f>SUMIFS(Пр.13!#REF!,Пр.13!$D$10:$D$1037,C33)</f>
        <v>#REF!</v>
      </c>
      <c r="H33" s="218">
        <f>SUMIFS(Пр.13!$H$10:$H$1037,Пр.13!$D$10:$D$1037,C33)</f>
        <v>0</v>
      </c>
      <c r="I33" s="218" t="e">
        <f>SUMIFS(Пр.13!#REF!,Пр.13!$D$10:$D$1037,C33)</f>
        <v>#REF!</v>
      </c>
    </row>
    <row r="34" spans="1:9" ht="15.75" x14ac:dyDescent="0.2">
      <c r="A34" s="217" t="s">
        <v>957</v>
      </c>
      <c r="B34" s="67" t="e">
        <f>IF(C34&gt;0,VLOOKUP(C34,Программа!A$2:B$5100,2))</f>
        <v>#N/A</v>
      </c>
      <c r="C34" s="229">
        <v>101</v>
      </c>
      <c r="D34" s="218" t="e">
        <f>SUMIFS(Пр.13!#REF!,Пр.13!$D$10:$D$1037,C34)</f>
        <v>#REF!</v>
      </c>
      <c r="E34" s="218">
        <f>SUMIFS(Пр.13!$G$10:$G$1037,Пр.13!$D$10:$D$1037,C34)</f>
        <v>0</v>
      </c>
      <c r="F34" s="218" t="e">
        <f>SUMIFS(Пр.13!#REF!,Пр.13!$D$10:$D$1037,C34)</f>
        <v>#REF!</v>
      </c>
      <c r="G34" s="218" t="e">
        <f>SUMIFS(Пр.13!#REF!,Пр.13!$D$10:$D$1037,C34)</f>
        <v>#REF!</v>
      </c>
      <c r="H34" s="218">
        <f>SUMIFS(Пр.13!$H$10:$H$1037,Пр.13!$D$10:$D$1037,C34)</f>
        <v>0</v>
      </c>
      <c r="I34" s="218" t="e">
        <f>SUMIFS(Пр.13!#REF!,Пр.13!$D$10:$D$1037,C34)</f>
        <v>#REF!</v>
      </c>
    </row>
    <row r="35" spans="1:9" ht="15.75" hidden="1" x14ac:dyDescent="0.2">
      <c r="A35" s="222" t="s">
        <v>44</v>
      </c>
      <c r="B35" s="67" t="e">
        <f>IF(C35&gt;0,VLOOKUP(C35,Программа!A$2:B$5100,2))</f>
        <v>#N/A</v>
      </c>
      <c r="C35" s="229">
        <v>110</v>
      </c>
      <c r="D35" s="218" t="e">
        <f>SUMIFS(Пр.13!#REF!,Пр.13!$D$10:$D$1037,C35)</f>
        <v>#REF!</v>
      </c>
      <c r="E35" s="218">
        <f>SUMIFS(Пр.13!$G$10:$G$1037,Пр.13!$D$10:$D$1037,C35)</f>
        <v>0</v>
      </c>
      <c r="F35" s="218" t="e">
        <f>SUMIFS(Пр.13!#REF!,Пр.13!$D$10:$D$1037,C35)</f>
        <v>#REF!</v>
      </c>
      <c r="G35" s="218" t="e">
        <f>SUMIFS(Пр.13!#REF!,Пр.13!$D$10:$D$1037,C35)</f>
        <v>#REF!</v>
      </c>
      <c r="H35" s="218">
        <f>SUMIFS(Пр.13!$H$10:$H$1037,Пр.13!$D$10:$D$1037,C35)</f>
        <v>0</v>
      </c>
      <c r="I35" s="218" t="e">
        <f>SUMIFS(Пр.13!#REF!,Пр.13!$D$10:$D$1037,C35)</f>
        <v>#REF!</v>
      </c>
    </row>
    <row r="36" spans="1:9" ht="15.75" hidden="1" x14ac:dyDescent="0.2">
      <c r="A36" s="217" t="s">
        <v>968</v>
      </c>
      <c r="B36" s="67" t="e">
        <f>IF(C36&gt;0,VLOOKUP(C36,Программа!A$2:B$5100,2))</f>
        <v>#N/A</v>
      </c>
      <c r="C36" s="229">
        <v>111</v>
      </c>
      <c r="D36" s="218" t="e">
        <f>SUMIFS(Пр.13!#REF!,Пр.13!$D$10:$D$1037,C36)</f>
        <v>#REF!</v>
      </c>
      <c r="E36" s="218">
        <f>SUMIFS(Пр.13!$G$10:$G$1037,Пр.13!$D$10:$D$1037,C36)</f>
        <v>0</v>
      </c>
      <c r="F36" s="218" t="e">
        <f>SUMIFS(Пр.13!#REF!,Пр.13!$D$10:$D$1037,C36)</f>
        <v>#REF!</v>
      </c>
      <c r="G36" s="218" t="e">
        <f>SUMIFS(Пр.13!#REF!,Пр.13!$D$10:$D$1037,C36)</f>
        <v>#REF!</v>
      </c>
      <c r="H36" s="218">
        <f>SUMIFS(Пр.13!$H$10:$H$1037,Пр.13!$D$10:$D$1037,C36)</f>
        <v>0</v>
      </c>
      <c r="I36" s="218" t="e">
        <f>SUMIFS(Пр.13!#REF!,Пр.13!$D$10:$D$1037,C36)</f>
        <v>#REF!</v>
      </c>
    </row>
    <row r="37" spans="1:9" ht="15.75" x14ac:dyDescent="0.2">
      <c r="A37" s="222" t="s">
        <v>56</v>
      </c>
      <c r="B37" s="67" t="e">
        <f>IF(C37&gt;0,VLOOKUP(C37,Программа!A$2:B$5100,2))</f>
        <v>#N/A</v>
      </c>
      <c r="C37" s="229">
        <v>120</v>
      </c>
      <c r="D37" s="218" t="e">
        <f>SUMIFS(Пр.13!#REF!,Пр.13!$D$10:$D$1037,C37)</f>
        <v>#REF!</v>
      </c>
      <c r="E37" s="218">
        <f>SUMIFS(Пр.13!$G$10:$G$1037,Пр.13!$D$10:$D$1037,C37)</f>
        <v>0</v>
      </c>
      <c r="F37" s="218" t="e">
        <f>SUMIFS(Пр.13!#REF!,Пр.13!$D$10:$D$1037,C37)</f>
        <v>#REF!</v>
      </c>
      <c r="G37" s="218" t="e">
        <f>SUMIFS(Пр.13!#REF!,Пр.13!$D$10:$D$1037,C37)</f>
        <v>#REF!</v>
      </c>
      <c r="H37" s="218">
        <f>SUMIFS(Пр.13!$H$10:$H$1037,Пр.13!$D$10:$D$1037,C37)</f>
        <v>0</v>
      </c>
      <c r="I37" s="218" t="e">
        <f>SUMIFS(Пр.13!#REF!,Пр.13!$D$10:$D$1037,C37)</f>
        <v>#REF!</v>
      </c>
    </row>
    <row r="38" spans="1:9" ht="15.75" x14ac:dyDescent="0.2">
      <c r="A38" s="222" t="s">
        <v>972</v>
      </c>
      <c r="B38" s="67" t="e">
        <f>IF(C38&gt;0,VLOOKUP(C38,Программа!A$2:B$5100,2))</f>
        <v>#N/A</v>
      </c>
      <c r="C38" s="229">
        <v>121</v>
      </c>
      <c r="D38" s="218" t="e">
        <f>SUMIFS(Пр.13!#REF!,Пр.13!$D$10:$D$1037,C38)</f>
        <v>#REF!</v>
      </c>
      <c r="E38" s="218">
        <f>SUMIFS(Пр.13!$G$10:$G$1037,Пр.13!$D$10:$D$1037,C38)</f>
        <v>0</v>
      </c>
      <c r="F38" s="218" t="e">
        <f>SUMIFS(Пр.13!#REF!,Пр.13!$D$10:$D$1037,C38)</f>
        <v>#REF!</v>
      </c>
      <c r="G38" s="218" t="e">
        <f>SUMIFS(Пр.13!#REF!,Пр.13!$D$10:$D$1037,C38)</f>
        <v>#REF!</v>
      </c>
      <c r="H38" s="218">
        <f>SUMIFS(Пр.13!$H$10:$H$1037,Пр.13!$D$10:$D$1037,C38)</f>
        <v>0</v>
      </c>
      <c r="I38" s="218" t="e">
        <f>SUMIFS(Пр.13!#REF!,Пр.13!$D$10:$D$1037,C38)</f>
        <v>#REF!</v>
      </c>
    </row>
    <row r="39" spans="1:9" ht="15.75" x14ac:dyDescent="0.2">
      <c r="A39" s="222" t="s">
        <v>61</v>
      </c>
      <c r="B39" s="67" t="e">
        <f>IF(C39&gt;0,VLOOKUP(C39,Программа!A$2:B$5100,2))</f>
        <v>#N/A</v>
      </c>
      <c r="C39" s="229">
        <v>130</v>
      </c>
      <c r="D39" s="218" t="e">
        <f>SUMIFS(Пр.13!#REF!,Пр.13!$D$10:$D$1037,C39)</f>
        <v>#REF!</v>
      </c>
      <c r="E39" s="218">
        <f>SUMIFS(Пр.13!$G$10:$G$1037,Пр.13!$D$10:$D$1037,C39)</f>
        <v>0</v>
      </c>
      <c r="F39" s="218" t="e">
        <f>SUMIFS(Пр.13!#REF!,Пр.13!$D$10:$D$1037,C39)</f>
        <v>#REF!</v>
      </c>
      <c r="G39" s="218" t="e">
        <f>SUMIFS(Пр.13!#REF!,Пр.13!$D$10:$D$1037,C39)</f>
        <v>#REF!</v>
      </c>
      <c r="H39" s="218">
        <f>SUMIFS(Пр.13!$H$10:$H$1037,Пр.13!$D$10:$D$1037,C39)</f>
        <v>0</v>
      </c>
      <c r="I39" s="218" t="e">
        <f>SUMIFS(Пр.13!#REF!,Пр.13!$D$10:$D$1037,C39)</f>
        <v>#REF!</v>
      </c>
    </row>
    <row r="40" spans="1:9" ht="15.75" x14ac:dyDescent="0.2">
      <c r="A40" s="217" t="s">
        <v>1002</v>
      </c>
      <c r="B40" s="67" t="e">
        <f>IF(C40&gt;0,VLOOKUP(C40,Программа!A$2:B$5100,2))</f>
        <v>#N/A</v>
      </c>
      <c r="C40" s="229">
        <v>131</v>
      </c>
      <c r="D40" s="218" t="e">
        <f>SUMIFS(Пр.13!#REF!,Пр.13!$D$10:$D$1037,C40)</f>
        <v>#REF!</v>
      </c>
      <c r="E40" s="218">
        <f>SUMIFS(Пр.13!$G$10:$G$1037,Пр.13!$D$10:$D$1037,C40)</f>
        <v>0</v>
      </c>
      <c r="F40" s="218" t="e">
        <f>SUMIFS(Пр.13!#REF!,Пр.13!$D$10:$D$1037,C40)</f>
        <v>#REF!</v>
      </c>
      <c r="G40" s="218" t="e">
        <f>SUMIFS(Пр.13!#REF!,Пр.13!$D$10:$D$1037,C40)</f>
        <v>#REF!</v>
      </c>
      <c r="H40" s="218">
        <f>SUMIFS(Пр.13!$H$10:$H$1037,Пр.13!$D$10:$D$1037,C40)</f>
        <v>0</v>
      </c>
      <c r="I40" s="218" t="e">
        <f>SUMIFS(Пр.13!#REF!,Пр.13!$D$10:$D$1037,C40)</f>
        <v>#REF!</v>
      </c>
    </row>
    <row r="41" spans="1:9" ht="15.75" x14ac:dyDescent="0.2">
      <c r="A41" s="222" t="s">
        <v>66</v>
      </c>
      <c r="B41" s="67" t="e">
        <f>IF(C41&gt;0,VLOOKUP(C41,Программа!A$2:B$5100,2))</f>
        <v>#N/A</v>
      </c>
      <c r="C41" s="229">
        <v>140</v>
      </c>
      <c r="D41" s="218" t="e">
        <f>SUMIFS(Пр.13!#REF!,Пр.13!$D$10:$D$1037,C41)</f>
        <v>#REF!</v>
      </c>
      <c r="E41" s="218">
        <f>SUMIFS(Пр.13!$G$10:$G$1037,Пр.13!$D$10:$D$1037,C41)</f>
        <v>0</v>
      </c>
      <c r="F41" s="218" t="e">
        <f>SUMIFS(Пр.13!#REF!,Пр.13!$D$10:$D$1037,C41)</f>
        <v>#REF!</v>
      </c>
      <c r="G41" s="218" t="e">
        <f>SUMIFS(Пр.13!#REF!,Пр.13!$D$10:$D$1037,C41)</f>
        <v>#REF!</v>
      </c>
      <c r="H41" s="218">
        <f>SUMIFS(Пр.13!$H$10:$H$1037,Пр.13!$D$10:$D$1037,C41)</f>
        <v>0</v>
      </c>
      <c r="I41" s="218" t="e">
        <f>SUMIFS(Пр.13!#REF!,Пр.13!$D$10:$D$1037,C41)</f>
        <v>#REF!</v>
      </c>
    </row>
    <row r="42" spans="1:9" ht="15.75" hidden="1" x14ac:dyDescent="0.2">
      <c r="A42" s="217" t="s">
        <v>1003</v>
      </c>
      <c r="B42" s="67" t="e">
        <f>IF(C42&gt;0,VLOOKUP(C42,Программа!A$2:B$5100,2))</f>
        <v>#N/A</v>
      </c>
      <c r="C42" s="229">
        <v>141</v>
      </c>
      <c r="D42" s="218" t="e">
        <f>SUMIFS(Пр.13!#REF!,Пр.13!$D$10:$D$1037,C42)</f>
        <v>#REF!</v>
      </c>
      <c r="E42" s="218">
        <f>SUMIFS(Пр.13!$G$10:$G$1037,Пр.13!$D$10:$D$1037,C42)</f>
        <v>0</v>
      </c>
      <c r="F42" s="218" t="e">
        <f>SUMIFS(Пр.13!#REF!,Пр.13!$D$10:$D$1037,C42)</f>
        <v>#REF!</v>
      </c>
      <c r="G42" s="218" t="e">
        <f>SUMIFS(Пр.13!#REF!,Пр.13!$D$10:$D$1037,C42)</f>
        <v>#REF!</v>
      </c>
      <c r="H42" s="218">
        <f>SUMIFS(Пр.13!$H$10:$H$1037,Пр.13!$D$10:$D$1037,C42)</f>
        <v>0</v>
      </c>
      <c r="I42" s="218" t="e">
        <f>SUMIFS(Пр.13!#REF!,Пр.13!$D$10:$D$1037,C42)</f>
        <v>#REF!</v>
      </c>
    </row>
    <row r="43" spans="1:9" ht="15.75" x14ac:dyDescent="0.2">
      <c r="A43" s="217" t="s">
        <v>1004</v>
      </c>
      <c r="B43" s="67" t="e">
        <f>IF(C43&gt;0,VLOOKUP(C43,Программа!A$2:B$5100,2))</f>
        <v>#N/A</v>
      </c>
      <c r="C43" s="229">
        <v>142</v>
      </c>
      <c r="D43" s="218" t="e">
        <f>SUMIFS(Пр.13!#REF!,Пр.13!$D$10:$D$1037,C43)</f>
        <v>#REF!</v>
      </c>
      <c r="E43" s="218">
        <f>SUMIFS(Пр.13!$G$10:$G$1037,Пр.13!$D$10:$D$1037,C43)</f>
        <v>0</v>
      </c>
      <c r="F43" s="218" t="e">
        <f>SUMIFS(Пр.13!#REF!,Пр.13!$D$10:$D$1037,C43)</f>
        <v>#REF!</v>
      </c>
      <c r="G43" s="218" t="e">
        <f>SUMIFS(Пр.13!#REF!,Пр.13!$D$10:$D$1037,C43)</f>
        <v>#REF!</v>
      </c>
      <c r="H43" s="218">
        <f>SUMIFS(Пр.13!$H$10:$H$1037,Пр.13!$D$10:$D$1037,C43)</f>
        <v>0</v>
      </c>
      <c r="I43" s="218" t="e">
        <f>SUMIFS(Пр.13!#REF!,Пр.13!$D$10:$D$1037,C43)</f>
        <v>#REF!</v>
      </c>
    </row>
    <row r="44" spans="1:9" ht="15.75" x14ac:dyDescent="0.2">
      <c r="A44" s="222" t="s">
        <v>1005</v>
      </c>
      <c r="B44" s="67" t="e">
        <f>IF(C44&gt;0,VLOOKUP(C44,Программа!A$2:B$5100,2))</f>
        <v>#N/A</v>
      </c>
      <c r="C44" s="229">
        <v>150</v>
      </c>
      <c r="D44" s="218" t="e">
        <f>SUMIFS(Пр.13!#REF!,Пр.13!$D$10:$D$1037,C44)</f>
        <v>#REF!</v>
      </c>
      <c r="E44" s="218">
        <f>SUMIFS(Пр.13!$G$10:$G$1037,Пр.13!$D$10:$D$1037,C44)</f>
        <v>0</v>
      </c>
      <c r="F44" s="218" t="e">
        <f>SUMIFS(Пр.13!#REF!,Пр.13!$D$10:$D$1037,C44)</f>
        <v>#REF!</v>
      </c>
      <c r="G44" s="218" t="e">
        <f>SUMIFS(Пр.13!#REF!,Пр.13!$D$10:$D$1037,C44)</f>
        <v>#REF!</v>
      </c>
      <c r="H44" s="218">
        <f>SUMIFS(Пр.13!$H$10:$H$1037,Пр.13!$D$10:$D$1037,C44)</f>
        <v>0</v>
      </c>
      <c r="I44" s="218" t="e">
        <f>SUMIFS(Пр.13!#REF!,Пр.13!$D$10:$D$1037,C44)</f>
        <v>#REF!</v>
      </c>
    </row>
    <row r="45" spans="1:9" ht="15.75" x14ac:dyDescent="0.2">
      <c r="A45" s="217" t="s">
        <v>1006</v>
      </c>
      <c r="B45" s="67" t="e">
        <f>IF(C45&gt;0,VLOOKUP(C45,Программа!A$2:B$5100,2))</f>
        <v>#N/A</v>
      </c>
      <c r="C45" s="229">
        <v>151</v>
      </c>
      <c r="D45" s="218" t="e">
        <f>SUMIFS(Пр.13!#REF!,Пр.13!$D$10:$D$1037,C45)</f>
        <v>#REF!</v>
      </c>
      <c r="E45" s="218">
        <f>SUMIFS(Пр.13!$G$10:$G$1037,Пр.13!$D$10:$D$1037,C45)</f>
        <v>0</v>
      </c>
      <c r="F45" s="218" t="e">
        <f>SUMIFS(Пр.13!#REF!,Пр.13!$D$10:$D$1037,C45)</f>
        <v>#REF!</v>
      </c>
      <c r="G45" s="218" t="e">
        <f>SUMIFS(Пр.13!#REF!,Пр.13!$D$10:$D$1037,C45)</f>
        <v>#REF!</v>
      </c>
      <c r="H45" s="218">
        <f>SUMIFS(Пр.13!$H$10:$H$1037,Пр.13!$D$10:$D$1037,C45)</f>
        <v>0</v>
      </c>
      <c r="I45" s="218" t="e">
        <f>SUMIFS(Пр.13!#REF!,Пр.13!$D$10:$D$1037,C45)</f>
        <v>#REF!</v>
      </c>
    </row>
    <row r="46" spans="1:9" ht="15.75" x14ac:dyDescent="0.2">
      <c r="A46" s="217" t="s">
        <v>1007</v>
      </c>
      <c r="B46" s="67" t="e">
        <f>IF(C46&gt;0,VLOOKUP(C46,Программа!A$2:B$5100,2))</f>
        <v>#N/A</v>
      </c>
      <c r="C46" s="229">
        <v>152</v>
      </c>
      <c r="D46" s="218" t="e">
        <f>SUMIFS(Пр.13!#REF!,Пр.13!$D$10:$D$1037,C46)</f>
        <v>#REF!</v>
      </c>
      <c r="E46" s="218">
        <f>SUMIFS(Пр.13!$G$10:$G$1037,Пр.13!$D$10:$D$1037,C46)</f>
        <v>0</v>
      </c>
      <c r="F46" s="218" t="e">
        <f>SUMIFS(Пр.13!#REF!,Пр.13!$D$10:$D$1037,C46)</f>
        <v>#REF!</v>
      </c>
      <c r="G46" s="218" t="e">
        <f>SUMIFS(Пр.13!#REF!,Пр.13!$D$10:$D$1037,C46)</f>
        <v>#REF!</v>
      </c>
      <c r="H46" s="218">
        <f>SUMIFS(Пр.13!$H$10:$H$1037,Пр.13!$D$10:$D$1037,C46)</f>
        <v>0</v>
      </c>
      <c r="I46" s="218" t="e">
        <f>SUMIFS(Пр.13!#REF!,Пр.13!$D$10:$D$1037,C46)</f>
        <v>#REF!</v>
      </c>
    </row>
    <row r="47" spans="1:9" ht="15.75" x14ac:dyDescent="0.2">
      <c r="A47" s="222" t="s">
        <v>77</v>
      </c>
      <c r="B47" s="67" t="e">
        <f>IF(C47&gt;0,VLOOKUP(C47,Программа!A$2:B$5100,2))</f>
        <v>#N/A</v>
      </c>
      <c r="C47" s="229">
        <v>160</v>
      </c>
      <c r="D47" s="218" t="e">
        <f>SUMIFS(Пр.13!#REF!,Пр.13!$D$10:$D$1037,C47)</f>
        <v>#REF!</v>
      </c>
      <c r="E47" s="218">
        <f>SUMIFS(Пр.13!$G$10:$G$1037,Пр.13!$D$10:$D$1037,C47)</f>
        <v>0</v>
      </c>
      <c r="F47" s="218" t="e">
        <f>SUMIFS(Пр.13!#REF!,Пр.13!$D$10:$D$1037,C47)</f>
        <v>#REF!</v>
      </c>
      <c r="G47" s="218" t="e">
        <f>SUMIFS(Пр.13!#REF!,Пр.13!$D$10:$D$1037,C47)</f>
        <v>#REF!</v>
      </c>
      <c r="H47" s="218">
        <f>SUMIFS(Пр.13!$H$10:$H$1037,Пр.13!$D$10:$D$1037,C47)</f>
        <v>0</v>
      </c>
      <c r="I47" s="218" t="e">
        <f>SUMIFS(Пр.13!#REF!,Пр.13!$D$10:$D$1037,C47)</f>
        <v>#REF!</v>
      </c>
    </row>
    <row r="48" spans="1:9" ht="15.75" x14ac:dyDescent="0.2">
      <c r="A48" s="217" t="s">
        <v>1008</v>
      </c>
      <c r="B48" s="67" t="e">
        <f>IF(C48&gt;0,VLOOKUP(C48,Программа!A$2:B$5100,2))</f>
        <v>#N/A</v>
      </c>
      <c r="C48" s="229">
        <v>161</v>
      </c>
      <c r="D48" s="218" t="e">
        <f>SUMIFS(Пр.13!#REF!,Пр.13!$D$10:$D$1037,C48)</f>
        <v>#REF!</v>
      </c>
      <c r="E48" s="218">
        <f>SUMIFS(Пр.13!$G$10:$G$1037,Пр.13!$D$10:$D$1037,C48)</f>
        <v>0</v>
      </c>
      <c r="F48" s="218" t="e">
        <f>SUMIFS(Пр.13!#REF!,Пр.13!$D$10:$D$1037,C48)</f>
        <v>#REF!</v>
      </c>
      <c r="G48" s="218" t="e">
        <f>SUMIFS(Пр.13!#REF!,Пр.13!$D$10:$D$1037,C48)</f>
        <v>#REF!</v>
      </c>
      <c r="H48" s="218">
        <f>SUMIFS(Пр.13!$H$10:$H$1037,Пр.13!$D$10:$D$1037,C48)</f>
        <v>0</v>
      </c>
      <c r="I48" s="218" t="e">
        <f>SUMIFS(Пр.13!#REF!,Пр.13!$D$10:$D$1037,C48)</f>
        <v>#REF!</v>
      </c>
    </row>
    <row r="49" spans="1:9" ht="15.75" x14ac:dyDescent="0.2">
      <c r="A49" s="217"/>
      <c r="B49" s="66" t="s">
        <v>177</v>
      </c>
      <c r="C49" s="231"/>
      <c r="D49" s="213" t="e">
        <f t="shared" ref="D49:I49" si="0">D10+D14+D17+D20+D22+D24+D26+D29+D31+D33+D35+D37+D39+D41+D44+D47</f>
        <v>#REF!</v>
      </c>
      <c r="E49" s="213">
        <f t="shared" si="0"/>
        <v>0</v>
      </c>
      <c r="F49" s="213" t="e">
        <f t="shared" si="0"/>
        <v>#REF!</v>
      </c>
      <c r="G49" s="213" t="e">
        <f t="shared" si="0"/>
        <v>#REF!</v>
      </c>
      <c r="H49" s="213">
        <f t="shared" si="0"/>
        <v>0</v>
      </c>
      <c r="I49" s="213" t="e">
        <f t="shared" si="0"/>
        <v>#REF!</v>
      </c>
    </row>
    <row r="50" spans="1:9" ht="31.5" customHeight="1" x14ac:dyDescent="0.2">
      <c r="A50" s="222" t="s">
        <v>991</v>
      </c>
      <c r="B50" s="67" t="e">
        <f>IF(C50&gt;0,VLOOKUP(C50,Программа!A$2:B$5100,2))</f>
        <v>#N/A</v>
      </c>
      <c r="C50" s="229">
        <v>409</v>
      </c>
      <c r="D50" s="218" t="e">
        <f>SUMIFS(Пр.13!#REF!,Пр.13!$D$10:$D$1037,C50)</f>
        <v>#REF!</v>
      </c>
      <c r="E50" s="218">
        <f>SUMIFS(Пр.13!$G$10:$G$1037,Пр.13!$D$10:$D$1037,C50)</f>
        <v>0</v>
      </c>
      <c r="F50" s="218" t="e">
        <f>SUMIFS(Пр.13!#REF!,Пр.13!$D$10:$D$1037,C50)</f>
        <v>#REF!</v>
      </c>
      <c r="G50" s="218" t="e">
        <f>SUMIFS(Пр.13!#REF!,Пр.13!$D$10:$D$1037,C50)</f>
        <v>#REF!</v>
      </c>
      <c r="H50" s="218">
        <f>SUMIFS(Пр.13!$H$10:$H$1037,Пр.13!$D$10:$D$1037,C50)</f>
        <v>0</v>
      </c>
      <c r="I50" s="218" t="e">
        <f>SUMIFS(Пр.13!#REF!,Пр.13!$D$10:$D$1037,C50)</f>
        <v>#REF!</v>
      </c>
    </row>
    <row r="51" spans="1:9" ht="15.75" x14ac:dyDescent="0.2">
      <c r="A51" s="222" t="s">
        <v>992</v>
      </c>
      <c r="B51" s="67" t="e">
        <f>IF(C51&gt;0,VLOOKUP(C51,Программа!A$2:B$5100,2))</f>
        <v>#N/A</v>
      </c>
      <c r="C51" s="229">
        <v>990</v>
      </c>
      <c r="D51" s="218" t="e">
        <f>SUMIFS(Пр.13!#REF!,Пр.13!$D$10:$D$1037,C51)</f>
        <v>#REF!</v>
      </c>
      <c r="E51" s="218">
        <f>SUMIFS(Пр.13!$G$10:$G$1037,Пр.13!$D$10:$D$1037,C51)</f>
        <v>0</v>
      </c>
      <c r="F51" s="218" t="e">
        <f>SUMIFS(Пр.13!#REF!,Пр.13!$D$10:$D$1037,C51)</f>
        <v>#REF!</v>
      </c>
      <c r="G51" s="218" t="e">
        <f>SUMIFS(Пр.13!#REF!,Пр.13!$D$10:$D$1037,C51)</f>
        <v>#REF!</v>
      </c>
      <c r="H51" s="218">
        <f>SUMIFS(Пр.13!$H$10:$H$1037,Пр.13!$D$10:$D$1037,C51)</f>
        <v>0</v>
      </c>
      <c r="I51" s="218" t="e">
        <f>SUMIFS(Пр.13!#REF!,Пр.13!$D$10:$D$1037,C51)</f>
        <v>#REF!</v>
      </c>
    </row>
    <row r="52" spans="1:9" ht="15.75" x14ac:dyDescent="0.2">
      <c r="A52" s="65"/>
      <c r="B52" s="66" t="s">
        <v>993</v>
      </c>
      <c r="C52" s="225"/>
      <c r="D52" s="213" t="e">
        <f t="shared" ref="D52:I52" si="1">D51+D50+D47+D44+D41+D39+D37+D35+D33+D31+D29+D26+D24+D22+D20+D17+D14+D10</f>
        <v>#REF!</v>
      </c>
      <c r="E52" s="213">
        <f t="shared" si="1"/>
        <v>0</v>
      </c>
      <c r="F52" s="213" t="e">
        <f t="shared" si="1"/>
        <v>#REF!</v>
      </c>
      <c r="G52" s="213" t="e">
        <f t="shared" si="1"/>
        <v>#REF!</v>
      </c>
      <c r="H52" s="213">
        <f t="shared" si="1"/>
        <v>0</v>
      </c>
      <c r="I52" s="213" t="e">
        <f t="shared" si="1"/>
        <v>#REF!</v>
      </c>
    </row>
    <row r="53" spans="1:9" x14ac:dyDescent="0.2">
      <c r="C53" s="226"/>
      <c r="D53" s="226"/>
    </row>
    <row r="54" spans="1:9" x14ac:dyDescent="0.2">
      <c r="C54" s="226"/>
      <c r="D54" s="226"/>
    </row>
    <row r="55" spans="1:9" x14ac:dyDescent="0.2">
      <c r="C55" s="226"/>
      <c r="D55" s="226"/>
    </row>
    <row r="56" spans="1:9" x14ac:dyDescent="0.2">
      <c r="C56" s="226"/>
      <c r="D56" s="226"/>
    </row>
    <row r="57" spans="1:9" x14ac:dyDescent="0.2">
      <c r="C57" s="226"/>
      <c r="D57" s="226"/>
    </row>
    <row r="58" spans="1:9" x14ac:dyDescent="0.2">
      <c r="C58" s="226"/>
      <c r="D58" s="226"/>
    </row>
    <row r="59" spans="1:9" x14ac:dyDescent="0.2">
      <c r="C59" s="226"/>
      <c r="D59" s="226"/>
    </row>
    <row r="60" spans="1:9" x14ac:dyDescent="0.2">
      <c r="C60" s="226"/>
      <c r="D60" s="226"/>
    </row>
    <row r="61" spans="1:9" x14ac:dyDescent="0.2">
      <c r="C61" s="226"/>
      <c r="D61" s="226"/>
    </row>
    <row r="62" spans="1:9" x14ac:dyDescent="0.2">
      <c r="C62" s="226"/>
      <c r="D62" s="226"/>
    </row>
    <row r="63" spans="1:9" x14ac:dyDescent="0.2">
      <c r="C63" s="226"/>
      <c r="D63" s="226"/>
    </row>
    <row r="64" spans="1:9" x14ac:dyDescent="0.2">
      <c r="C64" s="226"/>
      <c r="D64" s="226"/>
    </row>
    <row r="65" spans="3:4" x14ac:dyDescent="0.2">
      <c r="C65" s="226"/>
      <c r="D65" s="226"/>
    </row>
    <row r="66" spans="3:4" x14ac:dyDescent="0.2">
      <c r="C66" s="226"/>
      <c r="D66" s="226"/>
    </row>
    <row r="67" spans="3:4" x14ac:dyDescent="0.2">
      <c r="C67" s="226"/>
      <c r="D67" s="226"/>
    </row>
    <row r="68" spans="3:4" x14ac:dyDescent="0.2">
      <c r="C68" s="226"/>
      <c r="D68" s="226"/>
    </row>
    <row r="69" spans="3:4" x14ac:dyDescent="0.2">
      <c r="C69" s="226"/>
      <c r="D69" s="226"/>
    </row>
    <row r="70" spans="3:4" x14ac:dyDescent="0.2">
      <c r="C70" s="226"/>
      <c r="D70" s="226"/>
    </row>
    <row r="71" spans="3:4" x14ac:dyDescent="0.2">
      <c r="C71" s="226"/>
      <c r="D71" s="226"/>
    </row>
    <row r="72" spans="3:4" x14ac:dyDescent="0.2">
      <c r="C72" s="226"/>
      <c r="D72" s="226"/>
    </row>
    <row r="73" spans="3:4" x14ac:dyDescent="0.2">
      <c r="C73" s="226"/>
      <c r="D73" s="226"/>
    </row>
    <row r="74" spans="3:4" x14ac:dyDescent="0.2">
      <c r="C74" s="226"/>
      <c r="D74" s="226"/>
    </row>
    <row r="75" spans="3:4" x14ac:dyDescent="0.2">
      <c r="C75" s="226"/>
      <c r="D75" s="226"/>
    </row>
    <row r="76" spans="3:4" x14ac:dyDescent="0.2">
      <c r="C76" s="226"/>
      <c r="D76" s="226"/>
    </row>
    <row r="77" spans="3:4" x14ac:dyDescent="0.2">
      <c r="C77" s="226"/>
      <c r="D77" s="226"/>
    </row>
    <row r="78" spans="3:4" x14ac:dyDescent="0.2">
      <c r="C78" s="226"/>
      <c r="D78" s="226"/>
    </row>
    <row r="79" spans="3:4" x14ac:dyDescent="0.2">
      <c r="C79" s="226"/>
      <c r="D79" s="226"/>
    </row>
    <row r="80" spans="3:4" x14ac:dyDescent="0.2">
      <c r="C80" s="226"/>
      <c r="D80" s="226"/>
    </row>
    <row r="81" spans="3:4" x14ac:dyDescent="0.2">
      <c r="C81" s="226"/>
      <c r="D81" s="226"/>
    </row>
    <row r="82" spans="3:4" x14ac:dyDescent="0.2">
      <c r="C82" s="226"/>
      <c r="D82" s="226"/>
    </row>
    <row r="83" spans="3:4" x14ac:dyDescent="0.2">
      <c r="C83" s="226"/>
      <c r="D83" s="226"/>
    </row>
    <row r="84" spans="3:4" x14ac:dyDescent="0.2">
      <c r="C84" s="226"/>
      <c r="D84" s="226"/>
    </row>
    <row r="85" spans="3:4" x14ac:dyDescent="0.2">
      <c r="C85" s="226"/>
      <c r="D85" s="226"/>
    </row>
    <row r="86" spans="3:4" x14ac:dyDescent="0.2">
      <c r="C86" s="226"/>
      <c r="D86" s="226"/>
    </row>
    <row r="87" spans="3:4" x14ac:dyDescent="0.2">
      <c r="C87" s="226"/>
      <c r="D87" s="226"/>
    </row>
    <row r="88" spans="3:4" x14ac:dyDescent="0.2">
      <c r="C88" s="226"/>
      <c r="D88" s="226"/>
    </row>
    <row r="89" spans="3:4" x14ac:dyDescent="0.2">
      <c r="C89" s="226"/>
      <c r="D89" s="226"/>
    </row>
    <row r="90" spans="3:4" x14ac:dyDescent="0.2">
      <c r="C90" s="226"/>
      <c r="D90" s="226"/>
    </row>
    <row r="91" spans="3:4" x14ac:dyDescent="0.2">
      <c r="C91" s="226"/>
      <c r="D91" s="226"/>
    </row>
    <row r="92" spans="3:4" x14ac:dyDescent="0.2">
      <c r="C92" s="226"/>
      <c r="D92" s="226"/>
    </row>
    <row r="93" spans="3:4" x14ac:dyDescent="0.2">
      <c r="C93" s="226"/>
      <c r="D93" s="226"/>
    </row>
    <row r="94" spans="3:4" x14ac:dyDescent="0.2">
      <c r="C94" s="226"/>
      <c r="D94" s="226"/>
    </row>
    <row r="95" spans="3:4" x14ac:dyDescent="0.2">
      <c r="C95" s="226"/>
      <c r="D95" s="226"/>
    </row>
    <row r="96" spans="3:4" x14ac:dyDescent="0.2">
      <c r="C96" s="226"/>
      <c r="D96" s="226"/>
    </row>
    <row r="97" spans="3:4" x14ac:dyDescent="0.2">
      <c r="C97" s="226"/>
      <c r="D97" s="226"/>
    </row>
    <row r="98" spans="3:4" x14ac:dyDescent="0.2">
      <c r="C98" s="226"/>
      <c r="D98" s="226"/>
    </row>
    <row r="99" spans="3:4" x14ac:dyDescent="0.2">
      <c r="C99" s="226"/>
      <c r="D99" s="226"/>
    </row>
    <row r="100" spans="3:4" x14ac:dyDescent="0.2">
      <c r="C100" s="226"/>
      <c r="D100" s="226"/>
    </row>
    <row r="101" spans="3:4" x14ac:dyDescent="0.2">
      <c r="C101" s="226"/>
      <c r="D101" s="226"/>
    </row>
    <row r="102" spans="3:4" x14ac:dyDescent="0.2">
      <c r="C102" s="226"/>
      <c r="D102" s="226"/>
    </row>
    <row r="103" spans="3:4" x14ac:dyDescent="0.2">
      <c r="C103" s="226"/>
      <c r="D103" s="226"/>
    </row>
    <row r="104" spans="3:4" x14ac:dyDescent="0.2">
      <c r="C104" s="226"/>
      <c r="D104" s="226"/>
    </row>
    <row r="105" spans="3:4" x14ac:dyDescent="0.2">
      <c r="C105" s="226"/>
      <c r="D105" s="226"/>
    </row>
    <row r="106" spans="3:4" x14ac:dyDescent="0.2">
      <c r="C106" s="226"/>
      <c r="D106" s="226"/>
    </row>
    <row r="107" spans="3:4" x14ac:dyDescent="0.2">
      <c r="C107" s="226"/>
      <c r="D107" s="226"/>
    </row>
    <row r="108" spans="3:4" x14ac:dyDescent="0.2">
      <c r="C108" s="226"/>
      <c r="D108" s="226"/>
    </row>
    <row r="109" spans="3:4" x14ac:dyDescent="0.2">
      <c r="C109" s="226"/>
      <c r="D109" s="226"/>
    </row>
    <row r="110" spans="3:4" x14ac:dyDescent="0.2">
      <c r="C110" s="226"/>
      <c r="D110" s="226"/>
    </row>
    <row r="111" spans="3:4" x14ac:dyDescent="0.2">
      <c r="C111" s="226"/>
      <c r="D111" s="226"/>
    </row>
    <row r="112" spans="3:4" x14ac:dyDescent="0.2">
      <c r="C112" s="226"/>
      <c r="D112" s="226"/>
    </row>
    <row r="113" spans="3:4" x14ac:dyDescent="0.2">
      <c r="C113" s="226"/>
      <c r="D113" s="226"/>
    </row>
    <row r="114" spans="3:4" x14ac:dyDescent="0.2">
      <c r="C114" s="226"/>
      <c r="D114" s="226"/>
    </row>
    <row r="115" spans="3:4" x14ac:dyDescent="0.2">
      <c r="C115" s="226"/>
      <c r="D115" s="226"/>
    </row>
    <row r="116" spans="3:4" x14ac:dyDescent="0.2">
      <c r="C116" s="226"/>
      <c r="D116" s="226"/>
    </row>
    <row r="117" spans="3:4" x14ac:dyDescent="0.2">
      <c r="C117" s="226"/>
      <c r="D117" s="226"/>
    </row>
    <row r="118" spans="3:4" x14ac:dyDescent="0.2">
      <c r="C118" s="226"/>
      <c r="D118" s="226"/>
    </row>
    <row r="119" spans="3:4" x14ac:dyDescent="0.2">
      <c r="C119" s="226"/>
      <c r="D119" s="226"/>
    </row>
    <row r="120" spans="3:4" x14ac:dyDescent="0.2">
      <c r="C120" s="226"/>
      <c r="D120" s="226"/>
    </row>
    <row r="121" spans="3:4" x14ac:dyDescent="0.2">
      <c r="C121" s="226"/>
      <c r="D121" s="226"/>
    </row>
    <row r="122" spans="3:4" x14ac:dyDescent="0.2">
      <c r="C122" s="226"/>
      <c r="D122" s="226"/>
    </row>
    <row r="123" spans="3:4" x14ac:dyDescent="0.2">
      <c r="C123" s="226"/>
      <c r="D123" s="226"/>
    </row>
  </sheetData>
  <mergeCells count="16">
    <mergeCell ref="A6:I6"/>
    <mergeCell ref="E7:I7"/>
    <mergeCell ref="A8:A9"/>
    <mergeCell ref="B8:B9"/>
    <mergeCell ref="C8:C9"/>
    <mergeCell ref="I8:I9"/>
    <mergeCell ref="F8:F9"/>
    <mergeCell ref="D8:D9"/>
    <mergeCell ref="E8:E9"/>
    <mergeCell ref="G8:G9"/>
    <mergeCell ref="H8:H9"/>
    <mergeCell ref="A1:I1"/>
    <mergeCell ref="A2:I2"/>
    <mergeCell ref="A3:I3"/>
    <mergeCell ref="A4:I4"/>
    <mergeCell ref="E5:I5"/>
  </mergeCells>
  <printOptions gridLinesSet="0"/>
  <pageMargins left="0.70866141732283472" right="0.70866141732283472" top="0.74803149606299213" bottom="0.74803149606299213" header="0.5" footer="0.5"/>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
  <sheetViews>
    <sheetView showGridLines="0" workbookViewId="0">
      <selection sqref="A1:D1"/>
    </sheetView>
  </sheetViews>
  <sheetFormatPr defaultColWidth="9.140625" defaultRowHeight="15.75" x14ac:dyDescent="0.25"/>
  <cols>
    <col min="1" max="1" width="50.42578125" style="35" customWidth="1"/>
    <col min="2" max="2" width="18" style="35" customWidth="1"/>
    <col min="3" max="3" width="14.85546875" style="35" customWidth="1"/>
    <col min="4" max="4" width="0.28515625" style="35" customWidth="1"/>
    <col min="5" max="7" width="9.140625" style="35"/>
    <col min="8" max="8" width="43.42578125" style="35" customWidth="1"/>
    <col min="9" max="16384" width="9.140625" style="35"/>
  </cols>
  <sheetData>
    <row r="1" spans="1:4" x14ac:dyDescent="0.25">
      <c r="A1" s="868" t="s">
        <v>1009</v>
      </c>
      <c r="B1" s="868"/>
      <c r="C1" s="868"/>
      <c r="D1" s="868"/>
    </row>
    <row r="2" spans="1:4" x14ac:dyDescent="0.25">
      <c r="A2" s="868" t="s">
        <v>1</v>
      </c>
      <c r="B2" s="868"/>
      <c r="C2" s="868"/>
      <c r="D2" s="868"/>
    </row>
    <row r="3" spans="1:4" x14ac:dyDescent="0.25">
      <c r="A3" s="868" t="s">
        <v>2</v>
      </c>
      <c r="B3" s="868"/>
      <c r="C3" s="868"/>
      <c r="D3" s="868"/>
    </row>
    <row r="4" spans="1:4" x14ac:dyDescent="0.25">
      <c r="A4" s="868" t="s">
        <v>547</v>
      </c>
      <c r="B4" s="868"/>
      <c r="C4" s="868"/>
      <c r="D4" s="868"/>
    </row>
    <row r="5" spans="1:4" ht="15.75" customHeight="1" x14ac:dyDescent="0.25">
      <c r="A5" s="5"/>
      <c r="B5" s="5"/>
      <c r="C5" s="5"/>
    </row>
    <row r="7" spans="1:4" ht="41.25" customHeight="1" x14ac:dyDescent="0.25">
      <c r="A7" s="869" t="s">
        <v>1010</v>
      </c>
      <c r="B7" s="869"/>
      <c r="C7" s="869"/>
      <c r="D7" s="869"/>
    </row>
    <row r="8" spans="1:4" ht="14.25" customHeight="1" x14ac:dyDescent="0.25">
      <c r="A8" s="6"/>
      <c r="B8" s="6"/>
      <c r="C8" s="6"/>
      <c r="D8" s="6"/>
    </row>
    <row r="9" spans="1:4" ht="34.5" customHeight="1" x14ac:dyDescent="0.25">
      <c r="A9" s="983" t="s">
        <v>1011</v>
      </c>
      <c r="B9" s="983"/>
      <c r="C9" s="983"/>
      <c r="D9" s="869"/>
    </row>
    <row r="10" spans="1:4" ht="98.25" customHeight="1" x14ac:dyDescent="0.25">
      <c r="A10" s="9" t="s">
        <v>1012</v>
      </c>
      <c r="B10" s="9" t="s">
        <v>1013</v>
      </c>
      <c r="C10" s="9" t="s">
        <v>1014</v>
      </c>
      <c r="D10" s="232"/>
    </row>
    <row r="11" spans="1:4" ht="26.25" customHeight="1" x14ac:dyDescent="0.25">
      <c r="A11" s="233" t="s">
        <v>1015</v>
      </c>
      <c r="B11" s="234">
        <f>1670000+C11</f>
        <v>1830000</v>
      </c>
      <c r="C11" s="235">
        <v>160000</v>
      </c>
      <c r="D11" s="236"/>
    </row>
    <row r="12" spans="1:4" ht="30.75" customHeight="1" x14ac:dyDescent="0.25">
      <c r="A12" s="233" t="s">
        <v>1016</v>
      </c>
      <c r="B12" s="234">
        <f>1810000+C12</f>
        <v>2184000</v>
      </c>
      <c r="C12" s="235">
        <v>374000</v>
      </c>
      <c r="D12" s="236"/>
    </row>
    <row r="13" spans="1:4" ht="27" customHeight="1" x14ac:dyDescent="0.25">
      <c r="A13" s="237" t="s">
        <v>177</v>
      </c>
      <c r="B13" s="238">
        <f>SUM(B11:B12)</f>
        <v>4014000</v>
      </c>
      <c r="C13" s="238">
        <f>SUM(C11:C12)</f>
        <v>534000</v>
      </c>
      <c r="D13" s="239"/>
    </row>
    <row r="224" ht="54.75" customHeight="1" x14ac:dyDescent="0.25"/>
    <row r="225" ht="27" customHeight="1" x14ac:dyDescent="0.25"/>
    <row r="226" ht="85.5" customHeight="1" x14ac:dyDescent="0.25"/>
    <row r="227" ht="27" customHeight="1" x14ac:dyDescent="0.25"/>
    <row r="228" ht="38.25" customHeight="1" x14ac:dyDescent="0.25"/>
    <row r="234" ht="54" customHeight="1" x14ac:dyDescent="0.25"/>
    <row r="235" ht="37.5" customHeight="1" x14ac:dyDescent="0.25"/>
    <row r="236" ht="69.75" customHeight="1" x14ac:dyDescent="0.25"/>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2.75" x14ac:dyDescent="0.2"/>
  <cols>
    <col min="1" max="1" width="4.140625" bestFit="1" customWidth="1"/>
    <col min="2" max="2" width="65.28515625" customWidth="1"/>
    <col min="3" max="3" width="22.28515625" customWidth="1"/>
  </cols>
  <sheetData>
    <row r="1" spans="1:3" ht="15.75" x14ac:dyDescent="0.25">
      <c r="A1" s="868" t="s">
        <v>616</v>
      </c>
      <c r="B1" s="868"/>
      <c r="C1" s="868"/>
    </row>
    <row r="2" spans="1:3" ht="15.75" x14ac:dyDescent="0.25">
      <c r="A2" s="868" t="s">
        <v>1</v>
      </c>
      <c r="B2" s="868"/>
      <c r="C2" s="868"/>
    </row>
    <row r="3" spans="1:3" ht="15.75" x14ac:dyDescent="0.25">
      <c r="A3" s="868" t="s">
        <v>2</v>
      </c>
      <c r="B3" s="868"/>
      <c r="C3" s="868"/>
    </row>
    <row r="4" spans="1:3" ht="15.75" x14ac:dyDescent="0.25">
      <c r="A4" s="868" t="s">
        <v>1018</v>
      </c>
      <c r="B4" s="868"/>
      <c r="C4" s="868"/>
    </row>
    <row r="6" spans="1:3" ht="44.25" customHeight="1" x14ac:dyDescent="0.3">
      <c r="A6" s="986" t="s">
        <v>1019</v>
      </c>
      <c r="B6" s="986"/>
      <c r="C6" s="986"/>
    </row>
    <row r="7" spans="1:3" ht="10.5" customHeight="1" x14ac:dyDescent="0.3">
      <c r="A7" s="117"/>
    </row>
    <row r="8" spans="1:3" ht="15.75" x14ac:dyDescent="0.2">
      <c r="A8" s="244" t="s">
        <v>1020</v>
      </c>
      <c r="B8" s="984" t="s">
        <v>191</v>
      </c>
      <c r="C8" s="245" t="s">
        <v>1021</v>
      </c>
    </row>
    <row r="9" spans="1:3" ht="15.75" x14ac:dyDescent="0.2">
      <c r="A9" s="246" t="s">
        <v>1022</v>
      </c>
      <c r="B9" s="985"/>
      <c r="C9" s="113" t="s">
        <v>1023</v>
      </c>
    </row>
    <row r="10" spans="1:3" ht="18.75" x14ac:dyDescent="0.2">
      <c r="A10" s="242">
        <v>1</v>
      </c>
      <c r="B10" s="247" t="s">
        <v>1024</v>
      </c>
      <c r="C10" s="248">
        <v>950</v>
      </c>
    </row>
    <row r="11" spans="1:3" ht="18.75" x14ac:dyDescent="0.2">
      <c r="A11" s="242">
        <v>2</v>
      </c>
      <c r="B11" s="247" t="s">
        <v>678</v>
      </c>
      <c r="C11" s="248">
        <v>952</v>
      </c>
    </row>
    <row r="12" spans="1:3" ht="18.75" x14ac:dyDescent="0.2">
      <c r="A12" s="242">
        <v>3</v>
      </c>
      <c r="B12" s="247" t="s">
        <v>684</v>
      </c>
      <c r="C12" s="248">
        <v>953</v>
      </c>
    </row>
    <row r="13" spans="1:3" ht="19.5" customHeight="1" x14ac:dyDescent="0.2">
      <c r="A13" s="242">
        <v>4</v>
      </c>
      <c r="B13" s="118" t="s">
        <v>1025</v>
      </c>
      <c r="C13" s="249">
        <v>954</v>
      </c>
    </row>
    <row r="14" spans="1:3" ht="18.75" x14ac:dyDescent="0.2">
      <c r="A14" s="242">
        <v>5</v>
      </c>
      <c r="B14" s="247" t="s">
        <v>795</v>
      </c>
      <c r="C14" s="248">
        <v>955</v>
      </c>
    </row>
    <row r="15" spans="1:3" ht="31.5" x14ac:dyDescent="0.2">
      <c r="A15" s="242">
        <v>6</v>
      </c>
      <c r="B15" s="247" t="s">
        <v>1026</v>
      </c>
      <c r="C15" s="248">
        <v>956</v>
      </c>
    </row>
    <row r="16" spans="1:3" ht="31.5" x14ac:dyDescent="0.2">
      <c r="A16" s="242">
        <v>7</v>
      </c>
      <c r="B16" s="247" t="s">
        <v>1027</v>
      </c>
      <c r="C16" s="248">
        <v>957</v>
      </c>
    </row>
    <row r="17" spans="1:3" ht="31.5" x14ac:dyDescent="0.2">
      <c r="A17" s="242">
        <v>8</v>
      </c>
      <c r="B17" s="247" t="s">
        <v>1028</v>
      </c>
      <c r="C17" s="248">
        <v>958</v>
      </c>
    </row>
    <row r="18" spans="1:3" ht="18.75" x14ac:dyDescent="0.2">
      <c r="A18" s="242">
        <v>9</v>
      </c>
      <c r="B18" s="247" t="s">
        <v>1029</v>
      </c>
      <c r="C18" s="248">
        <v>974</v>
      </c>
    </row>
    <row r="19" spans="1:3" ht="18.75" x14ac:dyDescent="0.2">
      <c r="A19" s="242">
        <v>10</v>
      </c>
      <c r="B19" s="118" t="s">
        <v>898</v>
      </c>
      <c r="C19" s="250">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ColWidth="9.140625" defaultRowHeight="12.75" x14ac:dyDescent="0.2"/>
  <cols>
    <col min="1" max="1" width="50.42578125" style="128" customWidth="1"/>
    <col min="2" max="2" width="18" style="128" customWidth="1"/>
    <col min="3" max="3" width="18.5703125" style="128" customWidth="1"/>
    <col min="4" max="4" width="0.28515625" style="128" customWidth="1"/>
    <col min="5" max="16384" width="9.140625" style="128"/>
  </cols>
  <sheetData>
    <row r="1" spans="1:4" ht="15.75" x14ac:dyDescent="0.25">
      <c r="A1" s="868" t="s">
        <v>900</v>
      </c>
      <c r="B1" s="868"/>
      <c r="C1" s="868"/>
      <c r="D1" s="868"/>
    </row>
    <row r="2" spans="1:4" ht="15.75" x14ac:dyDescent="0.25">
      <c r="A2" s="868" t="s">
        <v>1</v>
      </c>
      <c r="B2" s="868"/>
      <c r="C2" s="868"/>
      <c r="D2" s="868"/>
    </row>
    <row r="3" spans="1:4" ht="15.75" x14ac:dyDescent="0.25">
      <c r="A3" s="868" t="s">
        <v>2</v>
      </c>
      <c r="B3" s="868"/>
      <c r="C3" s="868"/>
      <c r="D3" s="868"/>
    </row>
    <row r="4" spans="1:4" ht="15.75" x14ac:dyDescent="0.25">
      <c r="A4" s="868" t="s">
        <v>1030</v>
      </c>
      <c r="B4" s="868"/>
      <c r="C4" s="868"/>
      <c r="D4" s="868"/>
    </row>
    <row r="5" spans="1:4" ht="15.75" x14ac:dyDescent="0.25">
      <c r="A5" s="5"/>
      <c r="B5" s="5"/>
      <c r="C5" s="5"/>
      <c r="D5" s="35"/>
    </row>
    <row r="6" spans="1:4" ht="15.75" x14ac:dyDescent="0.25">
      <c r="A6" s="35"/>
      <c r="B6" s="35"/>
      <c r="C6" s="35"/>
      <c r="D6" s="35"/>
    </row>
    <row r="7" spans="1:4" ht="38.25" customHeight="1" x14ac:dyDescent="0.2">
      <c r="A7" s="869" t="s">
        <v>1010</v>
      </c>
      <c r="B7" s="869"/>
      <c r="C7" s="869"/>
      <c r="D7" s="869"/>
    </row>
    <row r="8" spans="1:4" ht="15.75" x14ac:dyDescent="0.2">
      <c r="A8" s="6"/>
      <c r="B8" s="6"/>
      <c r="C8" s="6"/>
      <c r="D8" s="6"/>
    </row>
    <row r="9" spans="1:4" ht="34.5" customHeight="1" x14ac:dyDescent="0.2">
      <c r="A9" s="983" t="s">
        <v>1011</v>
      </c>
      <c r="B9" s="983"/>
      <c r="C9" s="983"/>
      <c r="D9" s="869"/>
    </row>
    <row r="10" spans="1:4" ht="78.75" x14ac:dyDescent="0.2">
      <c r="A10" s="9" t="s">
        <v>1012</v>
      </c>
      <c r="B10" s="9" t="s">
        <v>1013</v>
      </c>
      <c r="C10" s="9" t="s">
        <v>1014</v>
      </c>
      <c r="D10" s="232"/>
    </row>
    <row r="11" spans="1:4" ht="15.75" x14ac:dyDescent="0.25">
      <c r="A11" s="233" t="s">
        <v>1015</v>
      </c>
      <c r="B11" s="234">
        <f>1670000+C11</f>
        <v>1830000</v>
      </c>
      <c r="C11" s="235">
        <v>160000</v>
      </c>
      <c r="D11" s="236"/>
    </row>
    <row r="12" spans="1:4" ht="15.75" x14ac:dyDescent="0.25">
      <c r="A12" s="233" t="s">
        <v>1016</v>
      </c>
      <c r="B12" s="234">
        <f>1810000+C12</f>
        <v>2184000</v>
      </c>
      <c r="C12" s="235">
        <v>374000</v>
      </c>
      <c r="D12" s="236"/>
    </row>
    <row r="13" spans="1:4" ht="15.75" x14ac:dyDescent="0.25">
      <c r="A13" s="237" t="s">
        <v>177</v>
      </c>
      <c r="B13" s="238">
        <f>SUM(B11:B12)</f>
        <v>4014000</v>
      </c>
      <c r="C13" s="238">
        <f>SUM(C11:C12)</f>
        <v>534000</v>
      </c>
      <c r="D13" s="239"/>
    </row>
    <row r="14" spans="1:4" ht="15.75" x14ac:dyDescent="0.25">
      <c r="A14" s="308"/>
      <c r="B14" s="239"/>
      <c r="C14" s="239"/>
      <c r="D14" s="239"/>
    </row>
    <row r="15" spans="1:4" ht="61.5" customHeight="1" x14ac:dyDescent="0.2">
      <c r="A15" s="983" t="s">
        <v>1031</v>
      </c>
      <c r="B15" s="983"/>
      <c r="C15" s="983"/>
      <c r="D15" s="869"/>
    </row>
    <row r="16" spans="1:4" ht="15.75" x14ac:dyDescent="0.2">
      <c r="A16" s="9" t="s">
        <v>1012</v>
      </c>
      <c r="B16" s="989" t="s">
        <v>1013</v>
      </c>
      <c r="C16" s="990"/>
      <c r="D16" s="232"/>
    </row>
    <row r="17" spans="1:4" ht="15.75" x14ac:dyDescent="0.25">
      <c r="A17" s="233" t="s">
        <v>1032</v>
      </c>
      <c r="B17" s="991">
        <v>335000</v>
      </c>
      <c r="C17" s="992"/>
      <c r="D17" s="236"/>
    </row>
    <row r="18" spans="1:4" ht="15.75" x14ac:dyDescent="0.25">
      <c r="A18" s="233" t="s">
        <v>1033</v>
      </c>
      <c r="B18" s="991">
        <v>1462000</v>
      </c>
      <c r="C18" s="992"/>
      <c r="D18" s="236"/>
    </row>
    <row r="19" spans="1:4" ht="15.75" x14ac:dyDescent="0.25">
      <c r="A19" s="237" t="s">
        <v>177</v>
      </c>
      <c r="B19" s="987">
        <f>SUM(B17:C18)</f>
        <v>1797000</v>
      </c>
      <c r="C19" s="988"/>
      <c r="D19" s="239"/>
    </row>
    <row r="20" spans="1:4" ht="15.75" x14ac:dyDescent="0.25">
      <c r="A20" s="308"/>
      <c r="B20" s="239"/>
      <c r="C20" s="239"/>
      <c r="D20" s="239"/>
    </row>
    <row r="21" spans="1:4" ht="0.75" customHeight="1" x14ac:dyDescent="0.25">
      <c r="A21" s="308"/>
      <c r="B21" s="239"/>
      <c r="C21" s="239"/>
      <c r="D21" s="239"/>
    </row>
    <row r="22" spans="1:4" ht="15.75" hidden="1" x14ac:dyDescent="0.25">
      <c r="A22" s="308"/>
      <c r="B22" s="239"/>
      <c r="C22" s="239"/>
      <c r="D22" s="239"/>
    </row>
    <row r="23" spans="1:4" ht="15.75" hidden="1" x14ac:dyDescent="0.25">
      <c r="A23" s="35"/>
      <c r="B23" s="35"/>
      <c r="C23" s="35"/>
      <c r="D23" s="35"/>
    </row>
  </sheetData>
  <mergeCells count="11">
    <mergeCell ref="B19:C19"/>
    <mergeCell ref="A9:D9"/>
    <mergeCell ref="A15:D15"/>
    <mergeCell ref="B16:C16"/>
    <mergeCell ref="B17:C17"/>
    <mergeCell ref="B18:C18"/>
    <mergeCell ref="A1:D1"/>
    <mergeCell ref="A2:D2"/>
    <mergeCell ref="A3:D3"/>
    <mergeCell ref="A4:D4"/>
    <mergeCell ref="A7:D7"/>
  </mergeCells>
  <printOptions gridLinesSet="0"/>
  <pageMargins left="0.7" right="0.7" top="0.75" bottom="0.75"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view="pageBreakPreview" topLeftCell="A91" zoomScaleSheetLayoutView="100" workbookViewId="0">
      <selection activeCell="J14" sqref="J14"/>
    </sheetView>
  </sheetViews>
  <sheetFormatPr defaultColWidth="9.140625" defaultRowHeight="12.75" x14ac:dyDescent="0.2"/>
  <cols>
    <col min="1" max="1" width="5.140625" style="41" bestFit="1" customWidth="1"/>
    <col min="2" max="3" width="3" style="41" bestFit="1" customWidth="1"/>
    <col min="4" max="4" width="3" style="41" customWidth="1"/>
    <col min="5" max="5" width="5.42578125" style="41" customWidth="1"/>
    <col min="6" max="6" width="3" style="41" customWidth="1"/>
    <col min="7" max="7" width="5.85546875" style="41" customWidth="1"/>
    <col min="8" max="8" width="4.85546875" style="41" bestFit="1" customWidth="1"/>
    <col min="9" max="9" width="35.42578125" style="41" customWidth="1"/>
    <col min="10" max="10" width="14.85546875" style="41" customWidth="1"/>
    <col min="11" max="11" width="12" style="41" customWidth="1"/>
    <col min="12" max="12" width="14.28515625" style="41" customWidth="1"/>
    <col min="13" max="13" width="14.85546875" style="41" customWidth="1"/>
    <col min="14" max="14" width="13.85546875" style="41" customWidth="1"/>
    <col min="15" max="15" width="14.28515625" style="41" bestFit="1" customWidth="1"/>
    <col min="16" max="16384" width="9.140625" style="41"/>
  </cols>
  <sheetData>
    <row r="1" spans="1:15" ht="15.75" x14ac:dyDescent="0.25">
      <c r="A1" s="872" t="s">
        <v>178</v>
      </c>
      <c r="B1" s="872"/>
      <c r="C1" s="872"/>
      <c r="D1" s="872"/>
      <c r="E1" s="872"/>
      <c r="F1" s="872"/>
      <c r="G1" s="872"/>
      <c r="H1" s="872"/>
      <c r="I1" s="872"/>
      <c r="J1" s="872"/>
      <c r="K1" s="872"/>
      <c r="L1" s="872"/>
      <c r="M1" s="872"/>
      <c r="N1" s="872"/>
      <c r="O1" s="872"/>
    </row>
    <row r="2" spans="1:15" ht="15.75" x14ac:dyDescent="0.25">
      <c r="A2" s="872" t="s">
        <v>1</v>
      </c>
      <c r="B2" s="872"/>
      <c r="C2" s="872"/>
      <c r="D2" s="872"/>
      <c r="E2" s="872"/>
      <c r="F2" s="872"/>
      <c r="G2" s="872"/>
      <c r="H2" s="872"/>
      <c r="I2" s="872"/>
      <c r="J2" s="872"/>
      <c r="K2" s="872"/>
      <c r="L2" s="872"/>
      <c r="M2" s="872"/>
      <c r="N2" s="872"/>
      <c r="O2" s="872"/>
    </row>
    <row r="3" spans="1:15" ht="15.75" x14ac:dyDescent="0.25">
      <c r="A3" s="872" t="s">
        <v>2</v>
      </c>
      <c r="B3" s="872"/>
      <c r="C3" s="872"/>
      <c r="D3" s="872"/>
      <c r="E3" s="872"/>
      <c r="F3" s="872"/>
      <c r="G3" s="872"/>
      <c r="H3" s="872"/>
      <c r="I3" s="872"/>
      <c r="J3" s="872"/>
      <c r="K3" s="872"/>
      <c r="L3" s="872"/>
      <c r="M3" s="872"/>
      <c r="N3" s="872"/>
      <c r="O3" s="872"/>
    </row>
    <row r="4" spans="1:15" ht="15.75" x14ac:dyDescent="0.25">
      <c r="A4" s="872" t="s">
        <v>3139</v>
      </c>
      <c r="B4" s="872"/>
      <c r="C4" s="872"/>
      <c r="D4" s="872"/>
      <c r="E4" s="872"/>
      <c r="F4" s="872"/>
      <c r="G4" s="872"/>
      <c r="H4" s="872"/>
      <c r="I4" s="872"/>
      <c r="J4" s="872"/>
      <c r="K4" s="872"/>
      <c r="L4" s="872"/>
      <c r="M4" s="872"/>
      <c r="N4" s="872"/>
      <c r="O4" s="872"/>
    </row>
    <row r="5" spans="1:15" ht="15.75" x14ac:dyDescent="0.25">
      <c r="A5" s="583"/>
      <c r="B5" s="583"/>
      <c r="C5" s="583"/>
      <c r="D5" s="583"/>
      <c r="E5" s="583"/>
      <c r="F5" s="583"/>
      <c r="G5" s="584"/>
      <c r="H5" s="585"/>
      <c r="I5" s="871"/>
      <c r="J5" s="871"/>
      <c r="K5" s="871"/>
      <c r="L5" s="582"/>
      <c r="M5" s="582"/>
      <c r="N5" s="582"/>
      <c r="O5" s="582"/>
    </row>
    <row r="6" spans="1:15" ht="57.75" customHeight="1" x14ac:dyDescent="0.2">
      <c r="A6" s="874" t="s">
        <v>3129</v>
      </c>
      <c r="B6" s="874"/>
      <c r="C6" s="874"/>
      <c r="D6" s="874"/>
      <c r="E6" s="874"/>
      <c r="F6" s="874"/>
      <c r="G6" s="874"/>
      <c r="H6" s="874"/>
      <c r="I6" s="874"/>
      <c r="J6" s="874"/>
      <c r="K6" s="874"/>
      <c r="L6" s="874"/>
      <c r="M6" s="874"/>
      <c r="N6" s="874"/>
      <c r="O6" s="874"/>
    </row>
    <row r="7" spans="1:15" ht="18.75" x14ac:dyDescent="0.2">
      <c r="A7" s="583"/>
      <c r="B7" s="583"/>
      <c r="C7" s="583"/>
      <c r="D7" s="583"/>
      <c r="E7" s="583"/>
      <c r="F7" s="583"/>
      <c r="G7" s="508"/>
      <c r="H7" s="507"/>
      <c r="I7" s="875"/>
      <c r="J7" s="875"/>
      <c r="K7" s="875"/>
      <c r="L7" s="582"/>
      <c r="M7" s="582"/>
      <c r="N7" s="582"/>
      <c r="O7" s="582"/>
    </row>
    <row r="8" spans="1:15" ht="2.25" customHeight="1" x14ac:dyDescent="0.2">
      <c r="A8" s="583"/>
      <c r="B8" s="583"/>
      <c r="C8" s="583"/>
      <c r="D8" s="583"/>
      <c r="E8" s="583"/>
      <c r="F8" s="583"/>
      <c r="G8" s="508"/>
      <c r="H8" s="507"/>
      <c r="I8" s="876"/>
      <c r="J8" s="876"/>
      <c r="K8" s="876"/>
      <c r="L8" s="582"/>
      <c r="M8" s="582"/>
      <c r="N8" s="582"/>
      <c r="O8" s="582"/>
    </row>
    <row r="9" spans="1:15" ht="12.75" customHeight="1" x14ac:dyDescent="0.2">
      <c r="A9" s="877" t="s">
        <v>3</v>
      </c>
      <c r="B9" s="877"/>
      <c r="C9" s="877"/>
      <c r="D9" s="877"/>
      <c r="E9" s="877"/>
      <c r="F9" s="877"/>
      <c r="G9" s="877"/>
      <c r="H9" s="877"/>
      <c r="I9" s="873" t="s">
        <v>4</v>
      </c>
      <c r="J9" s="873" t="s">
        <v>341</v>
      </c>
      <c r="K9" s="873" t="s">
        <v>997</v>
      </c>
      <c r="L9" s="873" t="s">
        <v>341</v>
      </c>
      <c r="M9" s="873" t="s">
        <v>3141</v>
      </c>
      <c r="N9" s="873" t="s">
        <v>997</v>
      </c>
      <c r="O9" s="873" t="s">
        <v>3141</v>
      </c>
    </row>
    <row r="10" spans="1:15" ht="120.95" customHeight="1" x14ac:dyDescent="0.2">
      <c r="A10" s="586" t="s">
        <v>6</v>
      </c>
      <c r="B10" s="586" t="s">
        <v>7</v>
      </c>
      <c r="C10" s="586" t="s">
        <v>8</v>
      </c>
      <c r="D10" s="586" t="s">
        <v>180</v>
      </c>
      <c r="E10" s="587" t="s">
        <v>181</v>
      </c>
      <c r="F10" s="586" t="s">
        <v>182</v>
      </c>
      <c r="G10" s="588" t="s">
        <v>12</v>
      </c>
      <c r="H10" s="587" t="s">
        <v>13</v>
      </c>
      <c r="I10" s="873"/>
      <c r="J10" s="873"/>
      <c r="K10" s="873"/>
      <c r="L10" s="873"/>
      <c r="M10" s="873"/>
      <c r="N10" s="873"/>
      <c r="O10" s="873"/>
    </row>
    <row r="11" spans="1:15" ht="15.75" x14ac:dyDescent="0.2">
      <c r="A11" s="589" t="s">
        <v>14</v>
      </c>
      <c r="B11" s="589" t="s">
        <v>15</v>
      </c>
      <c r="C11" s="589" t="s">
        <v>16</v>
      </c>
      <c r="D11" s="589" t="s">
        <v>16</v>
      </c>
      <c r="E11" s="589" t="s">
        <v>14</v>
      </c>
      <c r="F11" s="589" t="s">
        <v>16</v>
      </c>
      <c r="G11" s="590" t="s">
        <v>17</v>
      </c>
      <c r="H11" s="590" t="s">
        <v>14</v>
      </c>
      <c r="I11" s="591" t="s">
        <v>18</v>
      </c>
      <c r="J11" s="592">
        <f>J12+J14+J16+J20+J24+J30+J33+J35+J40</f>
        <v>216740000</v>
      </c>
      <c r="K11" s="592">
        <f>K12+K14+K16+K20+K24+K30+K33+K35+K40</f>
        <v>0</v>
      </c>
      <c r="L11" s="592">
        <f>SUM(J11:K11)</f>
        <v>216740000</v>
      </c>
      <c r="M11" s="592">
        <f>M12+M14+M16+M20+M24+M30+M33+M35+M40</f>
        <v>225436000</v>
      </c>
      <c r="N11" s="592">
        <f>N12+N14+N16+N20+N24+N30+N33+N35+N40</f>
        <v>0</v>
      </c>
      <c r="O11" s="592">
        <f>SUM(M11:N11)</f>
        <v>225436000</v>
      </c>
    </row>
    <row r="12" spans="1:15" ht="20.25" customHeight="1" x14ac:dyDescent="0.2">
      <c r="A12" s="589" t="s">
        <v>14</v>
      </c>
      <c r="B12" s="589" t="s">
        <v>15</v>
      </c>
      <c r="C12" s="589" t="s">
        <v>19</v>
      </c>
      <c r="D12" s="589" t="s">
        <v>16</v>
      </c>
      <c r="E12" s="589" t="s">
        <v>14</v>
      </c>
      <c r="F12" s="589" t="s">
        <v>16</v>
      </c>
      <c r="G12" s="590" t="s">
        <v>17</v>
      </c>
      <c r="H12" s="590" t="s">
        <v>14</v>
      </c>
      <c r="I12" s="591" t="s">
        <v>20</v>
      </c>
      <c r="J12" s="592">
        <f>J13</f>
        <v>108254000</v>
      </c>
      <c r="K12" s="592">
        <f>K13</f>
        <v>0</v>
      </c>
      <c r="L12" s="592">
        <f>SUM(J12:K12)</f>
        <v>108254000</v>
      </c>
      <c r="M12" s="592">
        <f>M13</f>
        <v>113342000</v>
      </c>
      <c r="N12" s="592">
        <f>N13</f>
        <v>0</v>
      </c>
      <c r="O12" s="592">
        <f>SUM(M12:N12)</f>
        <v>113342000</v>
      </c>
    </row>
    <row r="13" spans="1:15" ht="21" customHeight="1" x14ac:dyDescent="0.2">
      <c r="A13" s="593" t="s">
        <v>21</v>
      </c>
      <c r="B13" s="593" t="s">
        <v>15</v>
      </c>
      <c r="C13" s="593" t="s">
        <v>19</v>
      </c>
      <c r="D13" s="593" t="s">
        <v>22</v>
      </c>
      <c r="E13" s="593" t="s">
        <v>14</v>
      </c>
      <c r="F13" s="593" t="s">
        <v>19</v>
      </c>
      <c r="G13" s="594" t="s">
        <v>17</v>
      </c>
      <c r="H13" s="594" t="s">
        <v>23</v>
      </c>
      <c r="I13" s="565" t="s">
        <v>24</v>
      </c>
      <c r="J13" s="595">
        <v>108254000</v>
      </c>
      <c r="K13" s="595"/>
      <c r="L13" s="595">
        <f>SUM(J13:K13)</f>
        <v>108254000</v>
      </c>
      <c r="M13" s="595">
        <v>113342000</v>
      </c>
      <c r="N13" s="595"/>
      <c r="O13" s="595">
        <f>SUM(M13:N13)</f>
        <v>113342000</v>
      </c>
    </row>
    <row r="14" spans="1:15" ht="64.5" customHeight="1" x14ac:dyDescent="0.2">
      <c r="A14" s="589" t="s">
        <v>14</v>
      </c>
      <c r="B14" s="589" t="s">
        <v>15</v>
      </c>
      <c r="C14" s="589" t="s">
        <v>25</v>
      </c>
      <c r="D14" s="589" t="s">
        <v>16</v>
      </c>
      <c r="E14" s="589" t="s">
        <v>14</v>
      </c>
      <c r="F14" s="589" t="s">
        <v>16</v>
      </c>
      <c r="G14" s="590" t="s">
        <v>17</v>
      </c>
      <c r="H14" s="590" t="s">
        <v>14</v>
      </c>
      <c r="I14" s="591" t="s">
        <v>26</v>
      </c>
      <c r="J14" s="592">
        <f>J15</f>
        <v>7132000</v>
      </c>
      <c r="K14" s="592">
        <f>K15</f>
        <v>0</v>
      </c>
      <c r="L14" s="595">
        <f t="shared" ref="L14:L75" si="0">SUM(J14:K14)</f>
        <v>7132000</v>
      </c>
      <c r="M14" s="592">
        <f>M15</f>
        <v>10843000</v>
      </c>
      <c r="N14" s="592">
        <f>N15</f>
        <v>0</v>
      </c>
      <c r="O14" s="595">
        <f t="shared" ref="O14:O75" si="1">SUM(M14:N14)</f>
        <v>10843000</v>
      </c>
    </row>
    <row r="15" spans="1:15" ht="57" customHeight="1" x14ac:dyDescent="0.2">
      <c r="A15" s="593" t="s">
        <v>27</v>
      </c>
      <c r="B15" s="593" t="s">
        <v>15</v>
      </c>
      <c r="C15" s="593" t="s">
        <v>25</v>
      </c>
      <c r="D15" s="593" t="s">
        <v>22</v>
      </c>
      <c r="E15" s="593" t="s">
        <v>14</v>
      </c>
      <c r="F15" s="593" t="s">
        <v>19</v>
      </c>
      <c r="G15" s="594" t="s">
        <v>17</v>
      </c>
      <c r="H15" s="594" t="s">
        <v>23</v>
      </c>
      <c r="I15" s="565" t="s">
        <v>28</v>
      </c>
      <c r="J15" s="595">
        <v>7132000</v>
      </c>
      <c r="K15" s="595"/>
      <c r="L15" s="595">
        <f t="shared" si="0"/>
        <v>7132000</v>
      </c>
      <c r="M15" s="595">
        <v>10843000</v>
      </c>
      <c r="N15" s="595"/>
      <c r="O15" s="595">
        <f t="shared" si="1"/>
        <v>10843000</v>
      </c>
    </row>
    <row r="16" spans="1:15" ht="15.75" x14ac:dyDescent="0.2">
      <c r="A16" s="589" t="s">
        <v>14</v>
      </c>
      <c r="B16" s="589" t="s">
        <v>15</v>
      </c>
      <c r="C16" s="589" t="s">
        <v>29</v>
      </c>
      <c r="D16" s="589" t="s">
        <v>16</v>
      </c>
      <c r="E16" s="589" t="s">
        <v>14</v>
      </c>
      <c r="F16" s="589" t="s">
        <v>16</v>
      </c>
      <c r="G16" s="590" t="s">
        <v>17</v>
      </c>
      <c r="H16" s="590" t="s">
        <v>14</v>
      </c>
      <c r="I16" s="591" t="s">
        <v>30</v>
      </c>
      <c r="J16" s="592">
        <f>J17+J18+J19</f>
        <v>14480000</v>
      </c>
      <c r="K16" s="592">
        <f>K17+K18+K19</f>
        <v>0</v>
      </c>
      <c r="L16" s="592">
        <f t="shared" si="0"/>
        <v>14480000</v>
      </c>
      <c r="M16" s="592">
        <f>M17+M18+M19</f>
        <v>14574000</v>
      </c>
      <c r="N16" s="592">
        <f>N17+N18+N19</f>
        <v>0</v>
      </c>
      <c r="O16" s="592">
        <f t="shared" si="1"/>
        <v>14574000</v>
      </c>
    </row>
    <row r="17" spans="1:15" ht="41.25" customHeight="1" x14ac:dyDescent="0.2">
      <c r="A17" s="593" t="s">
        <v>21</v>
      </c>
      <c r="B17" s="593" t="s">
        <v>15</v>
      </c>
      <c r="C17" s="593" t="s">
        <v>29</v>
      </c>
      <c r="D17" s="593" t="s">
        <v>22</v>
      </c>
      <c r="E17" s="593" t="s">
        <v>14</v>
      </c>
      <c r="F17" s="593" t="s">
        <v>22</v>
      </c>
      <c r="G17" s="594" t="s">
        <v>17</v>
      </c>
      <c r="H17" s="594" t="s">
        <v>23</v>
      </c>
      <c r="I17" s="565" t="s">
        <v>31</v>
      </c>
      <c r="J17" s="595">
        <v>13881000</v>
      </c>
      <c r="K17" s="595"/>
      <c r="L17" s="595">
        <f t="shared" si="0"/>
        <v>13881000</v>
      </c>
      <c r="M17" s="595">
        <v>13964000</v>
      </c>
      <c r="N17" s="595"/>
      <c r="O17" s="595">
        <f t="shared" si="1"/>
        <v>13964000</v>
      </c>
    </row>
    <row r="18" spans="1:15" ht="34.5" customHeight="1" x14ac:dyDescent="0.2">
      <c r="A18" s="593" t="s">
        <v>21</v>
      </c>
      <c r="B18" s="593" t="s">
        <v>15</v>
      </c>
      <c r="C18" s="593" t="s">
        <v>29</v>
      </c>
      <c r="D18" s="593" t="s">
        <v>25</v>
      </c>
      <c r="E18" s="593" t="s">
        <v>14</v>
      </c>
      <c r="F18" s="593" t="s">
        <v>19</v>
      </c>
      <c r="G18" s="594" t="s">
        <v>17</v>
      </c>
      <c r="H18" s="594" t="s">
        <v>23</v>
      </c>
      <c r="I18" s="565" t="s">
        <v>32</v>
      </c>
      <c r="J18" s="595">
        <v>399000</v>
      </c>
      <c r="K18" s="595"/>
      <c r="L18" s="595">
        <f t="shared" si="0"/>
        <v>399000</v>
      </c>
      <c r="M18" s="595">
        <v>410000</v>
      </c>
      <c r="N18" s="595"/>
      <c r="O18" s="595">
        <f t="shared" si="1"/>
        <v>410000</v>
      </c>
    </row>
    <row r="19" spans="1:15" ht="47.25" x14ac:dyDescent="0.2">
      <c r="A19" s="593" t="s">
        <v>21</v>
      </c>
      <c r="B19" s="593" t="s">
        <v>15</v>
      </c>
      <c r="C19" s="593" t="s">
        <v>29</v>
      </c>
      <c r="D19" s="593" t="s">
        <v>33</v>
      </c>
      <c r="E19" s="593" t="s">
        <v>14</v>
      </c>
      <c r="F19" s="593" t="s">
        <v>22</v>
      </c>
      <c r="G19" s="594" t="s">
        <v>17</v>
      </c>
      <c r="H19" s="594" t="s">
        <v>23</v>
      </c>
      <c r="I19" s="565" t="s">
        <v>34</v>
      </c>
      <c r="J19" s="595">
        <v>200000</v>
      </c>
      <c r="K19" s="595"/>
      <c r="L19" s="595">
        <f t="shared" si="0"/>
        <v>200000</v>
      </c>
      <c r="M19" s="595">
        <v>200000</v>
      </c>
      <c r="N19" s="595"/>
      <c r="O19" s="595">
        <f t="shared" si="1"/>
        <v>200000</v>
      </c>
    </row>
    <row r="20" spans="1:15" ht="19.5" customHeight="1" x14ac:dyDescent="0.2">
      <c r="A20" s="589" t="s">
        <v>14</v>
      </c>
      <c r="B20" s="589" t="s">
        <v>15</v>
      </c>
      <c r="C20" s="589" t="s">
        <v>35</v>
      </c>
      <c r="D20" s="589" t="s">
        <v>16</v>
      </c>
      <c r="E20" s="589" t="s">
        <v>14</v>
      </c>
      <c r="F20" s="589" t="s">
        <v>16</v>
      </c>
      <c r="G20" s="590" t="s">
        <v>17</v>
      </c>
      <c r="H20" s="590" t="s">
        <v>14</v>
      </c>
      <c r="I20" s="591" t="s">
        <v>36</v>
      </c>
      <c r="J20" s="592">
        <f>J21+J22</f>
        <v>5252000</v>
      </c>
      <c r="K20" s="592">
        <f>K21+K22</f>
        <v>0</v>
      </c>
      <c r="L20" s="592">
        <f t="shared" si="0"/>
        <v>5252000</v>
      </c>
      <c r="M20" s="592">
        <f>M21+M22</f>
        <v>5305000</v>
      </c>
      <c r="N20" s="592">
        <f>N21+N22</f>
        <v>0</v>
      </c>
      <c r="O20" s="592">
        <f t="shared" si="1"/>
        <v>5305000</v>
      </c>
    </row>
    <row r="21" spans="1:15" ht="64.5" customHeight="1" x14ac:dyDescent="0.2">
      <c r="A21" s="593" t="s">
        <v>21</v>
      </c>
      <c r="B21" s="593" t="s">
        <v>15</v>
      </c>
      <c r="C21" s="593" t="s">
        <v>35</v>
      </c>
      <c r="D21" s="593" t="s">
        <v>25</v>
      </c>
      <c r="E21" s="593" t="s">
        <v>14</v>
      </c>
      <c r="F21" s="593" t="s">
        <v>19</v>
      </c>
      <c r="G21" s="594" t="s">
        <v>17</v>
      </c>
      <c r="H21" s="594" t="s">
        <v>23</v>
      </c>
      <c r="I21" s="565" t="s">
        <v>37</v>
      </c>
      <c r="J21" s="595">
        <v>5252000</v>
      </c>
      <c r="K21" s="595"/>
      <c r="L21" s="595">
        <f t="shared" si="0"/>
        <v>5252000</v>
      </c>
      <c r="M21" s="595">
        <v>5305000</v>
      </c>
      <c r="N21" s="595"/>
      <c r="O21" s="595">
        <f t="shared" si="1"/>
        <v>5305000</v>
      </c>
    </row>
    <row r="22" spans="1:15" ht="71.25" hidden="1" customHeight="1" x14ac:dyDescent="0.2">
      <c r="A22" s="593" t="s">
        <v>38</v>
      </c>
      <c r="B22" s="593" t="s">
        <v>15</v>
      </c>
      <c r="C22" s="593" t="s">
        <v>35</v>
      </c>
      <c r="D22" s="593" t="s">
        <v>39</v>
      </c>
      <c r="E22" s="593" t="s">
        <v>14</v>
      </c>
      <c r="F22" s="593" t="s">
        <v>19</v>
      </c>
      <c r="G22" s="594" t="s">
        <v>17</v>
      </c>
      <c r="H22" s="594" t="s">
        <v>23</v>
      </c>
      <c r="I22" s="565" t="s">
        <v>40</v>
      </c>
      <c r="J22" s="595">
        <v>0</v>
      </c>
      <c r="K22" s="595"/>
      <c r="L22" s="595">
        <f t="shared" si="0"/>
        <v>0</v>
      </c>
      <c r="M22" s="595">
        <v>0</v>
      </c>
      <c r="N22" s="595"/>
      <c r="O22" s="595">
        <f t="shared" si="1"/>
        <v>0</v>
      </c>
    </row>
    <row r="23" spans="1:15" ht="47.25" hidden="1" customHeight="1" x14ac:dyDescent="0.2">
      <c r="A23" s="589" t="s">
        <v>21</v>
      </c>
      <c r="B23" s="589" t="s">
        <v>15</v>
      </c>
      <c r="C23" s="589" t="s">
        <v>41</v>
      </c>
      <c r="D23" s="589"/>
      <c r="E23" s="589" t="s">
        <v>42</v>
      </c>
      <c r="F23" s="589" t="s">
        <v>16</v>
      </c>
      <c r="G23" s="590" t="s">
        <v>17</v>
      </c>
      <c r="H23" s="590" t="s">
        <v>14</v>
      </c>
      <c r="I23" s="591" t="s">
        <v>43</v>
      </c>
      <c r="J23" s="592">
        <v>0</v>
      </c>
      <c r="K23" s="592">
        <v>0</v>
      </c>
      <c r="L23" s="595">
        <f t="shared" si="0"/>
        <v>0</v>
      </c>
      <c r="M23" s="592">
        <v>0</v>
      </c>
      <c r="N23" s="592">
        <v>0</v>
      </c>
      <c r="O23" s="595">
        <f t="shared" si="1"/>
        <v>0</v>
      </c>
    </row>
    <row r="24" spans="1:15" ht="79.5" customHeight="1" x14ac:dyDescent="0.2">
      <c r="A24" s="589" t="s">
        <v>14</v>
      </c>
      <c r="B24" s="589" t="s">
        <v>15</v>
      </c>
      <c r="C24" s="589" t="s">
        <v>44</v>
      </c>
      <c r="D24" s="589" t="s">
        <v>16</v>
      </c>
      <c r="E24" s="589" t="s">
        <v>14</v>
      </c>
      <c r="F24" s="589" t="s">
        <v>16</v>
      </c>
      <c r="G24" s="590" t="s">
        <v>17</v>
      </c>
      <c r="H24" s="590" t="s">
        <v>14</v>
      </c>
      <c r="I24" s="591" t="s">
        <v>45</v>
      </c>
      <c r="J24" s="596">
        <f>J25+J27</f>
        <v>11715000</v>
      </c>
      <c r="K24" s="596">
        <f>K25+K27</f>
        <v>0</v>
      </c>
      <c r="L24" s="592">
        <f t="shared" si="0"/>
        <v>11715000</v>
      </c>
      <c r="M24" s="596">
        <f>M25+M27</f>
        <v>11715000</v>
      </c>
      <c r="N24" s="596">
        <f>N25+N27</f>
        <v>0</v>
      </c>
      <c r="O24" s="592">
        <f t="shared" si="1"/>
        <v>11715000</v>
      </c>
    </row>
    <row r="25" spans="1:15" ht="158.25" customHeight="1" x14ac:dyDescent="0.2">
      <c r="A25" s="597" t="s">
        <v>46</v>
      </c>
      <c r="B25" s="597" t="s">
        <v>15</v>
      </c>
      <c r="C25" s="597" t="s">
        <v>44</v>
      </c>
      <c r="D25" s="597" t="s">
        <v>19</v>
      </c>
      <c r="E25" s="597" t="s">
        <v>14</v>
      </c>
      <c r="F25" s="597" t="s">
        <v>16</v>
      </c>
      <c r="G25" s="598" t="s">
        <v>17</v>
      </c>
      <c r="H25" s="598" t="s">
        <v>47</v>
      </c>
      <c r="I25" s="599" t="s">
        <v>48</v>
      </c>
      <c r="J25" s="600">
        <f>J26</f>
        <v>25000</v>
      </c>
      <c r="K25" s="600"/>
      <c r="L25" s="601">
        <f t="shared" si="0"/>
        <v>25000</v>
      </c>
      <c r="M25" s="600">
        <f>M26</f>
        <v>25000</v>
      </c>
      <c r="N25" s="600"/>
      <c r="O25" s="601">
        <f t="shared" si="1"/>
        <v>25000</v>
      </c>
    </row>
    <row r="26" spans="1:15" ht="147" customHeight="1" x14ac:dyDescent="0.2">
      <c r="A26" s="593" t="s">
        <v>46</v>
      </c>
      <c r="B26" s="593" t="s">
        <v>15</v>
      </c>
      <c r="C26" s="593" t="s">
        <v>44</v>
      </c>
      <c r="D26" s="593" t="s">
        <v>19</v>
      </c>
      <c r="E26" s="593" t="s">
        <v>49</v>
      </c>
      <c r="F26" s="593" t="s">
        <v>29</v>
      </c>
      <c r="G26" s="594" t="s">
        <v>17</v>
      </c>
      <c r="H26" s="594" t="s">
        <v>47</v>
      </c>
      <c r="I26" s="565" t="s">
        <v>183</v>
      </c>
      <c r="J26" s="595">
        <v>25000</v>
      </c>
      <c r="K26" s="595"/>
      <c r="L26" s="595">
        <f t="shared" si="0"/>
        <v>25000</v>
      </c>
      <c r="M26" s="595">
        <v>25000</v>
      </c>
      <c r="N26" s="595"/>
      <c r="O26" s="595">
        <f t="shared" si="1"/>
        <v>25000</v>
      </c>
    </row>
    <row r="27" spans="1:15" ht="160.5" customHeight="1" x14ac:dyDescent="0.2">
      <c r="A27" s="597" t="s">
        <v>14</v>
      </c>
      <c r="B27" s="597" t="s">
        <v>15</v>
      </c>
      <c r="C27" s="597" t="s">
        <v>44</v>
      </c>
      <c r="D27" s="597" t="s">
        <v>29</v>
      </c>
      <c r="E27" s="597" t="s">
        <v>14</v>
      </c>
      <c r="F27" s="597" t="s">
        <v>16</v>
      </c>
      <c r="G27" s="598" t="s">
        <v>17</v>
      </c>
      <c r="H27" s="598" t="s">
        <v>47</v>
      </c>
      <c r="I27" s="599" t="s">
        <v>51</v>
      </c>
      <c r="J27" s="601">
        <f>J28+J29</f>
        <v>11690000</v>
      </c>
      <c r="K27" s="601"/>
      <c r="L27" s="595">
        <f t="shared" si="0"/>
        <v>11690000</v>
      </c>
      <c r="M27" s="601">
        <f>M28+M29</f>
        <v>11690000</v>
      </c>
      <c r="N27" s="601"/>
      <c r="O27" s="595">
        <f t="shared" si="1"/>
        <v>11690000</v>
      </c>
    </row>
    <row r="28" spans="1:15" ht="131.25" customHeight="1" x14ac:dyDescent="0.2">
      <c r="A28" s="593" t="s">
        <v>14</v>
      </c>
      <c r="B28" s="593" t="s">
        <v>15</v>
      </c>
      <c r="C28" s="593" t="s">
        <v>44</v>
      </c>
      <c r="D28" s="593" t="s">
        <v>29</v>
      </c>
      <c r="E28" s="593" t="s">
        <v>52</v>
      </c>
      <c r="F28" s="593" t="s">
        <v>16</v>
      </c>
      <c r="G28" s="594" t="s">
        <v>17</v>
      </c>
      <c r="H28" s="594" t="s">
        <v>47</v>
      </c>
      <c r="I28" s="565" t="s">
        <v>53</v>
      </c>
      <c r="J28" s="595">
        <v>9190000</v>
      </c>
      <c r="K28" s="595"/>
      <c r="L28" s="595">
        <f t="shared" si="0"/>
        <v>9190000</v>
      </c>
      <c r="M28" s="595">
        <v>9190000</v>
      </c>
      <c r="N28" s="595"/>
      <c r="O28" s="595">
        <f t="shared" si="1"/>
        <v>9190000</v>
      </c>
    </row>
    <row r="29" spans="1:15" ht="71.25" customHeight="1" x14ac:dyDescent="0.2">
      <c r="A29" s="593" t="s">
        <v>46</v>
      </c>
      <c r="B29" s="593" t="s">
        <v>15</v>
      </c>
      <c r="C29" s="593" t="s">
        <v>44</v>
      </c>
      <c r="D29" s="593" t="s">
        <v>29</v>
      </c>
      <c r="E29" s="593" t="s">
        <v>54</v>
      </c>
      <c r="F29" s="593" t="s">
        <v>29</v>
      </c>
      <c r="G29" s="594" t="s">
        <v>17</v>
      </c>
      <c r="H29" s="594" t="s">
        <v>47</v>
      </c>
      <c r="I29" s="565" t="s">
        <v>55</v>
      </c>
      <c r="J29" s="595">
        <v>2500000</v>
      </c>
      <c r="K29" s="595"/>
      <c r="L29" s="595">
        <f t="shared" si="0"/>
        <v>2500000</v>
      </c>
      <c r="M29" s="595">
        <v>2500000</v>
      </c>
      <c r="N29" s="595"/>
      <c r="O29" s="595">
        <f t="shared" si="1"/>
        <v>2500000</v>
      </c>
    </row>
    <row r="30" spans="1:15" ht="33.75" customHeight="1" x14ac:dyDescent="0.2">
      <c r="A30" s="589" t="s">
        <v>14</v>
      </c>
      <c r="B30" s="589" t="s">
        <v>15</v>
      </c>
      <c r="C30" s="589" t="s">
        <v>56</v>
      </c>
      <c r="D30" s="589" t="s">
        <v>16</v>
      </c>
      <c r="E30" s="589" t="s">
        <v>14</v>
      </c>
      <c r="F30" s="589" t="s">
        <v>16</v>
      </c>
      <c r="G30" s="590" t="s">
        <v>17</v>
      </c>
      <c r="H30" s="590" t="s">
        <v>14</v>
      </c>
      <c r="I30" s="591" t="s">
        <v>57</v>
      </c>
      <c r="J30" s="596">
        <f>J31+J32</f>
        <v>2503000</v>
      </c>
      <c r="K30" s="596">
        <f>K31+K32</f>
        <v>0</v>
      </c>
      <c r="L30" s="592">
        <f t="shared" si="0"/>
        <v>2503000</v>
      </c>
      <c r="M30" s="596">
        <f>M31+M32</f>
        <v>2711000</v>
      </c>
      <c r="N30" s="596">
        <f>N31+N32</f>
        <v>0</v>
      </c>
      <c r="O30" s="592">
        <f t="shared" si="1"/>
        <v>2711000</v>
      </c>
    </row>
    <row r="31" spans="1:15" ht="45.75" customHeight="1" x14ac:dyDescent="0.2">
      <c r="A31" s="593" t="s">
        <v>184</v>
      </c>
      <c r="B31" s="593" t="s">
        <v>15</v>
      </c>
      <c r="C31" s="593" t="s">
        <v>56</v>
      </c>
      <c r="D31" s="593" t="s">
        <v>19</v>
      </c>
      <c r="E31" s="593" t="s">
        <v>14</v>
      </c>
      <c r="F31" s="593" t="s">
        <v>19</v>
      </c>
      <c r="G31" s="594" t="s">
        <v>17</v>
      </c>
      <c r="H31" s="594" t="s">
        <v>47</v>
      </c>
      <c r="I31" s="565" t="s">
        <v>58</v>
      </c>
      <c r="J31" s="595">
        <v>2503000</v>
      </c>
      <c r="K31" s="595"/>
      <c r="L31" s="595">
        <f t="shared" si="0"/>
        <v>2503000</v>
      </c>
      <c r="M31" s="595">
        <v>2711000</v>
      </c>
      <c r="N31" s="595"/>
      <c r="O31" s="595">
        <f t="shared" si="1"/>
        <v>2711000</v>
      </c>
    </row>
    <row r="32" spans="1:15" ht="0.75" customHeight="1" x14ac:dyDescent="0.2">
      <c r="A32" s="593" t="s">
        <v>21</v>
      </c>
      <c r="B32" s="593" t="s">
        <v>15</v>
      </c>
      <c r="C32" s="593" t="s">
        <v>56</v>
      </c>
      <c r="D32" s="593"/>
      <c r="E32" s="593" t="s">
        <v>59</v>
      </c>
      <c r="F32" s="593" t="s">
        <v>19</v>
      </c>
      <c r="G32" s="594" t="s">
        <v>17</v>
      </c>
      <c r="H32" s="594" t="s">
        <v>47</v>
      </c>
      <c r="I32" s="565" t="s">
        <v>60</v>
      </c>
      <c r="J32" s="595">
        <v>0</v>
      </c>
      <c r="K32" s="595">
        <v>0</v>
      </c>
      <c r="L32" s="595">
        <f t="shared" si="0"/>
        <v>0</v>
      </c>
      <c r="M32" s="595">
        <v>0</v>
      </c>
      <c r="N32" s="595">
        <v>0</v>
      </c>
      <c r="O32" s="595">
        <f t="shared" si="1"/>
        <v>0</v>
      </c>
    </row>
    <row r="33" spans="1:15" ht="63.75" customHeight="1" x14ac:dyDescent="0.2">
      <c r="A33" s="589" t="s">
        <v>14</v>
      </c>
      <c r="B33" s="589" t="s">
        <v>15</v>
      </c>
      <c r="C33" s="589" t="s">
        <v>61</v>
      </c>
      <c r="D33" s="589" t="s">
        <v>16</v>
      </c>
      <c r="E33" s="589" t="s">
        <v>14</v>
      </c>
      <c r="F33" s="589" t="s">
        <v>16</v>
      </c>
      <c r="G33" s="590" t="s">
        <v>17</v>
      </c>
      <c r="H33" s="590" t="s">
        <v>62</v>
      </c>
      <c r="I33" s="591" t="s">
        <v>63</v>
      </c>
      <c r="J33" s="592">
        <f>J34</f>
        <v>58162000</v>
      </c>
      <c r="K33" s="592">
        <f>K34</f>
        <v>0</v>
      </c>
      <c r="L33" s="592">
        <f t="shared" si="0"/>
        <v>58162000</v>
      </c>
      <c r="M33" s="592">
        <f>M34</f>
        <v>58162000</v>
      </c>
      <c r="N33" s="592">
        <f>N34</f>
        <v>0</v>
      </c>
      <c r="O33" s="592">
        <f t="shared" si="1"/>
        <v>58162000</v>
      </c>
    </row>
    <row r="34" spans="1:15" ht="70.5" customHeight="1" x14ac:dyDescent="0.2">
      <c r="A34" s="593" t="s">
        <v>101</v>
      </c>
      <c r="B34" s="593" t="s">
        <v>15</v>
      </c>
      <c r="C34" s="593" t="s">
        <v>61</v>
      </c>
      <c r="D34" s="593" t="s">
        <v>19</v>
      </c>
      <c r="E34" s="593" t="s">
        <v>64</v>
      </c>
      <c r="F34" s="593" t="s">
        <v>29</v>
      </c>
      <c r="G34" s="594" t="s">
        <v>17</v>
      </c>
      <c r="H34" s="594" t="s">
        <v>62</v>
      </c>
      <c r="I34" s="565" t="s">
        <v>65</v>
      </c>
      <c r="J34" s="595">
        <f>(5321000+52841000)</f>
        <v>58162000</v>
      </c>
      <c r="K34" s="595"/>
      <c r="L34" s="595">
        <f t="shared" si="0"/>
        <v>58162000</v>
      </c>
      <c r="M34" s="595">
        <f>(5321000+52841000)</f>
        <v>58162000</v>
      </c>
      <c r="N34" s="595"/>
      <c r="O34" s="595">
        <f t="shared" si="1"/>
        <v>58162000</v>
      </c>
    </row>
    <row r="35" spans="1:15" ht="48" customHeight="1" x14ac:dyDescent="0.2">
      <c r="A35" s="589" t="s">
        <v>14</v>
      </c>
      <c r="B35" s="589" t="s">
        <v>15</v>
      </c>
      <c r="C35" s="589" t="s">
        <v>66</v>
      </c>
      <c r="D35" s="589" t="s">
        <v>16</v>
      </c>
      <c r="E35" s="589" t="s">
        <v>14</v>
      </c>
      <c r="F35" s="589" t="s">
        <v>16</v>
      </c>
      <c r="G35" s="590" t="s">
        <v>17</v>
      </c>
      <c r="H35" s="590" t="s">
        <v>14</v>
      </c>
      <c r="I35" s="591" t="s">
        <v>67</v>
      </c>
      <c r="J35" s="596">
        <f>J36+J37</f>
        <v>7000000</v>
      </c>
      <c r="K35" s="596">
        <f>K36+K37</f>
        <v>0</v>
      </c>
      <c r="L35" s="592">
        <f t="shared" si="0"/>
        <v>7000000</v>
      </c>
      <c r="M35" s="596">
        <f>M36+M37</f>
        <v>6500000</v>
      </c>
      <c r="N35" s="596">
        <f>N36+N37</f>
        <v>0</v>
      </c>
      <c r="O35" s="592">
        <f t="shared" si="1"/>
        <v>6500000</v>
      </c>
    </row>
    <row r="36" spans="1:15" ht="152.25" customHeight="1" x14ac:dyDescent="0.2">
      <c r="A36" s="593" t="s">
        <v>14</v>
      </c>
      <c r="B36" s="593" t="s">
        <v>15</v>
      </c>
      <c r="C36" s="593" t="s">
        <v>66</v>
      </c>
      <c r="D36" s="593" t="s">
        <v>22</v>
      </c>
      <c r="E36" s="593" t="s">
        <v>14</v>
      </c>
      <c r="F36" s="593" t="s">
        <v>16</v>
      </c>
      <c r="G36" s="594" t="s">
        <v>17</v>
      </c>
      <c r="H36" s="594" t="s">
        <v>14</v>
      </c>
      <c r="I36" s="565" t="s">
        <v>68</v>
      </c>
      <c r="J36" s="595">
        <v>3000000</v>
      </c>
      <c r="K36" s="595"/>
      <c r="L36" s="595">
        <f t="shared" si="0"/>
        <v>3000000</v>
      </c>
      <c r="M36" s="595">
        <v>2500000</v>
      </c>
      <c r="N36" s="595"/>
      <c r="O36" s="595">
        <f t="shared" si="1"/>
        <v>2500000</v>
      </c>
    </row>
    <row r="37" spans="1:15" ht="66.75" customHeight="1" x14ac:dyDescent="0.2">
      <c r="A37" s="593" t="s">
        <v>14</v>
      </c>
      <c r="B37" s="593" t="s">
        <v>15</v>
      </c>
      <c r="C37" s="593" t="s">
        <v>66</v>
      </c>
      <c r="D37" s="593" t="s">
        <v>69</v>
      </c>
      <c r="E37" s="593" t="s">
        <v>14</v>
      </c>
      <c r="F37" s="593" t="s">
        <v>16</v>
      </c>
      <c r="G37" s="594" t="s">
        <v>17</v>
      </c>
      <c r="H37" s="594" t="s">
        <v>70</v>
      </c>
      <c r="I37" s="565" t="s">
        <v>185</v>
      </c>
      <c r="J37" s="602">
        <v>4000000</v>
      </c>
      <c r="K37" s="602"/>
      <c r="L37" s="595">
        <f t="shared" si="0"/>
        <v>4000000</v>
      </c>
      <c r="M37" s="602">
        <v>4000000</v>
      </c>
      <c r="N37" s="602"/>
      <c r="O37" s="595">
        <f t="shared" si="1"/>
        <v>4000000</v>
      </c>
    </row>
    <row r="38" spans="1:15" ht="94.5" hidden="1" x14ac:dyDescent="0.2">
      <c r="A38" s="593" t="s">
        <v>14</v>
      </c>
      <c r="B38" s="593" t="s">
        <v>15</v>
      </c>
      <c r="C38" s="593" t="s">
        <v>66</v>
      </c>
      <c r="D38" s="593" t="s">
        <v>69</v>
      </c>
      <c r="E38" s="593" t="s">
        <v>72</v>
      </c>
      <c r="F38" s="593" t="s">
        <v>61</v>
      </c>
      <c r="G38" s="594" t="s">
        <v>17</v>
      </c>
      <c r="H38" s="594" t="s">
        <v>70</v>
      </c>
      <c r="I38" s="565" t="s">
        <v>74</v>
      </c>
      <c r="J38" s="595">
        <v>0</v>
      </c>
      <c r="K38" s="595">
        <v>0</v>
      </c>
      <c r="L38" s="595">
        <f t="shared" si="0"/>
        <v>0</v>
      </c>
      <c r="M38" s="595">
        <v>0</v>
      </c>
      <c r="N38" s="595">
        <v>0</v>
      </c>
      <c r="O38" s="595">
        <f t="shared" si="1"/>
        <v>0</v>
      </c>
    </row>
    <row r="39" spans="1:15" ht="128.25" hidden="1" customHeight="1" x14ac:dyDescent="0.2">
      <c r="A39" s="593" t="s">
        <v>46</v>
      </c>
      <c r="B39" s="593" t="s">
        <v>15</v>
      </c>
      <c r="C39" s="593" t="s">
        <v>66</v>
      </c>
      <c r="D39" s="593" t="s">
        <v>69</v>
      </c>
      <c r="E39" s="593" t="s">
        <v>75</v>
      </c>
      <c r="F39" s="593" t="s">
        <v>29</v>
      </c>
      <c r="G39" s="594" t="s">
        <v>17</v>
      </c>
      <c r="H39" s="594" t="s">
        <v>70</v>
      </c>
      <c r="I39" s="565" t="s">
        <v>186</v>
      </c>
      <c r="J39" s="595">
        <v>0</v>
      </c>
      <c r="K39" s="595">
        <v>0</v>
      </c>
      <c r="L39" s="595">
        <f t="shared" si="0"/>
        <v>0</v>
      </c>
      <c r="M39" s="595">
        <v>0</v>
      </c>
      <c r="N39" s="595">
        <v>0</v>
      </c>
      <c r="O39" s="595">
        <f t="shared" si="1"/>
        <v>0</v>
      </c>
    </row>
    <row r="40" spans="1:15" ht="31.5" x14ac:dyDescent="0.2">
      <c r="A40" s="589" t="s">
        <v>14</v>
      </c>
      <c r="B40" s="589" t="s">
        <v>15</v>
      </c>
      <c r="C40" s="589" t="s">
        <v>77</v>
      </c>
      <c r="D40" s="589" t="s">
        <v>16</v>
      </c>
      <c r="E40" s="589" t="s">
        <v>14</v>
      </c>
      <c r="F40" s="589" t="s">
        <v>16</v>
      </c>
      <c r="G40" s="590" t="s">
        <v>17</v>
      </c>
      <c r="H40" s="590" t="s">
        <v>14</v>
      </c>
      <c r="I40" s="591" t="s">
        <v>78</v>
      </c>
      <c r="J40" s="592">
        <v>2242000</v>
      </c>
      <c r="K40" s="592"/>
      <c r="L40" s="592">
        <f t="shared" si="0"/>
        <v>2242000</v>
      </c>
      <c r="M40" s="592">
        <v>2284000</v>
      </c>
      <c r="N40" s="592"/>
      <c r="O40" s="592">
        <f t="shared" si="1"/>
        <v>2284000</v>
      </c>
    </row>
    <row r="41" spans="1:15" ht="28.5" hidden="1" customHeight="1" x14ac:dyDescent="0.2">
      <c r="A41" s="589" t="s">
        <v>14</v>
      </c>
      <c r="B41" s="589" t="s">
        <v>15</v>
      </c>
      <c r="C41" s="589" t="s">
        <v>79</v>
      </c>
      <c r="D41" s="589"/>
      <c r="E41" s="589" t="s">
        <v>42</v>
      </c>
      <c r="F41" s="589" t="s">
        <v>16</v>
      </c>
      <c r="G41" s="590" t="s">
        <v>17</v>
      </c>
      <c r="H41" s="590" t="s">
        <v>14</v>
      </c>
      <c r="I41" s="591" t="s">
        <v>80</v>
      </c>
      <c r="J41" s="592">
        <v>0</v>
      </c>
      <c r="K41" s="592">
        <v>0</v>
      </c>
      <c r="L41" s="595">
        <f t="shared" si="0"/>
        <v>0</v>
      </c>
      <c r="M41" s="592">
        <v>0</v>
      </c>
      <c r="N41" s="592">
        <v>0</v>
      </c>
      <c r="O41" s="595">
        <f t="shared" si="1"/>
        <v>0</v>
      </c>
    </row>
    <row r="42" spans="1:15" ht="20.25" customHeight="1" x14ac:dyDescent="0.2">
      <c r="A42" s="589" t="s">
        <v>14</v>
      </c>
      <c r="B42" s="589" t="s">
        <v>81</v>
      </c>
      <c r="C42" s="589" t="s">
        <v>16</v>
      </c>
      <c r="D42" s="589" t="s">
        <v>16</v>
      </c>
      <c r="E42" s="589" t="s">
        <v>14</v>
      </c>
      <c r="F42" s="589" t="s">
        <v>16</v>
      </c>
      <c r="G42" s="603" t="s">
        <v>17</v>
      </c>
      <c r="H42" s="603" t="s">
        <v>14</v>
      </c>
      <c r="I42" s="604" t="s">
        <v>82</v>
      </c>
      <c r="J42" s="596">
        <f>J43</f>
        <v>1334839336</v>
      </c>
      <c r="K42" s="596">
        <f>K43</f>
        <v>0</v>
      </c>
      <c r="L42" s="592">
        <f t="shared" si="0"/>
        <v>1334839336</v>
      </c>
      <c r="M42" s="596">
        <f>M43</f>
        <v>1119809013</v>
      </c>
      <c r="N42" s="596">
        <f>N43</f>
        <v>0</v>
      </c>
      <c r="O42" s="592">
        <f t="shared" si="1"/>
        <v>1119809013</v>
      </c>
    </row>
    <row r="43" spans="1:15" ht="55.5" customHeight="1" x14ac:dyDescent="0.2">
      <c r="A43" s="589" t="s">
        <v>14</v>
      </c>
      <c r="B43" s="589" t="s">
        <v>81</v>
      </c>
      <c r="C43" s="589" t="s">
        <v>22</v>
      </c>
      <c r="D43" s="589" t="s">
        <v>16</v>
      </c>
      <c r="E43" s="589" t="s">
        <v>14</v>
      </c>
      <c r="F43" s="589" t="s">
        <v>16</v>
      </c>
      <c r="G43" s="603" t="s">
        <v>17</v>
      </c>
      <c r="H43" s="603" t="s">
        <v>14</v>
      </c>
      <c r="I43" s="604" t="s">
        <v>83</v>
      </c>
      <c r="J43" s="596">
        <f>J44+J49+J55+J95</f>
        <v>1334839336</v>
      </c>
      <c r="K43" s="596">
        <f>K44+K49+K55+K95</f>
        <v>0</v>
      </c>
      <c r="L43" s="592">
        <f t="shared" si="0"/>
        <v>1334839336</v>
      </c>
      <c r="M43" s="596">
        <f>M44+M49+M55+M95</f>
        <v>1119809013</v>
      </c>
      <c r="N43" s="596">
        <f>N44+N49+N55+N95</f>
        <v>0</v>
      </c>
      <c r="O43" s="592">
        <f t="shared" si="1"/>
        <v>1119809013</v>
      </c>
    </row>
    <row r="44" spans="1:15" ht="51.75" customHeight="1" x14ac:dyDescent="0.2">
      <c r="A44" s="589" t="s">
        <v>86</v>
      </c>
      <c r="B44" s="589" t="s">
        <v>81</v>
      </c>
      <c r="C44" s="589" t="s">
        <v>22</v>
      </c>
      <c r="D44" s="589" t="s">
        <v>73</v>
      </c>
      <c r="E44" s="589" t="s">
        <v>14</v>
      </c>
      <c r="F44" s="589" t="s">
        <v>16</v>
      </c>
      <c r="G44" s="603" t="s">
        <v>17</v>
      </c>
      <c r="H44" s="603" t="s">
        <v>84</v>
      </c>
      <c r="I44" s="604" t="s">
        <v>85</v>
      </c>
      <c r="J44" s="596">
        <f>J45+J46+J47+J48</f>
        <v>344360000</v>
      </c>
      <c r="K44" s="596">
        <f>K45+K46+K47+K48</f>
        <v>0</v>
      </c>
      <c r="L44" s="592">
        <f t="shared" si="0"/>
        <v>344360000</v>
      </c>
      <c r="M44" s="596">
        <f>M45+M46+M47+M48</f>
        <v>128934000</v>
      </c>
      <c r="N44" s="596">
        <f>N45+N46+N47+N48</f>
        <v>0</v>
      </c>
      <c r="O44" s="592">
        <f t="shared" si="1"/>
        <v>128934000</v>
      </c>
    </row>
    <row r="45" spans="1:15" ht="65.25" customHeight="1" x14ac:dyDescent="0.2">
      <c r="A45" s="593" t="s">
        <v>86</v>
      </c>
      <c r="B45" s="593" t="s">
        <v>81</v>
      </c>
      <c r="C45" s="593" t="s">
        <v>22</v>
      </c>
      <c r="D45" s="593" t="s">
        <v>1005</v>
      </c>
      <c r="E45" s="593" t="s">
        <v>87</v>
      </c>
      <c r="F45" s="593" t="s">
        <v>29</v>
      </c>
      <c r="G45" s="605" t="s">
        <v>17</v>
      </c>
      <c r="H45" s="605" t="s">
        <v>84</v>
      </c>
      <c r="I45" s="606" t="s">
        <v>88</v>
      </c>
      <c r="J45" s="595">
        <v>344327000</v>
      </c>
      <c r="K45" s="595"/>
      <c r="L45" s="595">
        <f t="shared" si="0"/>
        <v>344327000</v>
      </c>
      <c r="M45" s="595">
        <v>128934000</v>
      </c>
      <c r="N45" s="595"/>
      <c r="O45" s="595">
        <f t="shared" si="1"/>
        <v>128934000</v>
      </c>
    </row>
    <row r="46" spans="1:15" ht="52.5" customHeight="1" x14ac:dyDescent="0.2">
      <c r="A46" s="593" t="s">
        <v>86</v>
      </c>
      <c r="B46" s="593" t="s">
        <v>81</v>
      </c>
      <c r="C46" s="593" t="s">
        <v>22</v>
      </c>
      <c r="D46" s="593" t="s">
        <v>1005</v>
      </c>
      <c r="E46" s="593" t="s">
        <v>87</v>
      </c>
      <c r="F46" s="593" t="s">
        <v>29</v>
      </c>
      <c r="G46" s="605" t="s">
        <v>17</v>
      </c>
      <c r="H46" s="605" t="s">
        <v>84</v>
      </c>
      <c r="I46" s="606" t="s">
        <v>89</v>
      </c>
      <c r="J46" s="595">
        <v>33000</v>
      </c>
      <c r="K46" s="595"/>
      <c r="L46" s="595">
        <f t="shared" si="0"/>
        <v>33000</v>
      </c>
      <c r="M46" s="595">
        <v>0</v>
      </c>
      <c r="N46" s="595"/>
      <c r="O46" s="595">
        <f t="shared" si="1"/>
        <v>0</v>
      </c>
    </row>
    <row r="47" spans="1:15" ht="69.75" hidden="1" customHeight="1" x14ac:dyDescent="0.2">
      <c r="A47" s="593" t="s">
        <v>86</v>
      </c>
      <c r="B47" s="593" t="s">
        <v>81</v>
      </c>
      <c r="C47" s="593" t="s">
        <v>22</v>
      </c>
      <c r="D47" s="593" t="s">
        <v>19</v>
      </c>
      <c r="E47" s="593" t="s">
        <v>90</v>
      </c>
      <c r="F47" s="593" t="s">
        <v>29</v>
      </c>
      <c r="G47" s="605" t="s">
        <v>17</v>
      </c>
      <c r="H47" s="605" t="s">
        <v>84</v>
      </c>
      <c r="I47" s="606" t="s">
        <v>91</v>
      </c>
      <c r="J47" s="595">
        <v>0</v>
      </c>
      <c r="K47" s="595">
        <v>0</v>
      </c>
      <c r="L47" s="595">
        <f t="shared" si="0"/>
        <v>0</v>
      </c>
      <c r="M47" s="595">
        <v>0</v>
      </c>
      <c r="N47" s="595">
        <v>0</v>
      </c>
      <c r="O47" s="595">
        <f t="shared" si="1"/>
        <v>0</v>
      </c>
    </row>
    <row r="48" spans="1:15" ht="71.25" hidden="1" customHeight="1" x14ac:dyDescent="0.2">
      <c r="A48" s="593"/>
      <c r="B48" s="593"/>
      <c r="C48" s="593"/>
      <c r="D48" s="593"/>
      <c r="E48" s="593"/>
      <c r="F48" s="593"/>
      <c r="G48" s="605"/>
      <c r="H48" s="605"/>
      <c r="I48" s="606"/>
      <c r="J48" s="595"/>
      <c r="K48" s="595"/>
      <c r="L48" s="595">
        <f t="shared" si="0"/>
        <v>0</v>
      </c>
      <c r="M48" s="595"/>
      <c r="N48" s="595"/>
      <c r="O48" s="595">
        <f t="shared" si="1"/>
        <v>0</v>
      </c>
    </row>
    <row r="49" spans="1:15" ht="76.5" customHeight="1" x14ac:dyDescent="0.2">
      <c r="A49" s="589" t="s">
        <v>14</v>
      </c>
      <c r="B49" s="589" t="s">
        <v>81</v>
      </c>
      <c r="C49" s="589" t="s">
        <v>22</v>
      </c>
      <c r="D49" s="589" t="s">
        <v>2965</v>
      </c>
      <c r="E49" s="589" t="s">
        <v>14</v>
      </c>
      <c r="F49" s="589" t="s">
        <v>16</v>
      </c>
      <c r="G49" s="603" t="s">
        <v>17</v>
      </c>
      <c r="H49" s="603" t="s">
        <v>84</v>
      </c>
      <c r="I49" s="604" t="s">
        <v>92</v>
      </c>
      <c r="J49" s="596">
        <f>SUM(J50:J54)</f>
        <v>891431</v>
      </c>
      <c r="K49" s="596">
        <f>SUM(K50:K54)</f>
        <v>0</v>
      </c>
      <c r="L49" s="592">
        <f t="shared" si="0"/>
        <v>891431</v>
      </c>
      <c r="M49" s="596">
        <f>SUM(M50:M54)</f>
        <v>891431</v>
      </c>
      <c r="N49" s="596">
        <f>SUM(N50:N54)</f>
        <v>0</v>
      </c>
      <c r="O49" s="592">
        <f t="shared" si="1"/>
        <v>891431</v>
      </c>
    </row>
    <row r="50" spans="1:15" ht="36.75" hidden="1" customHeight="1" x14ac:dyDescent="0.2">
      <c r="A50" s="593" t="s">
        <v>94</v>
      </c>
      <c r="B50" s="593" t="s">
        <v>81</v>
      </c>
      <c r="C50" s="593" t="s">
        <v>22</v>
      </c>
      <c r="D50" s="593" t="s">
        <v>2965</v>
      </c>
      <c r="E50" s="593" t="s">
        <v>95</v>
      </c>
      <c r="F50" s="593" t="s">
        <v>29</v>
      </c>
      <c r="G50" s="605" t="s">
        <v>17</v>
      </c>
      <c r="H50" s="605" t="s">
        <v>84</v>
      </c>
      <c r="I50" s="606" t="s">
        <v>96</v>
      </c>
      <c r="J50" s="595"/>
      <c r="K50" s="595"/>
      <c r="L50" s="595">
        <f t="shared" si="0"/>
        <v>0</v>
      </c>
      <c r="M50" s="595"/>
      <c r="N50" s="595"/>
      <c r="O50" s="595">
        <f t="shared" si="1"/>
        <v>0</v>
      </c>
    </row>
    <row r="51" spans="1:15" ht="66.75" hidden="1" customHeight="1" x14ac:dyDescent="0.2">
      <c r="A51" s="593" t="s">
        <v>98</v>
      </c>
      <c r="B51" s="593" t="s">
        <v>81</v>
      </c>
      <c r="C51" s="593" t="s">
        <v>22</v>
      </c>
      <c r="D51" s="593" t="s">
        <v>2966</v>
      </c>
      <c r="E51" s="593" t="s">
        <v>99</v>
      </c>
      <c r="F51" s="593" t="s">
        <v>29</v>
      </c>
      <c r="G51" s="605" t="s">
        <v>17</v>
      </c>
      <c r="H51" s="605" t="s">
        <v>84</v>
      </c>
      <c r="I51" s="606" t="s">
        <v>100</v>
      </c>
      <c r="J51" s="595"/>
      <c r="K51" s="595"/>
      <c r="L51" s="595">
        <f t="shared" si="0"/>
        <v>0</v>
      </c>
      <c r="M51" s="595"/>
      <c r="N51" s="595"/>
      <c r="O51" s="595">
        <f t="shared" si="1"/>
        <v>0</v>
      </c>
    </row>
    <row r="52" spans="1:15" ht="70.5" hidden="1" customHeight="1" x14ac:dyDescent="0.2">
      <c r="A52" s="593" t="s">
        <v>86</v>
      </c>
      <c r="B52" s="593" t="s">
        <v>81</v>
      </c>
      <c r="C52" s="593" t="s">
        <v>22</v>
      </c>
      <c r="D52" s="593" t="s">
        <v>22</v>
      </c>
      <c r="E52" s="593" t="s">
        <v>99</v>
      </c>
      <c r="F52" s="593" t="s">
        <v>29</v>
      </c>
      <c r="G52" s="605" t="s">
        <v>17</v>
      </c>
      <c r="H52" s="605" t="s">
        <v>84</v>
      </c>
      <c r="I52" s="606" t="s">
        <v>187</v>
      </c>
      <c r="J52" s="595"/>
      <c r="K52" s="595"/>
      <c r="L52" s="595">
        <f t="shared" si="0"/>
        <v>0</v>
      </c>
      <c r="M52" s="595">
        <v>0</v>
      </c>
      <c r="N52" s="595"/>
      <c r="O52" s="595">
        <f t="shared" si="1"/>
        <v>0</v>
      </c>
    </row>
    <row r="53" spans="1:15" ht="88.5" customHeight="1" x14ac:dyDescent="0.2">
      <c r="A53" s="593" t="s">
        <v>101</v>
      </c>
      <c r="B53" s="593" t="s">
        <v>81</v>
      </c>
      <c r="C53" s="593" t="s">
        <v>22</v>
      </c>
      <c r="D53" s="593" t="s">
        <v>2966</v>
      </c>
      <c r="E53" s="593" t="s">
        <v>99</v>
      </c>
      <c r="F53" s="593" t="s">
        <v>29</v>
      </c>
      <c r="G53" s="605" t="s">
        <v>17</v>
      </c>
      <c r="H53" s="605" t="s">
        <v>84</v>
      </c>
      <c r="I53" s="607" t="s">
        <v>104</v>
      </c>
      <c r="J53" s="595">
        <v>151581</v>
      </c>
      <c r="K53" s="595"/>
      <c r="L53" s="595">
        <f t="shared" si="0"/>
        <v>151581</v>
      </c>
      <c r="M53" s="595">
        <v>151581</v>
      </c>
      <c r="N53" s="595"/>
      <c r="O53" s="595">
        <f t="shared" si="1"/>
        <v>151581</v>
      </c>
    </row>
    <row r="54" spans="1:15" ht="96.75" customHeight="1" x14ac:dyDescent="0.2">
      <c r="A54" s="593" t="s">
        <v>101</v>
      </c>
      <c r="B54" s="593" t="s">
        <v>81</v>
      </c>
      <c r="C54" s="593" t="s">
        <v>22</v>
      </c>
      <c r="D54" s="593" t="s">
        <v>2966</v>
      </c>
      <c r="E54" s="593" t="s">
        <v>99</v>
      </c>
      <c r="F54" s="593" t="s">
        <v>29</v>
      </c>
      <c r="G54" s="605" t="s">
        <v>17</v>
      </c>
      <c r="H54" s="605" t="s">
        <v>84</v>
      </c>
      <c r="I54" s="607" t="s">
        <v>102</v>
      </c>
      <c r="J54" s="595">
        <v>739850</v>
      </c>
      <c r="K54" s="595"/>
      <c r="L54" s="595">
        <f t="shared" si="0"/>
        <v>739850</v>
      </c>
      <c r="M54" s="595">
        <v>739850</v>
      </c>
      <c r="N54" s="595"/>
      <c r="O54" s="595">
        <f t="shared" si="1"/>
        <v>739850</v>
      </c>
    </row>
    <row r="55" spans="1:15" ht="56.25" customHeight="1" x14ac:dyDescent="0.2">
      <c r="A55" s="589" t="s">
        <v>14</v>
      </c>
      <c r="B55" s="589" t="s">
        <v>81</v>
      </c>
      <c r="C55" s="589" t="s">
        <v>22</v>
      </c>
      <c r="D55" s="589" t="s">
        <v>2972</v>
      </c>
      <c r="E55" s="589" t="s">
        <v>14</v>
      </c>
      <c r="F55" s="589" t="s">
        <v>16</v>
      </c>
      <c r="G55" s="603" t="s">
        <v>17</v>
      </c>
      <c r="H55" s="603" t="s">
        <v>84</v>
      </c>
      <c r="I55" s="604" t="s">
        <v>105</v>
      </c>
      <c r="J55" s="596">
        <f t="shared" ref="J55:O55" si="2">SUM(J56:J94)</f>
        <v>989587905</v>
      </c>
      <c r="K55" s="596">
        <f t="shared" si="2"/>
        <v>0</v>
      </c>
      <c r="L55" s="596">
        <f t="shared" si="2"/>
        <v>989587905</v>
      </c>
      <c r="M55" s="596">
        <f t="shared" si="2"/>
        <v>989983582</v>
      </c>
      <c r="N55" s="596">
        <f t="shared" si="2"/>
        <v>0</v>
      </c>
      <c r="O55" s="596">
        <f t="shared" si="2"/>
        <v>989983582</v>
      </c>
    </row>
    <row r="56" spans="1:15" ht="97.5" customHeight="1" x14ac:dyDescent="0.2">
      <c r="A56" s="593" t="s">
        <v>94</v>
      </c>
      <c r="B56" s="593" t="s">
        <v>81</v>
      </c>
      <c r="C56" s="593" t="s">
        <v>22</v>
      </c>
      <c r="D56" s="593" t="s">
        <v>2972</v>
      </c>
      <c r="E56" s="593" t="s">
        <v>112</v>
      </c>
      <c r="F56" s="593" t="s">
        <v>29</v>
      </c>
      <c r="G56" s="605" t="s">
        <v>17</v>
      </c>
      <c r="H56" s="605" t="s">
        <v>84</v>
      </c>
      <c r="I56" s="565" t="s">
        <v>115</v>
      </c>
      <c r="J56" s="648">
        <v>15000</v>
      </c>
      <c r="K56" s="648"/>
      <c r="L56" s="648">
        <f>SUM(J56:K56)</f>
        <v>15000</v>
      </c>
      <c r="M56" s="648">
        <v>15000</v>
      </c>
      <c r="N56" s="648"/>
      <c r="O56" s="648">
        <f t="shared" ref="O56:O62" si="3">SUM(M56:N56)</f>
        <v>15000</v>
      </c>
    </row>
    <row r="57" spans="1:15" ht="67.5" customHeight="1" x14ac:dyDescent="0.2">
      <c r="A57" s="593" t="s">
        <v>94</v>
      </c>
      <c r="B57" s="593" t="s">
        <v>81</v>
      </c>
      <c r="C57" s="593" t="s">
        <v>22</v>
      </c>
      <c r="D57" s="593" t="s">
        <v>2972</v>
      </c>
      <c r="E57" s="593" t="s">
        <v>112</v>
      </c>
      <c r="F57" s="593" t="s">
        <v>29</v>
      </c>
      <c r="G57" s="605" t="s">
        <v>17</v>
      </c>
      <c r="H57" s="605" t="s">
        <v>84</v>
      </c>
      <c r="I57" s="565" t="s">
        <v>3187</v>
      </c>
      <c r="J57" s="649">
        <v>659000</v>
      </c>
      <c r="K57" s="649"/>
      <c r="L57" s="648">
        <f>SUM(J57:K57)</f>
        <v>659000</v>
      </c>
      <c r="M57" s="649">
        <v>659000</v>
      </c>
      <c r="N57" s="650"/>
      <c r="O57" s="648">
        <f t="shared" si="3"/>
        <v>659000</v>
      </c>
    </row>
    <row r="58" spans="1:15" ht="94.5" customHeight="1" x14ac:dyDescent="0.2">
      <c r="A58" s="593" t="s">
        <v>106</v>
      </c>
      <c r="B58" s="593" t="s">
        <v>81</v>
      </c>
      <c r="C58" s="593" t="s">
        <v>22</v>
      </c>
      <c r="D58" s="593" t="s">
        <v>2972</v>
      </c>
      <c r="E58" s="593" t="s">
        <v>112</v>
      </c>
      <c r="F58" s="593" t="s">
        <v>29</v>
      </c>
      <c r="G58" s="605" t="s">
        <v>17</v>
      </c>
      <c r="H58" s="605" t="s">
        <v>84</v>
      </c>
      <c r="I58" s="565" t="s">
        <v>116</v>
      </c>
      <c r="J58" s="649">
        <v>64064000</v>
      </c>
      <c r="K58" s="649"/>
      <c r="L58" s="648">
        <f>SUM(J58:K58)</f>
        <v>64064000</v>
      </c>
      <c r="M58" s="649">
        <v>64064000</v>
      </c>
      <c r="N58" s="650"/>
      <c r="O58" s="648">
        <f t="shared" si="3"/>
        <v>64064000</v>
      </c>
    </row>
    <row r="59" spans="1:15" ht="115.5" customHeight="1" x14ac:dyDescent="0.2">
      <c r="A59" s="593" t="s">
        <v>101</v>
      </c>
      <c r="B59" s="593" t="s">
        <v>81</v>
      </c>
      <c r="C59" s="593" t="s">
        <v>22</v>
      </c>
      <c r="D59" s="593" t="s">
        <v>2972</v>
      </c>
      <c r="E59" s="593" t="s">
        <v>112</v>
      </c>
      <c r="F59" s="593" t="s">
        <v>29</v>
      </c>
      <c r="G59" s="605" t="s">
        <v>17</v>
      </c>
      <c r="H59" s="605" t="s">
        <v>84</v>
      </c>
      <c r="I59" s="565" t="s">
        <v>3188</v>
      </c>
      <c r="J59" s="649">
        <v>4407000</v>
      </c>
      <c r="K59" s="649"/>
      <c r="L59" s="648">
        <f t="shared" ref="L59:L64" si="4">SUM(J59:K59)</f>
        <v>4407000</v>
      </c>
      <c r="M59" s="649">
        <v>4407000</v>
      </c>
      <c r="N59" s="650"/>
      <c r="O59" s="648">
        <f t="shared" si="3"/>
        <v>4407000</v>
      </c>
    </row>
    <row r="60" spans="1:15" ht="66.75" customHeight="1" x14ac:dyDescent="0.2">
      <c r="A60" s="593" t="s">
        <v>101</v>
      </c>
      <c r="B60" s="593" t="s">
        <v>81</v>
      </c>
      <c r="C60" s="593" t="s">
        <v>22</v>
      </c>
      <c r="D60" s="593" t="s">
        <v>2972</v>
      </c>
      <c r="E60" s="593" t="s">
        <v>112</v>
      </c>
      <c r="F60" s="593" t="s">
        <v>29</v>
      </c>
      <c r="G60" s="605" t="s">
        <v>17</v>
      </c>
      <c r="H60" s="605" t="s">
        <v>84</v>
      </c>
      <c r="I60" s="565" t="s">
        <v>130</v>
      </c>
      <c r="J60" s="649">
        <v>1143467</v>
      </c>
      <c r="K60" s="649"/>
      <c r="L60" s="648">
        <f t="shared" si="4"/>
        <v>1143467</v>
      </c>
      <c r="M60" s="649">
        <v>1143467</v>
      </c>
      <c r="N60" s="650"/>
      <c r="O60" s="648">
        <f t="shared" si="3"/>
        <v>1143467</v>
      </c>
    </row>
    <row r="61" spans="1:15" ht="102" customHeight="1" x14ac:dyDescent="0.2">
      <c r="A61" s="593" t="s">
        <v>101</v>
      </c>
      <c r="B61" s="593" t="s">
        <v>81</v>
      </c>
      <c r="C61" s="593" t="s">
        <v>22</v>
      </c>
      <c r="D61" s="593" t="s">
        <v>2972</v>
      </c>
      <c r="E61" s="593" t="s">
        <v>112</v>
      </c>
      <c r="F61" s="593" t="s">
        <v>29</v>
      </c>
      <c r="G61" s="605" t="s">
        <v>17</v>
      </c>
      <c r="H61" s="605" t="s">
        <v>84</v>
      </c>
      <c r="I61" s="565" t="s">
        <v>126</v>
      </c>
      <c r="J61" s="649">
        <v>1279700</v>
      </c>
      <c r="K61" s="649"/>
      <c r="L61" s="648">
        <f t="shared" si="4"/>
        <v>1279700</v>
      </c>
      <c r="M61" s="649">
        <v>1279700</v>
      </c>
      <c r="N61" s="650"/>
      <c r="O61" s="648">
        <f t="shared" si="3"/>
        <v>1279700</v>
      </c>
    </row>
    <row r="62" spans="1:15" ht="123.75" customHeight="1" x14ac:dyDescent="0.2">
      <c r="A62" s="593" t="s">
        <v>101</v>
      </c>
      <c r="B62" s="593" t="s">
        <v>81</v>
      </c>
      <c r="C62" s="593" t="s">
        <v>22</v>
      </c>
      <c r="D62" s="593" t="s">
        <v>2972</v>
      </c>
      <c r="E62" s="593" t="s">
        <v>112</v>
      </c>
      <c r="F62" s="593" t="s">
        <v>29</v>
      </c>
      <c r="G62" s="605" t="s">
        <v>17</v>
      </c>
      <c r="H62" s="605" t="s">
        <v>84</v>
      </c>
      <c r="I62" s="565" t="s">
        <v>128</v>
      </c>
      <c r="J62" s="648">
        <v>17978000</v>
      </c>
      <c r="K62" s="648"/>
      <c r="L62" s="648">
        <f t="shared" si="4"/>
        <v>17978000</v>
      </c>
      <c r="M62" s="648">
        <v>17978000</v>
      </c>
      <c r="N62" s="648"/>
      <c r="O62" s="648">
        <f t="shared" si="3"/>
        <v>17978000</v>
      </c>
    </row>
    <row r="63" spans="1:15" ht="40.5" customHeight="1" x14ac:dyDescent="0.2">
      <c r="A63" s="593" t="s">
        <v>101</v>
      </c>
      <c r="B63" s="593" t="s">
        <v>81</v>
      </c>
      <c r="C63" s="593" t="s">
        <v>22</v>
      </c>
      <c r="D63" s="593" t="s">
        <v>2972</v>
      </c>
      <c r="E63" s="593" t="s">
        <v>112</v>
      </c>
      <c r="F63" s="593" t="s">
        <v>29</v>
      </c>
      <c r="G63" s="605" t="s">
        <v>17</v>
      </c>
      <c r="H63" s="605" t="s">
        <v>84</v>
      </c>
      <c r="I63" s="565" t="s">
        <v>125</v>
      </c>
      <c r="J63" s="648">
        <v>3193301</v>
      </c>
      <c r="K63" s="648"/>
      <c r="L63" s="648">
        <f t="shared" si="4"/>
        <v>3193301</v>
      </c>
      <c r="M63" s="648">
        <v>3193301</v>
      </c>
      <c r="N63" s="648"/>
      <c r="O63" s="648">
        <f t="shared" si="1"/>
        <v>3193301</v>
      </c>
    </row>
    <row r="64" spans="1:15" ht="72" customHeight="1" x14ac:dyDescent="0.2">
      <c r="A64" s="593" t="s">
        <v>101</v>
      </c>
      <c r="B64" s="593" t="s">
        <v>81</v>
      </c>
      <c r="C64" s="593" t="s">
        <v>22</v>
      </c>
      <c r="D64" s="593" t="s">
        <v>2972</v>
      </c>
      <c r="E64" s="593" t="s">
        <v>112</v>
      </c>
      <c r="F64" s="593" t="s">
        <v>29</v>
      </c>
      <c r="G64" s="605" t="s">
        <v>17</v>
      </c>
      <c r="H64" s="605" t="s">
        <v>84</v>
      </c>
      <c r="I64" s="565" t="s">
        <v>113</v>
      </c>
      <c r="J64" s="648">
        <v>205459000</v>
      </c>
      <c r="K64" s="648"/>
      <c r="L64" s="648">
        <f t="shared" si="4"/>
        <v>205459000</v>
      </c>
      <c r="M64" s="648">
        <v>205459000</v>
      </c>
      <c r="N64" s="648"/>
      <c r="O64" s="648">
        <f t="shared" si="1"/>
        <v>205459000</v>
      </c>
    </row>
    <row r="65" spans="1:15" ht="72" customHeight="1" x14ac:dyDescent="0.2">
      <c r="A65" s="593" t="s">
        <v>101</v>
      </c>
      <c r="B65" s="593" t="s">
        <v>81</v>
      </c>
      <c r="C65" s="593" t="s">
        <v>22</v>
      </c>
      <c r="D65" s="593" t="s">
        <v>2972</v>
      </c>
      <c r="E65" s="593" t="s">
        <v>112</v>
      </c>
      <c r="F65" s="593" t="s">
        <v>29</v>
      </c>
      <c r="G65" s="605" t="s">
        <v>17</v>
      </c>
      <c r="H65" s="605" t="s">
        <v>84</v>
      </c>
      <c r="I65" s="565" t="s">
        <v>127</v>
      </c>
      <c r="J65" s="648">
        <v>330474000</v>
      </c>
      <c r="K65" s="648"/>
      <c r="L65" s="648">
        <f t="shared" si="0"/>
        <v>330474000</v>
      </c>
      <c r="M65" s="648">
        <v>330474000</v>
      </c>
      <c r="N65" s="648"/>
      <c r="O65" s="648">
        <f t="shared" si="1"/>
        <v>330474000</v>
      </c>
    </row>
    <row r="66" spans="1:15" ht="53.25" customHeight="1" x14ac:dyDescent="0.2">
      <c r="A66" s="593" t="s">
        <v>101</v>
      </c>
      <c r="B66" s="593" t="s">
        <v>81</v>
      </c>
      <c r="C66" s="593" t="s">
        <v>22</v>
      </c>
      <c r="D66" s="593" t="s">
        <v>2972</v>
      </c>
      <c r="E66" s="593" t="s">
        <v>112</v>
      </c>
      <c r="F66" s="593" t="s">
        <v>29</v>
      </c>
      <c r="G66" s="605" t="s">
        <v>17</v>
      </c>
      <c r="H66" s="605" t="s">
        <v>84</v>
      </c>
      <c r="I66" s="565" t="s">
        <v>114</v>
      </c>
      <c r="J66" s="648">
        <v>22942800</v>
      </c>
      <c r="K66" s="648"/>
      <c r="L66" s="648">
        <f t="shared" si="0"/>
        <v>22942800</v>
      </c>
      <c r="M66" s="648">
        <v>22942800</v>
      </c>
      <c r="N66" s="648"/>
      <c r="O66" s="648">
        <f t="shared" si="1"/>
        <v>22942800</v>
      </c>
    </row>
    <row r="67" spans="1:15" ht="79.5" customHeight="1" x14ac:dyDescent="0.2">
      <c r="A67" s="593" t="s">
        <v>101</v>
      </c>
      <c r="B67" s="593" t="s">
        <v>81</v>
      </c>
      <c r="C67" s="593" t="s">
        <v>22</v>
      </c>
      <c r="D67" s="593" t="s">
        <v>2972</v>
      </c>
      <c r="E67" s="593" t="s">
        <v>112</v>
      </c>
      <c r="F67" s="593" t="s">
        <v>29</v>
      </c>
      <c r="G67" s="605" t="s">
        <v>17</v>
      </c>
      <c r="H67" s="605" t="s">
        <v>84</v>
      </c>
      <c r="I67" s="565" t="s">
        <v>132</v>
      </c>
      <c r="J67" s="648">
        <v>24927509</v>
      </c>
      <c r="K67" s="648"/>
      <c r="L67" s="648">
        <f t="shared" si="0"/>
        <v>24927509</v>
      </c>
      <c r="M67" s="648">
        <v>24927509</v>
      </c>
      <c r="N67" s="648"/>
      <c r="O67" s="648">
        <f t="shared" si="1"/>
        <v>24927509</v>
      </c>
    </row>
    <row r="68" spans="1:15" ht="33" customHeight="1" x14ac:dyDescent="0.2">
      <c r="A68" s="593" t="s">
        <v>106</v>
      </c>
      <c r="B68" s="593" t="s">
        <v>81</v>
      </c>
      <c r="C68" s="593" t="s">
        <v>22</v>
      </c>
      <c r="D68" s="593" t="s">
        <v>2972</v>
      </c>
      <c r="E68" s="593" t="s">
        <v>112</v>
      </c>
      <c r="F68" s="593" t="s">
        <v>29</v>
      </c>
      <c r="G68" s="605" t="s">
        <v>17</v>
      </c>
      <c r="H68" s="605" t="s">
        <v>84</v>
      </c>
      <c r="I68" s="565" t="s">
        <v>121</v>
      </c>
      <c r="J68" s="648">
        <v>22000000</v>
      </c>
      <c r="K68" s="648"/>
      <c r="L68" s="648">
        <f t="shared" si="0"/>
        <v>22000000</v>
      </c>
      <c r="M68" s="648">
        <v>22000000</v>
      </c>
      <c r="N68" s="648"/>
      <c r="O68" s="648">
        <f t="shared" si="1"/>
        <v>22000000</v>
      </c>
    </row>
    <row r="69" spans="1:15" ht="165" customHeight="1" x14ac:dyDescent="0.2">
      <c r="A69" s="593" t="s">
        <v>106</v>
      </c>
      <c r="B69" s="593" t="s">
        <v>81</v>
      </c>
      <c r="C69" s="593" t="s">
        <v>22</v>
      </c>
      <c r="D69" s="593" t="s">
        <v>2972</v>
      </c>
      <c r="E69" s="593" t="s">
        <v>112</v>
      </c>
      <c r="F69" s="593" t="s">
        <v>29</v>
      </c>
      <c r="G69" s="605" t="s">
        <v>17</v>
      </c>
      <c r="H69" s="605" t="s">
        <v>84</v>
      </c>
      <c r="I69" s="565" t="s">
        <v>129</v>
      </c>
      <c r="J69" s="648">
        <v>63968211</v>
      </c>
      <c r="K69" s="648"/>
      <c r="L69" s="648">
        <f t="shared" si="0"/>
        <v>63968211</v>
      </c>
      <c r="M69" s="648">
        <v>63968211</v>
      </c>
      <c r="N69" s="648"/>
      <c r="O69" s="648">
        <f t="shared" si="1"/>
        <v>63968211</v>
      </c>
    </row>
    <row r="70" spans="1:15" ht="54" customHeight="1" x14ac:dyDescent="0.2">
      <c r="A70" s="593" t="s">
        <v>106</v>
      </c>
      <c r="B70" s="593" t="s">
        <v>81</v>
      </c>
      <c r="C70" s="593" t="s">
        <v>22</v>
      </c>
      <c r="D70" s="593" t="s">
        <v>2972</v>
      </c>
      <c r="E70" s="593" t="s">
        <v>112</v>
      </c>
      <c r="F70" s="593" t="s">
        <v>29</v>
      </c>
      <c r="G70" s="605" t="s">
        <v>17</v>
      </c>
      <c r="H70" s="605" t="s">
        <v>84</v>
      </c>
      <c r="I70" s="565" t="s">
        <v>122</v>
      </c>
      <c r="J70" s="648">
        <v>4760700</v>
      </c>
      <c r="K70" s="648"/>
      <c r="L70" s="648">
        <f t="shared" si="0"/>
        <v>4760700</v>
      </c>
      <c r="M70" s="648">
        <v>4760700</v>
      </c>
      <c r="N70" s="648"/>
      <c r="O70" s="648">
        <f t="shared" si="1"/>
        <v>4760700</v>
      </c>
    </row>
    <row r="71" spans="1:15" ht="69" customHeight="1" x14ac:dyDescent="0.2">
      <c r="A71" s="593" t="s">
        <v>106</v>
      </c>
      <c r="B71" s="593" t="s">
        <v>81</v>
      </c>
      <c r="C71" s="593" t="s">
        <v>22</v>
      </c>
      <c r="D71" s="593" t="s">
        <v>2972</v>
      </c>
      <c r="E71" s="593" t="s">
        <v>112</v>
      </c>
      <c r="F71" s="593" t="s">
        <v>29</v>
      </c>
      <c r="G71" s="605" t="s">
        <v>17</v>
      </c>
      <c r="H71" s="605" t="s">
        <v>84</v>
      </c>
      <c r="I71" s="565" t="s">
        <v>123</v>
      </c>
      <c r="J71" s="648">
        <v>35000000</v>
      </c>
      <c r="K71" s="648"/>
      <c r="L71" s="648">
        <f t="shared" si="0"/>
        <v>35000000</v>
      </c>
      <c r="M71" s="648">
        <v>35000000</v>
      </c>
      <c r="N71" s="648"/>
      <c r="O71" s="648">
        <f t="shared" si="1"/>
        <v>35000000</v>
      </c>
    </row>
    <row r="72" spans="1:15" ht="101.25" customHeight="1" x14ac:dyDescent="0.2">
      <c r="A72" s="593" t="s">
        <v>106</v>
      </c>
      <c r="B72" s="593" t="s">
        <v>81</v>
      </c>
      <c r="C72" s="593" t="s">
        <v>22</v>
      </c>
      <c r="D72" s="593" t="s">
        <v>2972</v>
      </c>
      <c r="E72" s="593" t="s">
        <v>112</v>
      </c>
      <c r="F72" s="593" t="s">
        <v>29</v>
      </c>
      <c r="G72" s="605" t="s">
        <v>17</v>
      </c>
      <c r="H72" s="605" t="s">
        <v>84</v>
      </c>
      <c r="I72" s="565" t="s">
        <v>124</v>
      </c>
      <c r="J72" s="648">
        <v>39775000</v>
      </c>
      <c r="K72" s="648"/>
      <c r="L72" s="648">
        <f t="shared" si="0"/>
        <v>39775000</v>
      </c>
      <c r="M72" s="648">
        <v>39775000</v>
      </c>
      <c r="N72" s="648"/>
      <c r="O72" s="648">
        <f t="shared" si="1"/>
        <v>39775000</v>
      </c>
    </row>
    <row r="73" spans="1:15" ht="120.75" customHeight="1" x14ac:dyDescent="0.2">
      <c r="A73" s="593" t="s">
        <v>38</v>
      </c>
      <c r="B73" s="593" t="s">
        <v>81</v>
      </c>
      <c r="C73" s="593" t="s">
        <v>22</v>
      </c>
      <c r="D73" s="593" t="s">
        <v>2972</v>
      </c>
      <c r="E73" s="593" t="s">
        <v>112</v>
      </c>
      <c r="F73" s="593" t="s">
        <v>29</v>
      </c>
      <c r="G73" s="605" t="s">
        <v>17</v>
      </c>
      <c r="H73" s="605" t="s">
        <v>84</v>
      </c>
      <c r="I73" s="565" t="s">
        <v>135</v>
      </c>
      <c r="J73" s="648">
        <v>5100</v>
      </c>
      <c r="K73" s="648"/>
      <c r="L73" s="648">
        <f t="shared" si="0"/>
        <v>5100</v>
      </c>
      <c r="M73" s="648">
        <v>5100</v>
      </c>
      <c r="N73" s="648"/>
      <c r="O73" s="648">
        <f t="shared" si="1"/>
        <v>5100</v>
      </c>
    </row>
    <row r="74" spans="1:15" ht="143.25" hidden="1" customHeight="1" x14ac:dyDescent="0.2">
      <c r="A74" s="593" t="s">
        <v>101</v>
      </c>
      <c r="B74" s="593" t="s">
        <v>81</v>
      </c>
      <c r="C74" s="593" t="s">
        <v>22</v>
      </c>
      <c r="D74" s="593" t="s">
        <v>25</v>
      </c>
      <c r="E74" s="593" t="s">
        <v>112</v>
      </c>
      <c r="F74" s="593" t="s">
        <v>29</v>
      </c>
      <c r="G74" s="605" t="s">
        <v>17</v>
      </c>
      <c r="H74" s="605" t="s">
        <v>84</v>
      </c>
      <c r="I74" s="565" t="s">
        <v>128</v>
      </c>
      <c r="J74" s="647">
        <v>0</v>
      </c>
      <c r="K74" s="647"/>
      <c r="L74" s="647">
        <f t="shared" si="0"/>
        <v>0</v>
      </c>
      <c r="M74" s="647">
        <v>0</v>
      </c>
      <c r="N74" s="647"/>
      <c r="O74" s="647">
        <f t="shared" si="1"/>
        <v>0</v>
      </c>
    </row>
    <row r="75" spans="1:15" ht="38.25" customHeight="1" x14ac:dyDescent="0.2">
      <c r="A75" s="593" t="s">
        <v>94</v>
      </c>
      <c r="B75" s="593" t="s">
        <v>81</v>
      </c>
      <c r="C75" s="593" t="s">
        <v>22</v>
      </c>
      <c r="D75" s="593" t="s">
        <v>2972</v>
      </c>
      <c r="E75" s="593" t="s">
        <v>112</v>
      </c>
      <c r="F75" s="593" t="s">
        <v>29</v>
      </c>
      <c r="G75" s="605" t="s">
        <v>17</v>
      </c>
      <c r="H75" s="605" t="s">
        <v>84</v>
      </c>
      <c r="I75" s="565" t="s">
        <v>134</v>
      </c>
      <c r="J75" s="648">
        <v>688375</v>
      </c>
      <c r="K75" s="648"/>
      <c r="L75" s="648">
        <f t="shared" si="0"/>
        <v>688375</v>
      </c>
      <c r="M75" s="648">
        <v>688375</v>
      </c>
      <c r="N75" s="648"/>
      <c r="O75" s="648">
        <f t="shared" si="1"/>
        <v>688375</v>
      </c>
    </row>
    <row r="76" spans="1:15" ht="81.75" customHeight="1" x14ac:dyDescent="0.2">
      <c r="A76" s="608">
        <v>950</v>
      </c>
      <c r="B76" s="609" t="s">
        <v>81</v>
      </c>
      <c r="C76" s="609" t="s">
        <v>22</v>
      </c>
      <c r="D76" s="609" t="s">
        <v>2972</v>
      </c>
      <c r="E76" s="609" t="s">
        <v>112</v>
      </c>
      <c r="F76" s="609" t="s">
        <v>29</v>
      </c>
      <c r="G76" s="609" t="s">
        <v>17</v>
      </c>
      <c r="H76" s="609" t="s">
        <v>84</v>
      </c>
      <c r="I76" s="565" t="s">
        <v>117</v>
      </c>
      <c r="J76" s="648">
        <v>2286641</v>
      </c>
      <c r="K76" s="648"/>
      <c r="L76" s="648">
        <f t="shared" ref="L76:L97" si="5">SUM(J76:K76)</f>
        <v>2286641</v>
      </c>
      <c r="M76" s="648">
        <v>2286641</v>
      </c>
      <c r="N76" s="648"/>
      <c r="O76" s="648">
        <f t="shared" ref="O76:O97" si="6">SUM(M76:N76)</f>
        <v>2286641</v>
      </c>
    </row>
    <row r="77" spans="1:15" ht="67.5" customHeight="1" x14ac:dyDescent="0.2">
      <c r="A77" s="593" t="s">
        <v>106</v>
      </c>
      <c r="B77" s="593" t="s">
        <v>81</v>
      </c>
      <c r="C77" s="593" t="s">
        <v>22</v>
      </c>
      <c r="D77" s="593" t="s">
        <v>2972</v>
      </c>
      <c r="E77" s="593" t="s">
        <v>112</v>
      </c>
      <c r="F77" s="593" t="s">
        <v>29</v>
      </c>
      <c r="G77" s="605" t="s">
        <v>17</v>
      </c>
      <c r="H77" s="605" t="s">
        <v>84</v>
      </c>
      <c r="I77" s="565" t="s">
        <v>118</v>
      </c>
      <c r="J77" s="648">
        <v>13412000</v>
      </c>
      <c r="K77" s="648"/>
      <c r="L77" s="648">
        <f t="shared" si="5"/>
        <v>13412000</v>
      </c>
      <c r="M77" s="648">
        <v>13412000</v>
      </c>
      <c r="N77" s="648"/>
      <c r="O77" s="648">
        <f t="shared" si="6"/>
        <v>13412000</v>
      </c>
    </row>
    <row r="78" spans="1:15" ht="49.5" customHeight="1" x14ac:dyDescent="0.2">
      <c r="A78" s="593" t="s">
        <v>101</v>
      </c>
      <c r="B78" s="593" t="s">
        <v>81</v>
      </c>
      <c r="C78" s="593" t="s">
        <v>22</v>
      </c>
      <c r="D78" s="593" t="s">
        <v>2972</v>
      </c>
      <c r="E78" s="593" t="s">
        <v>112</v>
      </c>
      <c r="F78" s="593" t="s">
        <v>29</v>
      </c>
      <c r="G78" s="605" t="s">
        <v>17</v>
      </c>
      <c r="H78" s="605" t="s">
        <v>84</v>
      </c>
      <c r="I78" s="565" t="s">
        <v>119</v>
      </c>
      <c r="J78" s="648">
        <v>3997994</v>
      </c>
      <c r="K78" s="648"/>
      <c r="L78" s="648">
        <f t="shared" si="5"/>
        <v>3997994</v>
      </c>
      <c r="M78" s="648">
        <v>3997994</v>
      </c>
      <c r="N78" s="648"/>
      <c r="O78" s="648">
        <f t="shared" si="6"/>
        <v>3997994</v>
      </c>
    </row>
    <row r="79" spans="1:15" ht="78.75" x14ac:dyDescent="0.2">
      <c r="A79" s="593" t="s">
        <v>38</v>
      </c>
      <c r="B79" s="593" t="s">
        <v>81</v>
      </c>
      <c r="C79" s="593" t="s">
        <v>22</v>
      </c>
      <c r="D79" s="593" t="s">
        <v>2972</v>
      </c>
      <c r="E79" s="593" t="s">
        <v>112</v>
      </c>
      <c r="F79" s="593" t="s">
        <v>29</v>
      </c>
      <c r="G79" s="605" t="s">
        <v>17</v>
      </c>
      <c r="H79" s="605" t="s">
        <v>84</v>
      </c>
      <c r="I79" s="565" t="s">
        <v>120</v>
      </c>
      <c r="J79" s="648">
        <v>238585</v>
      </c>
      <c r="K79" s="648"/>
      <c r="L79" s="648">
        <f t="shared" si="5"/>
        <v>238585</v>
      </c>
      <c r="M79" s="648">
        <v>238585</v>
      </c>
      <c r="N79" s="648"/>
      <c r="O79" s="648">
        <f t="shared" si="6"/>
        <v>238585</v>
      </c>
    </row>
    <row r="80" spans="1:15" ht="47.25" x14ac:dyDescent="0.2">
      <c r="A80" s="593" t="s">
        <v>101</v>
      </c>
      <c r="B80" s="593" t="s">
        <v>81</v>
      </c>
      <c r="C80" s="593" t="s">
        <v>22</v>
      </c>
      <c r="D80" s="593" t="s">
        <v>2972</v>
      </c>
      <c r="E80" s="593" t="s">
        <v>112</v>
      </c>
      <c r="F80" s="593" t="s">
        <v>29</v>
      </c>
      <c r="G80" s="605" t="s">
        <v>17</v>
      </c>
      <c r="H80" s="605" t="s">
        <v>84</v>
      </c>
      <c r="I80" s="565" t="s">
        <v>131</v>
      </c>
      <c r="J80" s="648">
        <v>250000</v>
      </c>
      <c r="K80" s="648"/>
      <c r="L80" s="648">
        <f t="shared" si="5"/>
        <v>250000</v>
      </c>
      <c r="M80" s="648">
        <v>250000</v>
      </c>
      <c r="N80" s="648"/>
      <c r="O80" s="648">
        <f t="shared" si="6"/>
        <v>250000</v>
      </c>
    </row>
    <row r="81" spans="1:15" ht="63" x14ac:dyDescent="0.2">
      <c r="A81" s="593" t="s">
        <v>106</v>
      </c>
      <c r="B81" s="593" t="s">
        <v>81</v>
      </c>
      <c r="C81" s="593" t="s">
        <v>22</v>
      </c>
      <c r="D81" s="593" t="s">
        <v>2972</v>
      </c>
      <c r="E81" s="593" t="s">
        <v>112</v>
      </c>
      <c r="F81" s="593" t="s">
        <v>29</v>
      </c>
      <c r="G81" s="605" t="s">
        <v>17</v>
      </c>
      <c r="H81" s="605" t="s">
        <v>84</v>
      </c>
      <c r="I81" s="565" t="s">
        <v>111</v>
      </c>
      <c r="J81" s="648">
        <v>25931000</v>
      </c>
      <c r="K81" s="648"/>
      <c r="L81" s="648">
        <f t="shared" si="5"/>
        <v>25931000</v>
      </c>
      <c r="M81" s="648">
        <v>25931000</v>
      </c>
      <c r="N81" s="648"/>
      <c r="O81" s="648">
        <f t="shared" si="6"/>
        <v>25931000</v>
      </c>
    </row>
    <row r="82" spans="1:15" ht="141.75" x14ac:dyDescent="0.2">
      <c r="A82" s="24" t="s">
        <v>106</v>
      </c>
      <c r="B82" s="24" t="s">
        <v>81</v>
      </c>
      <c r="C82" s="24" t="s">
        <v>22</v>
      </c>
      <c r="D82" s="24" t="s">
        <v>2972</v>
      </c>
      <c r="E82" s="24" t="s">
        <v>112</v>
      </c>
      <c r="F82" s="24" t="s">
        <v>29</v>
      </c>
      <c r="G82" s="30" t="s">
        <v>17</v>
      </c>
      <c r="H82" s="30" t="s">
        <v>84</v>
      </c>
      <c r="I82" s="19" t="s">
        <v>3183</v>
      </c>
      <c r="J82" s="648">
        <v>714000</v>
      </c>
      <c r="K82" s="648"/>
      <c r="L82" s="648">
        <f t="shared" si="5"/>
        <v>714000</v>
      </c>
      <c r="M82" s="648">
        <v>714000</v>
      </c>
      <c r="N82" s="648"/>
      <c r="O82" s="648">
        <f t="shared" si="6"/>
        <v>714000</v>
      </c>
    </row>
    <row r="83" spans="1:15" ht="94.5" x14ac:dyDescent="0.2">
      <c r="A83" s="24" t="s">
        <v>106</v>
      </c>
      <c r="B83" s="24" t="s">
        <v>81</v>
      </c>
      <c r="C83" s="24" t="s">
        <v>22</v>
      </c>
      <c r="D83" s="24" t="s">
        <v>2972</v>
      </c>
      <c r="E83" s="24" t="s">
        <v>112</v>
      </c>
      <c r="F83" s="24" t="s">
        <v>29</v>
      </c>
      <c r="G83" s="30" t="s">
        <v>17</v>
      </c>
      <c r="H83" s="30" t="s">
        <v>84</v>
      </c>
      <c r="I83" s="19" t="s">
        <v>3184</v>
      </c>
      <c r="J83" s="648">
        <v>17049</v>
      </c>
      <c r="K83" s="648"/>
      <c r="L83" s="648">
        <f t="shared" si="5"/>
        <v>17049</v>
      </c>
      <c r="M83" s="648">
        <v>17049</v>
      </c>
      <c r="N83" s="648"/>
      <c r="O83" s="648">
        <f t="shared" si="6"/>
        <v>17049</v>
      </c>
    </row>
    <row r="84" spans="1:15" ht="110.25" x14ac:dyDescent="0.2">
      <c r="A84" s="593" t="s">
        <v>106</v>
      </c>
      <c r="B84" s="593" t="s">
        <v>81</v>
      </c>
      <c r="C84" s="593" t="s">
        <v>22</v>
      </c>
      <c r="D84" s="593" t="s">
        <v>2967</v>
      </c>
      <c r="E84" s="593" t="s">
        <v>3180</v>
      </c>
      <c r="F84" s="593" t="s">
        <v>29</v>
      </c>
      <c r="G84" s="605" t="s">
        <v>17</v>
      </c>
      <c r="H84" s="605" t="s">
        <v>84</v>
      </c>
      <c r="I84" s="565" t="s">
        <v>188</v>
      </c>
      <c r="J84" s="648">
        <v>29907000</v>
      </c>
      <c r="K84" s="648"/>
      <c r="L84" s="648">
        <f t="shared" si="5"/>
        <v>29907000</v>
      </c>
      <c r="M84" s="648">
        <v>29907000</v>
      </c>
      <c r="N84" s="648"/>
      <c r="O84" s="648">
        <f t="shared" si="6"/>
        <v>29907000</v>
      </c>
    </row>
    <row r="85" spans="1:15" ht="63" x14ac:dyDescent="0.2">
      <c r="A85" s="593" t="s">
        <v>86</v>
      </c>
      <c r="B85" s="593" t="s">
        <v>81</v>
      </c>
      <c r="C85" s="593" t="s">
        <v>22</v>
      </c>
      <c r="D85" s="593" t="s">
        <v>2967</v>
      </c>
      <c r="E85" s="593" t="s">
        <v>2970</v>
      </c>
      <c r="F85" s="593" t="s">
        <v>29</v>
      </c>
      <c r="G85" s="605" t="s">
        <v>17</v>
      </c>
      <c r="H85" s="605" t="s">
        <v>84</v>
      </c>
      <c r="I85" s="565" t="s">
        <v>109</v>
      </c>
      <c r="J85" s="649">
        <v>747678</v>
      </c>
      <c r="K85" s="649"/>
      <c r="L85" s="648">
        <f>SUM(J85:K85)</f>
        <v>747678</v>
      </c>
      <c r="M85" s="649">
        <v>774994</v>
      </c>
      <c r="N85" s="649"/>
      <c r="O85" s="648">
        <f>SUM(M85:N85)</f>
        <v>774994</v>
      </c>
    </row>
    <row r="86" spans="1:15" ht="126" x14ac:dyDescent="0.2">
      <c r="A86" s="593" t="s">
        <v>106</v>
      </c>
      <c r="B86" s="593" t="s">
        <v>81</v>
      </c>
      <c r="C86" s="593" t="s">
        <v>22</v>
      </c>
      <c r="D86" s="593" t="s">
        <v>2967</v>
      </c>
      <c r="E86" s="593" t="s">
        <v>2976</v>
      </c>
      <c r="F86" s="593" t="s">
        <v>29</v>
      </c>
      <c r="G86" s="605" t="s">
        <v>17</v>
      </c>
      <c r="H86" s="605" t="s">
        <v>84</v>
      </c>
      <c r="I86" s="565" t="s">
        <v>140</v>
      </c>
      <c r="J86" s="648">
        <v>1700000</v>
      </c>
      <c r="K86" s="648"/>
      <c r="L86" s="648">
        <f>SUM(J86:K86)</f>
        <v>1700000</v>
      </c>
      <c r="M86" s="648">
        <v>1768000</v>
      </c>
      <c r="N86" s="648"/>
      <c r="O86" s="648">
        <f>SUM(M86:N86)</f>
        <v>1768000</v>
      </c>
    </row>
    <row r="87" spans="1:15" ht="126" x14ac:dyDescent="0.2">
      <c r="A87" s="593" t="s">
        <v>106</v>
      </c>
      <c r="B87" s="593" t="s">
        <v>81</v>
      </c>
      <c r="C87" s="593" t="s">
        <v>22</v>
      </c>
      <c r="D87" s="593" t="s">
        <v>2967</v>
      </c>
      <c r="E87" s="593" t="s">
        <v>2969</v>
      </c>
      <c r="F87" s="593" t="s">
        <v>29</v>
      </c>
      <c r="G87" s="605" t="s">
        <v>17</v>
      </c>
      <c r="H87" s="605" t="s">
        <v>84</v>
      </c>
      <c r="I87" s="565" t="s">
        <v>108</v>
      </c>
      <c r="J87" s="649">
        <v>5699000</v>
      </c>
      <c r="K87" s="649"/>
      <c r="L87" s="648">
        <f>SUM(J87:K87)</f>
        <v>5699000</v>
      </c>
      <c r="M87" s="649">
        <v>5927000</v>
      </c>
      <c r="N87" s="649"/>
      <c r="O87" s="648">
        <f>SUM(M87:N87)</f>
        <v>5927000</v>
      </c>
    </row>
    <row r="88" spans="1:15" ht="63" x14ac:dyDescent="0.2">
      <c r="A88" s="593" t="s">
        <v>106</v>
      </c>
      <c r="B88" s="593" t="s">
        <v>81</v>
      </c>
      <c r="C88" s="593" t="s">
        <v>22</v>
      </c>
      <c r="D88" s="593" t="s">
        <v>2967</v>
      </c>
      <c r="E88" s="593" t="s">
        <v>2968</v>
      </c>
      <c r="F88" s="593" t="s">
        <v>29</v>
      </c>
      <c r="G88" s="605" t="s">
        <v>17</v>
      </c>
      <c r="H88" s="605" t="s">
        <v>84</v>
      </c>
      <c r="I88" s="565" t="s">
        <v>107</v>
      </c>
      <c r="J88" s="649">
        <v>34824000</v>
      </c>
      <c r="K88" s="649"/>
      <c r="L88" s="648">
        <f>SUM(J88:K88)</f>
        <v>34824000</v>
      </c>
      <c r="M88" s="649">
        <v>34822000</v>
      </c>
      <c r="N88" s="649"/>
      <c r="O88" s="648">
        <f>SUM(M88:N88)</f>
        <v>34822000</v>
      </c>
    </row>
    <row r="89" spans="1:15" ht="94.5" x14ac:dyDescent="0.2">
      <c r="A89" s="593" t="s">
        <v>101</v>
      </c>
      <c r="B89" s="593" t="s">
        <v>81</v>
      </c>
      <c r="C89" s="593" t="s">
        <v>22</v>
      </c>
      <c r="D89" s="593" t="s">
        <v>2967</v>
      </c>
      <c r="E89" s="593" t="s">
        <v>2971</v>
      </c>
      <c r="F89" s="593" t="s">
        <v>29</v>
      </c>
      <c r="G89" s="605" t="s">
        <v>17</v>
      </c>
      <c r="H89" s="605" t="s">
        <v>84</v>
      </c>
      <c r="I89" s="565" t="s">
        <v>110</v>
      </c>
      <c r="J89" s="648">
        <v>546807</v>
      </c>
      <c r="K89" s="648"/>
      <c r="L89" s="648">
        <f>SUM(J89:K89)</f>
        <v>546807</v>
      </c>
      <c r="M89" s="648">
        <v>547976</v>
      </c>
      <c r="N89" s="648"/>
      <c r="O89" s="648">
        <f>SUM(M89:N89)</f>
        <v>547976</v>
      </c>
    </row>
    <row r="90" spans="1:15" ht="166.5" customHeight="1" x14ac:dyDescent="0.2">
      <c r="A90" s="593" t="s">
        <v>106</v>
      </c>
      <c r="B90" s="593" t="s">
        <v>81</v>
      </c>
      <c r="C90" s="593" t="s">
        <v>22</v>
      </c>
      <c r="D90" s="593" t="s">
        <v>2967</v>
      </c>
      <c r="E90" s="593" t="s">
        <v>2973</v>
      </c>
      <c r="F90" s="593" t="s">
        <v>29</v>
      </c>
      <c r="G90" s="605" t="s">
        <v>17</v>
      </c>
      <c r="H90" s="605" t="s">
        <v>84</v>
      </c>
      <c r="I90" s="565" t="s">
        <v>136</v>
      </c>
      <c r="J90" s="648">
        <v>487000</v>
      </c>
      <c r="K90" s="648"/>
      <c r="L90" s="648">
        <f t="shared" si="5"/>
        <v>487000</v>
      </c>
      <c r="M90" s="648">
        <v>506000</v>
      </c>
      <c r="N90" s="648"/>
      <c r="O90" s="648">
        <f t="shared" si="6"/>
        <v>506000</v>
      </c>
    </row>
    <row r="91" spans="1:15" ht="145.5" customHeight="1" x14ac:dyDescent="0.2">
      <c r="A91" s="593" t="s">
        <v>106</v>
      </c>
      <c r="B91" s="593" t="s">
        <v>81</v>
      </c>
      <c r="C91" s="593" t="s">
        <v>22</v>
      </c>
      <c r="D91" s="593" t="s">
        <v>2967</v>
      </c>
      <c r="E91" s="593" t="s">
        <v>2975</v>
      </c>
      <c r="F91" s="593" t="s">
        <v>29</v>
      </c>
      <c r="G91" s="605" t="s">
        <v>17</v>
      </c>
      <c r="H91" s="605" t="s">
        <v>84</v>
      </c>
      <c r="I91" s="565" t="s">
        <v>138</v>
      </c>
      <c r="J91" s="648">
        <v>20049000</v>
      </c>
      <c r="K91" s="648"/>
      <c r="L91" s="648">
        <f t="shared" si="5"/>
        <v>20049000</v>
      </c>
      <c r="M91" s="648">
        <v>20851000</v>
      </c>
      <c r="N91" s="648"/>
      <c r="O91" s="648">
        <f t="shared" si="6"/>
        <v>20851000</v>
      </c>
    </row>
    <row r="92" spans="1:15" ht="130.5" customHeight="1" x14ac:dyDescent="0.2">
      <c r="A92" s="593" t="s">
        <v>106</v>
      </c>
      <c r="B92" s="593" t="s">
        <v>81</v>
      </c>
      <c r="C92" s="593" t="s">
        <v>22</v>
      </c>
      <c r="D92" s="593" t="s">
        <v>2967</v>
      </c>
      <c r="E92" s="593" t="s">
        <v>2975</v>
      </c>
      <c r="F92" s="593" t="s">
        <v>29</v>
      </c>
      <c r="G92" s="605" t="s">
        <v>17</v>
      </c>
      <c r="H92" s="605" t="s">
        <v>84</v>
      </c>
      <c r="I92" s="565" t="s">
        <v>139</v>
      </c>
      <c r="J92" s="648">
        <v>2133000</v>
      </c>
      <c r="K92" s="648"/>
      <c r="L92" s="648">
        <f t="shared" si="5"/>
        <v>2133000</v>
      </c>
      <c r="M92" s="648">
        <v>2218000</v>
      </c>
      <c r="N92" s="648"/>
      <c r="O92" s="648">
        <f t="shared" si="6"/>
        <v>2218000</v>
      </c>
    </row>
    <row r="93" spans="1:15" ht="86.25" customHeight="1" x14ac:dyDescent="0.2">
      <c r="A93" s="32" t="s">
        <v>106</v>
      </c>
      <c r="B93" s="32" t="s">
        <v>81</v>
      </c>
      <c r="C93" s="32" t="s">
        <v>22</v>
      </c>
      <c r="D93" s="32" t="s">
        <v>2967</v>
      </c>
      <c r="E93" s="32" t="s">
        <v>2974</v>
      </c>
      <c r="F93" s="32" t="s">
        <v>29</v>
      </c>
      <c r="G93" s="38" t="s">
        <v>17</v>
      </c>
      <c r="H93" s="38" t="s">
        <v>84</v>
      </c>
      <c r="I93" s="33" t="s">
        <v>137</v>
      </c>
      <c r="J93" s="648">
        <v>477776</v>
      </c>
      <c r="K93" s="648"/>
      <c r="L93" s="648">
        <f t="shared" si="5"/>
        <v>477776</v>
      </c>
      <c r="M93" s="648">
        <v>477776</v>
      </c>
      <c r="N93" s="648"/>
      <c r="O93" s="648">
        <f t="shared" si="6"/>
        <v>477776</v>
      </c>
    </row>
    <row r="94" spans="1:15" s="653" customFormat="1" ht="86.25" customHeight="1" x14ac:dyDescent="0.2">
      <c r="A94" s="654" t="s">
        <v>38</v>
      </c>
      <c r="B94" s="654" t="s">
        <v>81</v>
      </c>
      <c r="C94" s="654" t="s">
        <v>22</v>
      </c>
      <c r="D94" s="654" t="s">
        <v>2967</v>
      </c>
      <c r="E94" s="654" t="s">
        <v>3185</v>
      </c>
      <c r="F94" s="654" t="s">
        <v>29</v>
      </c>
      <c r="G94" s="655" t="s">
        <v>17</v>
      </c>
      <c r="H94" s="655" t="s">
        <v>84</v>
      </c>
      <c r="I94" s="656" t="s">
        <v>3215</v>
      </c>
      <c r="J94" s="648">
        <v>3429212</v>
      </c>
      <c r="K94" s="648"/>
      <c r="L94" s="648">
        <f t="shared" si="5"/>
        <v>3429212</v>
      </c>
      <c r="M94" s="648">
        <v>2596404</v>
      </c>
      <c r="N94" s="648"/>
      <c r="O94" s="648">
        <f t="shared" si="6"/>
        <v>2596404</v>
      </c>
    </row>
    <row r="95" spans="1:15" ht="98.25" hidden="1" customHeight="1" x14ac:dyDescent="0.2">
      <c r="A95" s="589" t="s">
        <v>14</v>
      </c>
      <c r="B95" s="589" t="s">
        <v>81</v>
      </c>
      <c r="C95" s="589" t="s">
        <v>22</v>
      </c>
      <c r="D95" s="589" t="s">
        <v>33</v>
      </c>
      <c r="E95" s="589" t="s">
        <v>14</v>
      </c>
      <c r="F95" s="589" t="s">
        <v>16</v>
      </c>
      <c r="G95" s="603" t="s">
        <v>17</v>
      </c>
      <c r="H95" s="603" t="s">
        <v>84</v>
      </c>
      <c r="I95" s="604" t="s">
        <v>141</v>
      </c>
      <c r="J95" s="651">
        <f>J96</f>
        <v>0</v>
      </c>
      <c r="K95" s="651">
        <f>K96</f>
        <v>0</v>
      </c>
      <c r="L95" s="648">
        <f t="shared" si="5"/>
        <v>0</v>
      </c>
      <c r="M95" s="651">
        <f>M96</f>
        <v>0</v>
      </c>
      <c r="N95" s="651">
        <f>N96</f>
        <v>0</v>
      </c>
      <c r="O95" s="648">
        <f t="shared" si="6"/>
        <v>0</v>
      </c>
    </row>
    <row r="96" spans="1:15" ht="129" hidden="1" customHeight="1" x14ac:dyDescent="0.2">
      <c r="A96" s="593" t="s">
        <v>86</v>
      </c>
      <c r="B96" s="593" t="s">
        <v>93</v>
      </c>
      <c r="C96" s="593" t="s">
        <v>22</v>
      </c>
      <c r="D96" s="593" t="s">
        <v>33</v>
      </c>
      <c r="E96" s="593" t="s">
        <v>143</v>
      </c>
      <c r="F96" s="593" t="s">
        <v>29</v>
      </c>
      <c r="G96" s="605" t="s">
        <v>144</v>
      </c>
      <c r="H96" s="605" t="s">
        <v>84</v>
      </c>
      <c r="I96" s="565" t="s">
        <v>145</v>
      </c>
      <c r="J96" s="652">
        <v>0</v>
      </c>
      <c r="K96" s="652"/>
      <c r="L96" s="648">
        <f t="shared" si="5"/>
        <v>0</v>
      </c>
      <c r="M96" s="648">
        <v>0</v>
      </c>
      <c r="N96" s="648"/>
      <c r="O96" s="648">
        <f t="shared" si="6"/>
        <v>0</v>
      </c>
    </row>
    <row r="97" spans="1:15" ht="23.25" customHeight="1" x14ac:dyDescent="0.2">
      <c r="A97" s="593"/>
      <c r="B97" s="593"/>
      <c r="C97" s="593"/>
      <c r="D97" s="593"/>
      <c r="E97" s="593"/>
      <c r="F97" s="593"/>
      <c r="G97" s="605"/>
      <c r="H97" s="605"/>
      <c r="I97" s="591" t="s">
        <v>177</v>
      </c>
      <c r="J97" s="592">
        <f>J11+J42</f>
        <v>1551579336</v>
      </c>
      <c r="K97" s="592">
        <f>K11+K42</f>
        <v>0</v>
      </c>
      <c r="L97" s="592">
        <f t="shared" si="5"/>
        <v>1551579336</v>
      </c>
      <c r="M97" s="592">
        <f>M11+M42</f>
        <v>1345245013</v>
      </c>
      <c r="N97" s="592">
        <f>N11+N42</f>
        <v>0</v>
      </c>
      <c r="O97" s="592">
        <f t="shared" si="6"/>
        <v>1345245013</v>
      </c>
    </row>
    <row r="98" spans="1:15" ht="252.75" customHeight="1" x14ac:dyDescent="0.2">
      <c r="A98" s="42"/>
      <c r="B98" s="42"/>
      <c r="C98" s="42"/>
      <c r="D98" s="42"/>
      <c r="E98" s="42"/>
      <c r="F98" s="42"/>
      <c r="G98" s="43"/>
      <c r="H98" s="43"/>
      <c r="I98" s="40"/>
    </row>
    <row r="99" spans="1:15" ht="15.75" x14ac:dyDescent="0.2">
      <c r="A99" s="44"/>
      <c r="B99" s="44"/>
      <c r="C99" s="44"/>
      <c r="D99" s="44"/>
      <c r="E99" s="44"/>
      <c r="F99" s="44"/>
      <c r="G99" s="45"/>
      <c r="H99" s="45"/>
      <c r="I99" s="46"/>
    </row>
    <row r="100" spans="1:15" ht="25.5" customHeight="1" x14ac:dyDescent="0.2">
      <c r="A100" s="42"/>
      <c r="B100" s="42"/>
      <c r="C100" s="42"/>
      <c r="D100" s="42"/>
      <c r="E100" s="42"/>
      <c r="F100" s="42"/>
      <c r="G100" s="43"/>
      <c r="H100" s="43"/>
      <c r="I100" s="40"/>
    </row>
    <row r="101" spans="1:15" ht="79.5" customHeight="1" x14ac:dyDescent="0.2">
      <c r="A101" s="42"/>
      <c r="B101" s="42"/>
      <c r="C101" s="42"/>
      <c r="D101" s="42"/>
      <c r="E101" s="42"/>
      <c r="F101" s="42"/>
      <c r="G101" s="43"/>
      <c r="H101" s="43"/>
      <c r="I101" s="40"/>
    </row>
    <row r="102" spans="1:15" ht="54.75" customHeight="1" x14ac:dyDescent="0.2">
      <c r="A102" s="42"/>
      <c r="B102" s="42"/>
      <c r="C102" s="42"/>
      <c r="D102" s="42"/>
      <c r="E102" s="42"/>
      <c r="F102" s="42"/>
      <c r="G102" s="43"/>
      <c r="H102" s="43"/>
      <c r="I102" s="40"/>
    </row>
    <row r="103" spans="1:15" ht="95.25" customHeight="1" x14ac:dyDescent="0.2">
      <c r="A103" s="42"/>
      <c r="B103" s="42"/>
      <c r="C103" s="42"/>
      <c r="D103" s="42"/>
      <c r="E103" s="42"/>
      <c r="F103" s="42"/>
      <c r="G103" s="43"/>
      <c r="H103" s="43"/>
      <c r="I103" s="47"/>
    </row>
    <row r="104" spans="1:15" ht="16.5" customHeight="1" x14ac:dyDescent="0.25">
      <c r="A104" s="48"/>
      <c r="B104" s="48"/>
      <c r="C104" s="48"/>
      <c r="D104" s="48"/>
      <c r="E104" s="48"/>
      <c r="F104" s="48"/>
      <c r="G104" s="48"/>
      <c r="H104" s="48"/>
      <c r="I104" s="49"/>
    </row>
  </sheetData>
  <mergeCells count="16">
    <mergeCell ref="M9:M10"/>
    <mergeCell ref="A6:O6"/>
    <mergeCell ref="K9:K10"/>
    <mergeCell ref="L9:L10"/>
    <mergeCell ref="N9:N10"/>
    <mergeCell ref="O9:O10"/>
    <mergeCell ref="I7:K7"/>
    <mergeCell ref="I8:K8"/>
    <mergeCell ref="A9:H9"/>
    <mergeCell ref="I9:I10"/>
    <mergeCell ref="J9:J10"/>
    <mergeCell ref="I5:K5"/>
    <mergeCell ref="A1:O1"/>
    <mergeCell ref="A2:O2"/>
    <mergeCell ref="A3:O3"/>
    <mergeCell ref="A4:O4"/>
  </mergeCells>
  <printOptions gridLinesSet="0"/>
  <pageMargins left="0.70866141732283472" right="0.70866141732283472" top="0.74803149606299213" bottom="0.74803149606299213" header="0.51181102362204722" footer="0.51181102362204722"/>
  <pageSetup paperSize="9" scale="58"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ColWidth="9.140625" defaultRowHeight="15.75" x14ac:dyDescent="0.25"/>
  <cols>
    <col min="1" max="1" width="4.140625" style="309" customWidth="1"/>
    <col min="2" max="2" width="55.140625" style="309" customWidth="1"/>
    <col min="3" max="4" width="13.5703125" style="309" customWidth="1"/>
    <col min="5" max="7" width="9.140625" style="309"/>
    <col min="8" max="8" width="43.42578125" style="309" customWidth="1"/>
    <col min="9" max="16384" width="9.140625" style="309"/>
  </cols>
  <sheetData>
    <row r="1" spans="1:4" x14ac:dyDescent="0.25">
      <c r="A1" s="35"/>
      <c r="B1" s="868" t="s">
        <v>1034</v>
      </c>
      <c r="C1" s="868"/>
      <c r="D1" s="868"/>
    </row>
    <row r="2" spans="1:4" x14ac:dyDescent="0.25">
      <c r="A2" s="35"/>
      <c r="B2" s="868" t="s">
        <v>1</v>
      </c>
      <c r="C2" s="868"/>
      <c r="D2" s="868"/>
    </row>
    <row r="3" spans="1:4" x14ac:dyDescent="0.25">
      <c r="A3" s="35"/>
      <c r="B3" s="868" t="s">
        <v>2</v>
      </c>
      <c r="C3" s="868"/>
      <c r="D3" s="868"/>
    </row>
    <row r="4" spans="1:4" x14ac:dyDescent="0.25">
      <c r="A4" s="35"/>
      <c r="B4" s="868" t="s">
        <v>547</v>
      </c>
      <c r="C4" s="868"/>
      <c r="D4" s="868"/>
    </row>
    <row r="5" spans="1:4" ht="6.75" customHeight="1" x14ac:dyDescent="0.25">
      <c r="A5" s="35"/>
      <c r="B5" s="5"/>
      <c r="C5" s="35"/>
      <c r="D5" s="35"/>
    </row>
    <row r="6" spans="1:4" hidden="1" x14ac:dyDescent="0.25">
      <c r="A6" s="35"/>
      <c r="B6" s="35"/>
      <c r="C6" s="35"/>
      <c r="D6" s="35"/>
    </row>
    <row r="7" spans="1:4" ht="48.75" customHeight="1" x14ac:dyDescent="0.25">
      <c r="A7" s="869" t="s">
        <v>1035</v>
      </c>
      <c r="B7" s="869"/>
      <c r="C7" s="869"/>
      <c r="D7" s="889"/>
    </row>
    <row r="8" spans="1:4" ht="60" customHeight="1" x14ac:dyDescent="0.25">
      <c r="A8" s="983" t="s">
        <v>1036</v>
      </c>
      <c r="B8" s="983"/>
      <c r="C8" s="983"/>
      <c r="D8" s="983"/>
    </row>
    <row r="9" spans="1:4" ht="31.5" x14ac:dyDescent="0.25">
      <c r="A9" s="867" t="s">
        <v>1012</v>
      </c>
      <c r="B9" s="867"/>
      <c r="C9" s="9" t="s">
        <v>998</v>
      </c>
      <c r="D9" s="9" t="s">
        <v>999</v>
      </c>
    </row>
    <row r="10" spans="1:4" x14ac:dyDescent="0.25">
      <c r="A10" s="993" t="s">
        <v>1037</v>
      </c>
      <c r="B10" s="994"/>
      <c r="C10" s="234">
        <v>10400000</v>
      </c>
      <c r="D10" s="234">
        <v>6200000</v>
      </c>
    </row>
    <row r="11" spans="1:4" x14ac:dyDescent="0.25">
      <c r="A11" s="995" t="s">
        <v>177</v>
      </c>
      <c r="B11" s="996"/>
      <c r="C11" s="310">
        <f>C10</f>
        <v>10400000</v>
      </c>
      <c r="D11" s="310">
        <f>D10</f>
        <v>6200000</v>
      </c>
    </row>
    <row r="12" spans="1:4" ht="12.75" customHeight="1" x14ac:dyDescent="0.25">
      <c r="A12" s="997" t="s">
        <v>1038</v>
      </c>
      <c r="B12" s="997"/>
      <c r="C12" s="997"/>
      <c r="D12" s="997"/>
    </row>
    <row r="13" spans="1:4" ht="27.75" customHeight="1" x14ac:dyDescent="0.25">
      <c r="A13" s="983"/>
      <c r="B13" s="983"/>
      <c r="C13" s="983"/>
      <c r="D13" s="983"/>
    </row>
    <row r="14" spans="1:4" ht="31.5" x14ac:dyDescent="0.25">
      <c r="A14" s="867" t="s">
        <v>1012</v>
      </c>
      <c r="B14" s="867"/>
      <c r="C14" s="9" t="s">
        <v>998</v>
      </c>
      <c r="D14" s="9" t="s">
        <v>999</v>
      </c>
    </row>
    <row r="15" spans="1:4" x14ac:dyDescent="0.25">
      <c r="A15" s="993" t="s">
        <v>1039</v>
      </c>
      <c r="B15" s="994"/>
      <c r="C15" s="262">
        <v>1000000</v>
      </c>
      <c r="D15" s="262">
        <v>1500000</v>
      </c>
    </row>
    <row r="16" spans="1:4" x14ac:dyDescent="0.25">
      <c r="A16" s="993" t="s">
        <v>1040</v>
      </c>
      <c r="B16" s="994"/>
      <c r="C16" s="262">
        <v>500000</v>
      </c>
      <c r="D16" s="262">
        <v>500000</v>
      </c>
    </row>
    <row r="17" spans="1:4" x14ac:dyDescent="0.25">
      <c r="A17" s="993" t="s">
        <v>1041</v>
      </c>
      <c r="B17" s="994"/>
      <c r="C17" s="234">
        <v>1500000</v>
      </c>
      <c r="D17" s="234">
        <v>1500000</v>
      </c>
    </row>
    <row r="18" spans="1:4" x14ac:dyDescent="0.25">
      <c r="A18" s="993" t="s">
        <v>1037</v>
      </c>
      <c r="B18" s="994"/>
      <c r="C18" s="234">
        <v>18000000</v>
      </c>
      <c r="D18" s="234">
        <v>19500000</v>
      </c>
    </row>
    <row r="19" spans="1:4" x14ac:dyDescent="0.25">
      <c r="A19" s="998" t="s">
        <v>177</v>
      </c>
      <c r="B19" s="998"/>
      <c r="C19" s="23">
        <f>SUM(C15:C18)</f>
        <v>21000000</v>
      </c>
      <c r="D19" s="23">
        <f>SUM(D15:D18)</f>
        <v>23000000</v>
      </c>
    </row>
    <row r="20" spans="1:4" x14ac:dyDescent="0.25">
      <c r="A20" s="997"/>
      <c r="B20" s="997"/>
      <c r="C20" s="997"/>
      <c r="D20" s="999"/>
    </row>
    <row r="21" spans="1:4" ht="51" customHeight="1" x14ac:dyDescent="0.25">
      <c r="A21" s="983" t="s">
        <v>1042</v>
      </c>
      <c r="B21" s="983"/>
      <c r="C21" s="983"/>
      <c r="D21" s="983"/>
    </row>
    <row r="22" spans="1:4" ht="31.5" x14ac:dyDescent="0.25">
      <c r="A22" s="867" t="s">
        <v>1012</v>
      </c>
      <c r="B22" s="867"/>
      <c r="C22" s="9" t="s">
        <v>998</v>
      </c>
      <c r="D22" s="9" t="s">
        <v>999</v>
      </c>
    </row>
    <row r="23" spans="1:4" x14ac:dyDescent="0.25">
      <c r="A23" s="993" t="s">
        <v>1037</v>
      </c>
      <c r="B23" s="994"/>
      <c r="C23" s="234">
        <v>1000000</v>
      </c>
      <c r="D23" s="234">
        <v>2793765</v>
      </c>
    </row>
    <row r="24" spans="1:4" x14ac:dyDescent="0.25">
      <c r="A24" s="995" t="s">
        <v>177</v>
      </c>
      <c r="B24" s="996"/>
      <c r="C24" s="310">
        <f>C23</f>
        <v>1000000</v>
      </c>
      <c r="D24" s="310">
        <f>D23</f>
        <v>2793765</v>
      </c>
    </row>
    <row r="25" spans="1:4" x14ac:dyDescent="0.25">
      <c r="A25" s="311"/>
      <c r="B25" s="311"/>
      <c r="C25" s="311"/>
      <c r="D25" s="312"/>
    </row>
    <row r="26" spans="1:4" x14ac:dyDescent="0.25">
      <c r="A26" s="997" t="s">
        <v>1043</v>
      </c>
      <c r="B26" s="997"/>
      <c r="C26" s="997"/>
      <c r="D26" s="997"/>
    </row>
    <row r="27" spans="1:4" ht="54.75" customHeight="1" x14ac:dyDescent="0.25">
      <c r="A27" s="983"/>
      <c r="B27" s="983"/>
      <c r="C27" s="983"/>
      <c r="D27" s="983"/>
    </row>
    <row r="28" spans="1:4" ht="31.5" x14ac:dyDescent="0.25">
      <c r="A28" s="867" t="s">
        <v>1012</v>
      </c>
      <c r="B28" s="867"/>
      <c r="C28" s="9" t="s">
        <v>998</v>
      </c>
      <c r="D28" s="9" t="s">
        <v>999</v>
      </c>
    </row>
    <row r="29" spans="1:4" x14ac:dyDescent="0.25">
      <c r="A29" s="993" t="s">
        <v>1015</v>
      </c>
      <c r="B29" s="994"/>
      <c r="C29" s="262">
        <v>1424800</v>
      </c>
      <c r="D29" s="262">
        <v>0</v>
      </c>
    </row>
    <row r="30" spans="1:4" x14ac:dyDescent="0.25">
      <c r="A30" s="998" t="s">
        <v>177</v>
      </c>
      <c r="B30" s="998"/>
      <c r="C30" s="23">
        <f>SUM(C29:C29)</f>
        <v>1424800</v>
      </c>
      <c r="D30" s="23">
        <f>SUM(D29:D29)</f>
        <v>0</v>
      </c>
    </row>
    <row r="31" spans="1:4" ht="15.75" customHeight="1" x14ac:dyDescent="0.25">
      <c r="A31" s="998" t="s">
        <v>901</v>
      </c>
      <c r="B31" s="998"/>
      <c r="C31" s="313">
        <f>C11+C19+C24+C30</f>
        <v>33824800</v>
      </c>
      <c r="D31" s="313">
        <f>D11+D19+D24+D30</f>
        <v>31993765</v>
      </c>
    </row>
  </sheetData>
  <mergeCells count="26">
    <mergeCell ref="A31:B31"/>
    <mergeCell ref="A24:B24"/>
    <mergeCell ref="A26:D27"/>
    <mergeCell ref="A28:B28"/>
    <mergeCell ref="A29:B29"/>
    <mergeCell ref="A30:B30"/>
    <mergeCell ref="A19:B19"/>
    <mergeCell ref="A20:D20"/>
    <mergeCell ref="A21:D21"/>
    <mergeCell ref="A22:B22"/>
    <mergeCell ref="A23:B23"/>
    <mergeCell ref="A14:B14"/>
    <mergeCell ref="A15:B15"/>
    <mergeCell ref="A16:B16"/>
    <mergeCell ref="A17:B17"/>
    <mergeCell ref="A18:B18"/>
    <mergeCell ref="A8:D8"/>
    <mergeCell ref="A9:B9"/>
    <mergeCell ref="A10:B10"/>
    <mergeCell ref="A11:B11"/>
    <mergeCell ref="A12:D13"/>
    <mergeCell ref="B1:D1"/>
    <mergeCell ref="B2:D2"/>
    <mergeCell ref="B3:D3"/>
    <mergeCell ref="B4:D4"/>
    <mergeCell ref="A7:D7"/>
  </mergeCells>
  <printOptions gridLinesSet="0"/>
  <pageMargins left="0.70866141732283472" right="0.70866141732283472" top="0.74803149606299213" bottom="0.74803149606299213" header="0.5" footer="0.5"/>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2.75" x14ac:dyDescent="0.2"/>
  <cols>
    <col min="1" max="1" width="64" customWidth="1"/>
    <col min="2" max="2" width="12.85546875" hidden="1" customWidth="1"/>
    <col min="3" max="3" width="13.28515625" hidden="1" customWidth="1"/>
    <col min="4" max="4" width="18" customWidth="1"/>
    <col min="8" max="8" width="43.42578125" customWidth="1"/>
  </cols>
  <sheetData>
    <row r="1" spans="1:4" ht="15.75" x14ac:dyDescent="0.25">
      <c r="A1" s="868" t="s">
        <v>1044</v>
      </c>
      <c r="B1" s="868"/>
      <c r="C1" s="868"/>
      <c r="D1" s="868"/>
    </row>
    <row r="2" spans="1:4" ht="15.75" x14ac:dyDescent="0.25">
      <c r="A2" s="868" t="s">
        <v>1</v>
      </c>
      <c r="B2" s="868"/>
      <c r="C2" s="868"/>
      <c r="D2" s="868"/>
    </row>
    <row r="3" spans="1:4" ht="15.75" x14ac:dyDescent="0.25">
      <c r="A3" s="868" t="s">
        <v>2</v>
      </c>
      <c r="B3" s="868"/>
      <c r="C3" s="868"/>
      <c r="D3" s="868"/>
    </row>
    <row r="4" spans="1:4" ht="15.75" x14ac:dyDescent="0.25">
      <c r="A4" s="868" t="s">
        <v>547</v>
      </c>
      <c r="B4" s="868"/>
      <c r="C4" s="868"/>
      <c r="D4" s="868"/>
    </row>
    <row r="5" spans="1:4" x14ac:dyDescent="0.2">
      <c r="A5" s="83"/>
      <c r="B5" s="83"/>
      <c r="C5" s="83"/>
    </row>
    <row r="7" spans="1:4" ht="49.5" customHeight="1" x14ac:dyDescent="0.2">
      <c r="A7" s="869" t="s">
        <v>1045</v>
      </c>
      <c r="B7" s="869"/>
      <c r="C7" s="869"/>
      <c r="D7" s="869"/>
    </row>
    <row r="8" spans="1:4" ht="49.5" customHeight="1" x14ac:dyDescent="0.2">
      <c r="A8" s="8"/>
      <c r="B8" s="8"/>
      <c r="C8" s="8"/>
    </row>
    <row r="9" spans="1:4" ht="38.25" customHeight="1" x14ac:dyDescent="0.2">
      <c r="A9" s="869" t="s">
        <v>1046</v>
      </c>
      <c r="B9" s="869"/>
      <c r="C9" s="869"/>
      <c r="D9" s="869"/>
    </row>
    <row r="10" spans="1:4" ht="18.75" x14ac:dyDescent="0.2">
      <c r="A10" s="7"/>
      <c r="B10" s="7"/>
      <c r="C10" s="7"/>
    </row>
    <row r="11" spans="1:4" ht="18.75" x14ac:dyDescent="0.2">
      <c r="A11" s="7"/>
      <c r="B11" s="7"/>
      <c r="C11" s="7"/>
    </row>
    <row r="12" spans="1:4" ht="31.5" x14ac:dyDescent="0.2">
      <c r="A12" s="314" t="s">
        <v>1012</v>
      </c>
      <c r="B12" s="315" t="s">
        <v>1047</v>
      </c>
      <c r="C12" s="315" t="s">
        <v>1048</v>
      </c>
      <c r="D12" s="9" t="s">
        <v>1049</v>
      </c>
    </row>
    <row r="13" spans="1:4" ht="15.75" x14ac:dyDescent="0.25">
      <c r="A13" s="316" t="s">
        <v>1015</v>
      </c>
      <c r="B13" s="317">
        <v>59000</v>
      </c>
      <c r="C13" s="317"/>
      <c r="D13" s="318">
        <f>B13+C13</f>
        <v>59000</v>
      </c>
    </row>
    <row r="14" spans="1:4" ht="15.75" x14ac:dyDescent="0.25">
      <c r="A14" s="316" t="s">
        <v>1050</v>
      </c>
      <c r="B14" s="317">
        <v>59000</v>
      </c>
      <c r="C14" s="317"/>
      <c r="D14" s="318">
        <f>B14+C14</f>
        <v>59000</v>
      </c>
    </row>
    <row r="15" spans="1:4" ht="15.75" x14ac:dyDescent="0.25">
      <c r="A15" s="316" t="s">
        <v>1040</v>
      </c>
      <c r="B15" s="317">
        <v>388000</v>
      </c>
      <c r="C15" s="317"/>
      <c r="D15" s="318">
        <f>B15+C15</f>
        <v>388000</v>
      </c>
    </row>
    <row r="16" spans="1:4" ht="15.75" x14ac:dyDescent="0.25">
      <c r="A16" s="316" t="s">
        <v>1016</v>
      </c>
      <c r="B16" s="317">
        <v>194000</v>
      </c>
      <c r="C16" s="317"/>
      <c r="D16" s="318">
        <f>B16+C16</f>
        <v>194000</v>
      </c>
    </row>
    <row r="17" spans="1:4" ht="15.75" x14ac:dyDescent="0.25">
      <c r="A17" s="319" t="s">
        <v>177</v>
      </c>
      <c r="B17" s="320">
        <v>700000</v>
      </c>
      <c r="C17" s="320">
        <f>SUM(C13:C16)</f>
        <v>0</v>
      </c>
      <c r="D17" s="321">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ColWidth="9.140625" defaultRowHeight="15.75" x14ac:dyDescent="0.25"/>
  <cols>
    <col min="1" max="1" width="59" style="322" customWidth="1"/>
    <col min="2" max="3" width="0" style="322" hidden="1" customWidth="1"/>
    <col min="4" max="4" width="14.85546875" style="322" customWidth="1"/>
    <col min="5" max="5" width="14.42578125" style="322" customWidth="1"/>
    <col min="6" max="7" width="9.140625" style="322"/>
    <col min="8" max="8" width="43.42578125" style="322" customWidth="1"/>
    <col min="9" max="16384" width="9.140625" style="322"/>
  </cols>
  <sheetData>
    <row r="1" spans="1:5" x14ac:dyDescent="0.25">
      <c r="A1" s="868" t="s">
        <v>1051</v>
      </c>
      <c r="B1" s="868"/>
      <c r="C1" s="868"/>
      <c r="D1" s="868"/>
      <c r="E1" s="868"/>
    </row>
    <row r="2" spans="1:5" x14ac:dyDescent="0.25">
      <c r="A2" s="868" t="s">
        <v>1</v>
      </c>
      <c r="B2" s="868"/>
      <c r="C2" s="868"/>
      <c r="D2" s="868"/>
      <c r="E2" s="868"/>
    </row>
    <row r="3" spans="1:5" x14ac:dyDescent="0.25">
      <c r="A3" s="868" t="s">
        <v>2</v>
      </c>
      <c r="B3" s="868"/>
      <c r="C3" s="868"/>
      <c r="D3" s="868"/>
      <c r="E3" s="868"/>
    </row>
    <row r="4" spans="1:5" x14ac:dyDescent="0.25">
      <c r="A4" s="868" t="s">
        <v>547</v>
      </c>
      <c r="B4" s="868"/>
      <c r="C4" s="868"/>
      <c r="D4" s="868"/>
      <c r="E4" s="868"/>
    </row>
    <row r="5" spans="1:5" x14ac:dyDescent="0.25">
      <c r="A5" s="5"/>
      <c r="B5" s="5"/>
      <c r="C5" s="5"/>
      <c r="D5" s="35"/>
      <c r="E5" s="49"/>
    </row>
    <row r="6" spans="1:5" x14ac:dyDescent="0.25">
      <c r="A6" s="35"/>
      <c r="B6" s="35"/>
      <c r="C6" s="35"/>
      <c r="D6" s="35"/>
      <c r="E6" s="49"/>
    </row>
    <row r="7" spans="1:5" ht="42" customHeight="1" x14ac:dyDescent="0.25">
      <c r="A7" s="869" t="s">
        <v>1052</v>
      </c>
      <c r="B7" s="869"/>
      <c r="C7" s="869"/>
      <c r="D7" s="869"/>
      <c r="E7" s="889"/>
    </row>
    <row r="8" spans="1:5" x14ac:dyDescent="0.25">
      <c r="A8" s="6"/>
      <c r="B8" s="6"/>
      <c r="C8" s="6"/>
      <c r="D8" s="35"/>
      <c r="E8" s="49"/>
    </row>
    <row r="9" spans="1:5" ht="32.25" customHeight="1" x14ac:dyDescent="0.25">
      <c r="A9" s="869" t="s">
        <v>1046</v>
      </c>
      <c r="B9" s="869"/>
      <c r="C9" s="869"/>
      <c r="D9" s="869"/>
      <c r="E9" s="1000"/>
    </row>
    <row r="10" spans="1:5" x14ac:dyDescent="0.25">
      <c r="A10" s="323"/>
      <c r="B10" s="323"/>
      <c r="C10" s="323"/>
      <c r="D10" s="35"/>
      <c r="E10" s="49"/>
    </row>
    <row r="11" spans="1:5" hidden="1" x14ac:dyDescent="0.25">
      <c r="A11" s="323"/>
      <c r="B11" s="323"/>
      <c r="C11" s="323"/>
      <c r="D11" s="35"/>
      <c r="E11" s="49"/>
    </row>
    <row r="12" spans="1:5" ht="47.25" x14ac:dyDescent="0.25">
      <c r="A12" s="314" t="s">
        <v>1012</v>
      </c>
      <c r="B12" s="315" t="s">
        <v>1053</v>
      </c>
      <c r="C12" s="315" t="s">
        <v>1048</v>
      </c>
      <c r="D12" s="9" t="s">
        <v>998</v>
      </c>
      <c r="E12" s="9" t="s">
        <v>999</v>
      </c>
    </row>
    <row r="13" spans="1:5" x14ac:dyDescent="0.25">
      <c r="A13" s="316" t="s">
        <v>1015</v>
      </c>
      <c r="B13" s="324"/>
      <c r="C13" s="324"/>
      <c r="D13" s="325">
        <v>60000</v>
      </c>
      <c r="E13" s="325">
        <v>60000</v>
      </c>
    </row>
    <row r="14" spans="1:5" x14ac:dyDescent="0.25">
      <c r="A14" s="316" t="s">
        <v>1050</v>
      </c>
      <c r="B14" s="324"/>
      <c r="C14" s="324"/>
      <c r="D14" s="325">
        <v>60000</v>
      </c>
      <c r="E14" s="325">
        <v>60000</v>
      </c>
    </row>
    <row r="15" spans="1:5" x14ac:dyDescent="0.25">
      <c r="A15" s="316" t="s">
        <v>1040</v>
      </c>
      <c r="B15" s="324"/>
      <c r="C15" s="324"/>
      <c r="D15" s="325">
        <v>388000</v>
      </c>
      <c r="E15" s="325">
        <v>388000</v>
      </c>
    </row>
    <row r="16" spans="1:5" x14ac:dyDescent="0.25">
      <c r="A16" s="316" t="s">
        <v>1016</v>
      </c>
      <c r="B16" s="324"/>
      <c r="C16" s="324"/>
      <c r="D16" s="325">
        <v>194000</v>
      </c>
      <c r="E16" s="325">
        <v>194000</v>
      </c>
    </row>
    <row r="17" spans="1:5" x14ac:dyDescent="0.25">
      <c r="A17" s="319" t="s">
        <v>177</v>
      </c>
      <c r="B17" s="326">
        <f>SUM(B13:B16)</f>
        <v>0</v>
      </c>
      <c r="C17" s="326">
        <f>SUM(C13:C16)</f>
        <v>0</v>
      </c>
      <c r="D17" s="327">
        <f>SUM(D13:D16)</f>
        <v>702000</v>
      </c>
      <c r="E17" s="327">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heetViews>
  <sheetFormatPr defaultColWidth="9.140625" defaultRowHeight="12.75" x14ac:dyDescent="0.2"/>
  <cols>
    <col min="1" max="1" width="4.42578125" style="128" customWidth="1"/>
    <col min="2" max="2" width="43.28515625" style="128" customWidth="1"/>
    <col min="3" max="3" width="11.7109375" style="128" hidden="1" customWidth="1"/>
    <col min="4" max="4" width="12.7109375" style="128" hidden="1" customWidth="1"/>
    <col min="5" max="5" width="17.5703125" style="128" customWidth="1"/>
    <col min="6" max="16384" width="9.140625" style="128"/>
  </cols>
  <sheetData>
    <row r="1" spans="1:5" ht="18.75" x14ac:dyDescent="0.3">
      <c r="A1" s="1001" t="s">
        <v>1054</v>
      </c>
      <c r="B1" s="1002"/>
      <c r="C1" s="1002"/>
      <c r="D1" s="1003"/>
      <c r="E1" s="1003"/>
    </row>
    <row r="2" spans="1:5" ht="18.75" x14ac:dyDescent="0.3">
      <c r="A2" s="1001" t="s">
        <v>1</v>
      </c>
      <c r="B2" s="1002"/>
      <c r="C2" s="1002"/>
      <c r="D2" s="1003"/>
      <c r="E2" s="1003"/>
    </row>
    <row r="3" spans="1:5" ht="18.75" x14ac:dyDescent="0.3">
      <c r="A3" s="1001" t="s">
        <v>2</v>
      </c>
      <c r="B3" s="1002"/>
      <c r="C3" s="1002"/>
      <c r="D3" s="1003"/>
      <c r="E3" s="1003"/>
    </row>
    <row r="4" spans="1:5" ht="18.75" x14ac:dyDescent="0.3">
      <c r="A4" s="1001" t="s">
        <v>1055</v>
      </c>
      <c r="B4" s="1002"/>
      <c r="C4" s="1002"/>
      <c r="D4" s="1003"/>
      <c r="E4" s="1003"/>
    </row>
    <row r="5" spans="1:5" ht="18.75" x14ac:dyDescent="0.3">
      <c r="A5" s="328"/>
      <c r="D5" s="81"/>
      <c r="E5" s="81"/>
    </row>
    <row r="6" spans="1:5" ht="59.25" customHeight="1" x14ac:dyDescent="0.3">
      <c r="A6" s="986" t="s">
        <v>1056</v>
      </c>
      <c r="B6" s="1004"/>
      <c r="C6" s="1004"/>
      <c r="D6" s="1005"/>
      <c r="E6" s="1005"/>
    </row>
    <row r="7" spans="1:5" ht="18.75" x14ac:dyDescent="0.3">
      <c r="A7" s="328"/>
      <c r="D7" s="81"/>
      <c r="E7" s="81"/>
    </row>
    <row r="8" spans="1:5" ht="12.75" customHeight="1" x14ac:dyDescent="0.2">
      <c r="A8" s="1008" t="s">
        <v>903</v>
      </c>
      <c r="B8" s="1010" t="s">
        <v>1057</v>
      </c>
      <c r="C8" s="1006" t="s">
        <v>1058</v>
      </c>
      <c r="D8" s="1006" t="s">
        <v>997</v>
      </c>
      <c r="E8" s="1006" t="s">
        <v>192</v>
      </c>
    </row>
    <row r="9" spans="1:5" ht="13.5" customHeight="1" x14ac:dyDescent="0.2">
      <c r="A9" s="1009"/>
      <c r="B9" s="1011"/>
      <c r="C9" s="1007"/>
      <c r="D9" s="1007"/>
      <c r="E9" s="1007"/>
    </row>
    <row r="10" spans="1:5" ht="47.25" customHeight="1" x14ac:dyDescent="0.25">
      <c r="A10" s="330">
        <v>1</v>
      </c>
      <c r="B10" s="331" t="s">
        <v>1059</v>
      </c>
      <c r="C10" s="332">
        <f>605000+337500+45000+120400</f>
        <v>1107900</v>
      </c>
      <c r="D10" s="333"/>
      <c r="E10" s="332">
        <f t="shared" ref="E10:E23" si="0">SUM(C10:D10)</f>
        <v>1107900</v>
      </c>
    </row>
    <row r="11" spans="1:5" ht="51.75" customHeight="1" x14ac:dyDescent="0.25">
      <c r="A11" s="330">
        <v>2</v>
      </c>
      <c r="B11" s="331" t="s">
        <v>1060</v>
      </c>
      <c r="C11" s="332">
        <v>1386000</v>
      </c>
      <c r="D11" s="333"/>
      <c r="E11" s="332">
        <f t="shared" si="0"/>
        <v>1386000</v>
      </c>
    </row>
    <row r="12" spans="1:5" ht="49.5" customHeight="1" x14ac:dyDescent="0.25">
      <c r="A12" s="330">
        <v>3</v>
      </c>
      <c r="B12" s="334" t="s">
        <v>1061</v>
      </c>
      <c r="C12" s="335">
        <f>8300+56000+24000</f>
        <v>88300</v>
      </c>
      <c r="D12" s="336"/>
      <c r="E12" s="332">
        <f t="shared" si="0"/>
        <v>88300</v>
      </c>
    </row>
    <row r="13" spans="1:5" ht="61.5" customHeight="1" x14ac:dyDescent="0.25">
      <c r="A13" s="337">
        <v>4</v>
      </c>
      <c r="B13" s="120" t="s">
        <v>1062</v>
      </c>
      <c r="C13" s="338">
        <v>600000</v>
      </c>
      <c r="D13" s="336">
        <v>1200000</v>
      </c>
      <c r="E13" s="332">
        <f t="shared" si="0"/>
        <v>1800000</v>
      </c>
    </row>
    <row r="14" spans="1:5" ht="33" customHeight="1" x14ac:dyDescent="0.25">
      <c r="A14" s="339">
        <v>5</v>
      </c>
      <c r="B14" s="120" t="s">
        <v>1063</v>
      </c>
      <c r="C14" s="335">
        <v>40503750</v>
      </c>
      <c r="D14" s="336">
        <v>1054000</v>
      </c>
      <c r="E14" s="332">
        <f t="shared" si="0"/>
        <v>41557750</v>
      </c>
    </row>
    <row r="15" spans="1:5" ht="48" customHeight="1" x14ac:dyDescent="0.25">
      <c r="A15" s="339">
        <v>6</v>
      </c>
      <c r="B15" s="120" t="s">
        <v>1064</v>
      </c>
      <c r="C15" s="335">
        <v>300000</v>
      </c>
      <c r="D15" s="336"/>
      <c r="E15" s="332">
        <f t="shared" si="0"/>
        <v>300000</v>
      </c>
    </row>
    <row r="16" spans="1:5" ht="63.75" customHeight="1" x14ac:dyDescent="0.25">
      <c r="A16" s="339">
        <v>7</v>
      </c>
      <c r="B16" s="120" t="s">
        <v>1065</v>
      </c>
      <c r="C16" s="335">
        <v>350000</v>
      </c>
      <c r="D16" s="336"/>
      <c r="E16" s="332">
        <f t="shared" si="0"/>
        <v>350000</v>
      </c>
    </row>
    <row r="17" spans="1:5" ht="36" customHeight="1" x14ac:dyDescent="0.25">
      <c r="A17" s="339">
        <v>8</v>
      </c>
      <c r="B17" s="334" t="s">
        <v>1066</v>
      </c>
      <c r="C17" s="335">
        <f>723000+464500+2201390</f>
        <v>3388890</v>
      </c>
      <c r="D17" s="336"/>
      <c r="E17" s="332">
        <f t="shared" si="0"/>
        <v>3388890</v>
      </c>
    </row>
    <row r="18" spans="1:5" ht="53.25" customHeight="1" x14ac:dyDescent="0.25">
      <c r="A18" s="339">
        <v>9</v>
      </c>
      <c r="B18" s="120" t="s">
        <v>1067</v>
      </c>
      <c r="C18" s="335">
        <v>700000</v>
      </c>
      <c r="D18" s="336"/>
      <c r="E18" s="332">
        <f t="shared" si="0"/>
        <v>700000</v>
      </c>
    </row>
    <row r="19" spans="1:5" ht="47.25" x14ac:dyDescent="0.25">
      <c r="A19" s="339">
        <v>10</v>
      </c>
      <c r="B19" s="120" t="s">
        <v>1068</v>
      </c>
      <c r="C19" s="335">
        <v>400000</v>
      </c>
      <c r="D19" s="336"/>
      <c r="E19" s="332">
        <f t="shared" si="0"/>
        <v>400000</v>
      </c>
    </row>
    <row r="20" spans="1:5" ht="62.25" customHeight="1" x14ac:dyDescent="0.25">
      <c r="A20" s="340">
        <v>11</v>
      </c>
      <c r="B20" s="334" t="s">
        <v>1069</v>
      </c>
      <c r="C20" s="335">
        <v>450000</v>
      </c>
      <c r="D20" s="336"/>
      <c r="E20" s="332">
        <f t="shared" si="0"/>
        <v>450000</v>
      </c>
    </row>
    <row r="21" spans="1:5" ht="33" customHeight="1" x14ac:dyDescent="0.25">
      <c r="A21" s="339">
        <v>12</v>
      </c>
      <c r="B21" s="120" t="s">
        <v>1070</v>
      </c>
      <c r="C21" s="335">
        <v>11111</v>
      </c>
      <c r="D21" s="336"/>
      <c r="E21" s="332">
        <f t="shared" si="0"/>
        <v>11111</v>
      </c>
    </row>
    <row r="22" spans="1:5" ht="64.5" customHeight="1" x14ac:dyDescent="0.25">
      <c r="A22" s="339">
        <v>13</v>
      </c>
      <c r="B22" s="334" t="s">
        <v>1071</v>
      </c>
      <c r="C22" s="335"/>
      <c r="D22" s="336">
        <v>1000000</v>
      </c>
      <c r="E22" s="332">
        <f t="shared" si="0"/>
        <v>1000000</v>
      </c>
    </row>
    <row r="23" spans="1:5" ht="0.75" customHeight="1" x14ac:dyDescent="0.25">
      <c r="A23" s="341"/>
      <c r="B23" s="342"/>
      <c r="C23" s="343"/>
      <c r="D23" s="344"/>
      <c r="E23" s="332">
        <f t="shared" si="0"/>
        <v>0</v>
      </c>
    </row>
    <row r="24" spans="1:5" ht="15.75" x14ac:dyDescent="0.25">
      <c r="A24" s="345"/>
      <c r="B24" s="346" t="s">
        <v>177</v>
      </c>
      <c r="C24" s="347">
        <f>SUM(C10:C23)</f>
        <v>49285951</v>
      </c>
      <c r="D24" s="347">
        <f>SUM(D10:D23)</f>
        <v>3254000</v>
      </c>
      <c r="E24" s="347">
        <f>SUM(E10:E23)</f>
        <v>52539951</v>
      </c>
    </row>
  </sheetData>
  <mergeCells count="10">
    <mergeCell ref="D8:D9"/>
    <mergeCell ref="E8:E9"/>
    <mergeCell ref="A8:A9"/>
    <mergeCell ref="B8:B9"/>
    <mergeCell ref="C8:C9"/>
    <mergeCell ref="A1:E1"/>
    <mergeCell ref="A2:E2"/>
    <mergeCell ref="A3:E3"/>
    <mergeCell ref="A4:E4"/>
    <mergeCell ref="A6:E6"/>
  </mergeCells>
  <printOptions gridLines="1"/>
  <pageMargins left="0.70866141732283472" right="0.39370078740157477"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ColWidth="9.140625" defaultRowHeight="12.75" x14ac:dyDescent="0.2"/>
  <cols>
    <col min="1" max="1" width="4.42578125" style="128" customWidth="1"/>
    <col min="2" max="2" width="49.5703125" style="128" customWidth="1"/>
    <col min="3" max="4" width="15" style="128" customWidth="1"/>
    <col min="5" max="16384" width="9.140625" style="128"/>
  </cols>
  <sheetData>
    <row r="1" spans="1:4" ht="18.75" x14ac:dyDescent="0.3">
      <c r="A1" s="1001" t="s">
        <v>1072</v>
      </c>
      <c r="B1" s="1002"/>
      <c r="C1" s="1002"/>
      <c r="D1" s="1003"/>
    </row>
    <row r="2" spans="1:4" ht="18.75" x14ac:dyDescent="0.3">
      <c r="A2" s="1001" t="s">
        <v>1</v>
      </c>
      <c r="B2" s="1002"/>
      <c r="C2" s="1002"/>
      <c r="D2" s="1003"/>
    </row>
    <row r="3" spans="1:4" ht="18.75" x14ac:dyDescent="0.3">
      <c r="A3" s="1001" t="s">
        <v>2</v>
      </c>
      <c r="B3" s="1002"/>
      <c r="C3" s="1002"/>
      <c r="D3" s="1003"/>
    </row>
    <row r="4" spans="1:4" ht="18.75" x14ac:dyDescent="0.3">
      <c r="A4" s="1001" t="s">
        <v>1073</v>
      </c>
      <c r="B4" s="1002"/>
      <c r="C4" s="1002"/>
      <c r="D4" s="1003"/>
    </row>
    <row r="5" spans="1:4" ht="18.75" x14ac:dyDescent="0.3">
      <c r="A5" s="328"/>
    </row>
    <row r="6" spans="1:4" ht="40.5" customHeight="1" x14ac:dyDescent="0.3">
      <c r="A6" s="986" t="s">
        <v>1074</v>
      </c>
      <c r="B6" s="1004"/>
      <c r="C6" s="1004"/>
      <c r="D6" s="1005"/>
    </row>
    <row r="7" spans="1:4" ht="18.75" x14ac:dyDescent="0.3">
      <c r="A7" s="328"/>
    </row>
    <row r="8" spans="1:4" ht="12.75" customHeight="1" x14ac:dyDescent="0.2">
      <c r="A8" s="1012" t="s">
        <v>903</v>
      </c>
      <c r="B8" s="1012" t="s">
        <v>1057</v>
      </c>
      <c r="C8" s="1012" t="s">
        <v>1075</v>
      </c>
      <c r="D8" s="1012" t="s">
        <v>1076</v>
      </c>
    </row>
    <row r="9" spans="1:4" ht="13.5" customHeight="1" x14ac:dyDescent="0.2">
      <c r="A9" s="1013"/>
      <c r="B9" s="1013"/>
      <c r="C9" s="1013"/>
      <c r="D9" s="1013"/>
    </row>
    <row r="10" spans="1:4" ht="31.5" hidden="1" x14ac:dyDescent="0.25">
      <c r="A10" s="330">
        <v>1</v>
      </c>
      <c r="B10" s="331" t="s">
        <v>1059</v>
      </c>
      <c r="C10" s="332">
        <v>0</v>
      </c>
      <c r="D10" s="332">
        <v>0</v>
      </c>
    </row>
    <row r="11" spans="1:4" ht="47.25" x14ac:dyDescent="0.25">
      <c r="A11" s="337">
        <v>1</v>
      </c>
      <c r="B11" s="331" t="s">
        <v>1060</v>
      </c>
      <c r="C11" s="338">
        <v>1386000</v>
      </c>
      <c r="D11" s="338">
        <v>1386000</v>
      </c>
    </row>
    <row r="12" spans="1:4" ht="47.25" hidden="1" x14ac:dyDescent="0.25">
      <c r="A12" s="339">
        <v>3</v>
      </c>
      <c r="B12" s="334" t="s">
        <v>1061</v>
      </c>
      <c r="C12" s="335">
        <v>0</v>
      </c>
      <c r="D12" s="335">
        <v>0</v>
      </c>
    </row>
    <row r="13" spans="1:4" ht="31.5" x14ac:dyDescent="0.25">
      <c r="A13" s="339">
        <v>2</v>
      </c>
      <c r="B13" s="120" t="s">
        <v>1064</v>
      </c>
      <c r="C13" s="335">
        <v>300000</v>
      </c>
      <c r="D13" s="335">
        <v>300000</v>
      </c>
    </row>
    <row r="14" spans="1:4" ht="47.25" x14ac:dyDescent="0.25">
      <c r="A14" s="339">
        <v>3</v>
      </c>
      <c r="B14" s="120" t="s">
        <v>1065</v>
      </c>
      <c r="C14" s="335">
        <v>350000</v>
      </c>
      <c r="D14" s="335">
        <v>0</v>
      </c>
    </row>
    <row r="15" spans="1:4" ht="15.75" x14ac:dyDescent="0.25">
      <c r="A15" s="339">
        <v>4</v>
      </c>
      <c r="B15" s="334" t="s">
        <v>1066</v>
      </c>
      <c r="C15" s="335">
        <v>1696300</v>
      </c>
      <c r="D15" s="335">
        <v>611200</v>
      </c>
    </row>
    <row r="16" spans="1:4" ht="31.5" hidden="1" x14ac:dyDescent="0.25">
      <c r="A16" s="339">
        <v>8</v>
      </c>
      <c r="B16" s="120" t="s">
        <v>1067</v>
      </c>
      <c r="C16" s="335">
        <v>0</v>
      </c>
      <c r="D16" s="335">
        <v>0</v>
      </c>
    </row>
    <row r="17" spans="1:4" ht="47.25" hidden="1" x14ac:dyDescent="0.25">
      <c r="A17" s="339">
        <v>9</v>
      </c>
      <c r="B17" s="120" t="s">
        <v>1068</v>
      </c>
      <c r="C17" s="335"/>
      <c r="D17" s="335"/>
    </row>
    <row r="18" spans="1:4" ht="47.25" hidden="1" x14ac:dyDescent="0.25">
      <c r="A18" s="340">
        <v>10</v>
      </c>
      <c r="B18" s="334" t="s">
        <v>1069</v>
      </c>
      <c r="C18" s="335"/>
      <c r="D18" s="335"/>
    </row>
    <row r="19" spans="1:4" ht="15.75" x14ac:dyDescent="0.25">
      <c r="A19" s="348"/>
      <c r="B19" s="349" t="s">
        <v>177</v>
      </c>
      <c r="C19" s="350">
        <f>SUM(C10:C18)</f>
        <v>3732300</v>
      </c>
      <c r="D19" s="350">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9.140625" defaultRowHeight="12.75" x14ac:dyDescent="0.2"/>
  <cols>
    <col min="1" max="1" width="17" style="351" bestFit="1" customWidth="1"/>
    <col min="2" max="2" width="45.7109375" style="351" customWidth="1"/>
    <col min="3" max="3" width="24" style="351" customWidth="1"/>
    <col min="4" max="16384" width="9.140625" style="351"/>
  </cols>
  <sheetData>
    <row r="1" spans="1:3" ht="18.75" x14ac:dyDescent="0.3">
      <c r="A1" s="1001" t="s">
        <v>1077</v>
      </c>
      <c r="B1" s="1002"/>
      <c r="C1" s="1002"/>
    </row>
    <row r="2" spans="1:3" ht="18.75" x14ac:dyDescent="0.3">
      <c r="A2" s="1001" t="s">
        <v>1</v>
      </c>
      <c r="B2" s="1002"/>
      <c r="C2" s="1002"/>
    </row>
    <row r="3" spans="1:3" ht="18.75" x14ac:dyDescent="0.3">
      <c r="A3" s="1001" t="s">
        <v>2</v>
      </c>
      <c r="B3" s="1002"/>
      <c r="C3" s="1002"/>
    </row>
    <row r="4" spans="1:3" ht="18.75" x14ac:dyDescent="0.3">
      <c r="A4" s="1001" t="s">
        <v>1073</v>
      </c>
      <c r="B4" s="1002"/>
      <c r="C4" s="1002"/>
    </row>
    <row r="5" spans="1:3" ht="18.75" x14ac:dyDescent="0.3">
      <c r="A5" s="328"/>
    </row>
    <row r="6" spans="1:3" ht="22.5" customHeight="1" x14ac:dyDescent="0.3">
      <c r="A6" s="986" t="s">
        <v>1078</v>
      </c>
      <c r="B6" s="986"/>
      <c r="C6" s="986"/>
    </row>
    <row r="7" spans="1:3" ht="18.75" x14ac:dyDescent="0.3">
      <c r="A7" s="352"/>
      <c r="B7" s="353"/>
      <c r="C7" s="352"/>
    </row>
    <row r="8" spans="1:3" ht="45.75" customHeight="1" x14ac:dyDescent="0.25">
      <c r="A8" s="210" t="s">
        <v>1079</v>
      </c>
      <c r="B8" s="210" t="s">
        <v>191</v>
      </c>
      <c r="C8" s="210" t="s">
        <v>1080</v>
      </c>
    </row>
    <row r="9" spans="1:3" ht="31.5" x14ac:dyDescent="0.25">
      <c r="A9" s="210">
        <v>953</v>
      </c>
      <c r="B9" s="354" t="s">
        <v>684</v>
      </c>
      <c r="C9" s="355">
        <f>C10</f>
        <v>758141021</v>
      </c>
    </row>
    <row r="10" spans="1:3" ht="65.25" customHeight="1" x14ac:dyDescent="0.25">
      <c r="A10" s="356"/>
      <c r="B10" s="357" t="s">
        <v>1081</v>
      </c>
      <c r="C10" s="358">
        <v>758141021</v>
      </c>
    </row>
    <row r="11" spans="1:3" ht="31.5" x14ac:dyDescent="0.25">
      <c r="A11" s="121">
        <v>954</v>
      </c>
      <c r="B11" s="359" t="s">
        <v>1025</v>
      </c>
      <c r="C11" s="350">
        <f>C12</f>
        <v>250641233</v>
      </c>
    </row>
    <row r="12" spans="1:3" ht="63" x14ac:dyDescent="0.25">
      <c r="A12" s="360"/>
      <c r="B12" s="361" t="s">
        <v>1082</v>
      </c>
      <c r="C12" s="362">
        <v>250641233</v>
      </c>
    </row>
    <row r="13" spans="1:3" ht="47.25" x14ac:dyDescent="0.25">
      <c r="A13" s="363">
        <v>956</v>
      </c>
      <c r="B13" s="364" t="s">
        <v>1026</v>
      </c>
      <c r="C13" s="365">
        <f>C14+C15</f>
        <v>115474108</v>
      </c>
    </row>
    <row r="14" spans="1:3" ht="63" x14ac:dyDescent="0.25">
      <c r="A14" s="360"/>
      <c r="B14" s="361" t="s">
        <v>1083</v>
      </c>
      <c r="C14" s="362">
        <f>-C15+115474108</f>
        <v>101822800</v>
      </c>
    </row>
    <row r="15" spans="1:3" ht="31.5" x14ac:dyDescent="0.25">
      <c r="A15" s="363"/>
      <c r="B15" s="361" t="s">
        <v>1084</v>
      </c>
      <c r="C15" s="362">
        <v>13651308</v>
      </c>
    </row>
    <row r="16" spans="1:3" s="366" customFormat="1" ht="15.75" x14ac:dyDescent="0.25">
      <c r="A16" s="1014" t="s">
        <v>177</v>
      </c>
      <c r="B16" s="1015"/>
      <c r="C16" s="365">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ColWidth="9.140625" defaultRowHeight="12.75" x14ac:dyDescent="0.2"/>
  <cols>
    <col min="1" max="1" width="18.28515625" style="128" customWidth="1"/>
    <col min="2" max="2" width="30.7109375" style="128" customWidth="1"/>
    <col min="3" max="3" width="20.28515625" style="128" customWidth="1"/>
    <col min="4" max="4" width="19.5703125" style="128" customWidth="1"/>
    <col min="5" max="16384" width="9.140625" style="128"/>
  </cols>
  <sheetData>
    <row r="1" spans="1:4" ht="18.75" x14ac:dyDescent="0.3">
      <c r="A1" s="1001" t="s">
        <v>1085</v>
      </c>
      <c r="B1" s="1002"/>
      <c r="C1" s="1002"/>
      <c r="D1" s="1003"/>
    </row>
    <row r="2" spans="1:4" ht="18.75" x14ac:dyDescent="0.3">
      <c r="A2" s="1001" t="s">
        <v>1</v>
      </c>
      <c r="B2" s="1002"/>
      <c r="C2" s="1002"/>
      <c r="D2" s="1002"/>
    </row>
    <row r="3" spans="1:4" ht="18.75" x14ac:dyDescent="0.3">
      <c r="A3" s="1001" t="s">
        <v>2</v>
      </c>
      <c r="B3" s="1002"/>
      <c r="C3" s="1002"/>
      <c r="D3" s="1003"/>
    </row>
    <row r="4" spans="1:4" ht="18.75" x14ac:dyDescent="0.3">
      <c r="A4" s="1001" t="s">
        <v>1086</v>
      </c>
      <c r="B4" s="1002"/>
      <c r="C4" s="1002"/>
      <c r="D4" s="1003"/>
    </row>
    <row r="5" spans="1:4" ht="18.75" x14ac:dyDescent="0.3">
      <c r="A5" s="328"/>
    </row>
    <row r="6" spans="1:4" ht="36.75" customHeight="1" x14ac:dyDescent="0.3">
      <c r="A6" s="986" t="s">
        <v>1087</v>
      </c>
      <c r="B6" s="986"/>
      <c r="C6" s="986"/>
      <c r="D6" s="1003"/>
    </row>
    <row r="7" spans="1:4" ht="18.75" x14ac:dyDescent="0.3">
      <c r="A7" s="352"/>
      <c r="B7" s="353"/>
      <c r="C7" s="352"/>
      <c r="D7" s="352"/>
    </row>
    <row r="8" spans="1:4" ht="15.75" x14ac:dyDescent="0.25">
      <c r="A8" s="1016" t="s">
        <v>1079</v>
      </c>
      <c r="B8" s="1016" t="s">
        <v>191</v>
      </c>
      <c r="C8" s="210" t="s">
        <v>1088</v>
      </c>
      <c r="D8" s="210" t="s">
        <v>1089</v>
      </c>
    </row>
    <row r="9" spans="1:4" ht="30" customHeight="1" x14ac:dyDescent="0.25">
      <c r="A9" s="1017"/>
      <c r="B9" s="1017"/>
      <c r="C9" s="367" t="s">
        <v>1090</v>
      </c>
      <c r="D9" s="367" t="s">
        <v>1090</v>
      </c>
    </row>
    <row r="10" spans="1:4" ht="31.5" x14ac:dyDescent="0.25">
      <c r="A10" s="210">
        <v>953</v>
      </c>
      <c r="B10" s="354" t="s">
        <v>684</v>
      </c>
      <c r="C10" s="355">
        <f>C11</f>
        <v>792137427</v>
      </c>
      <c r="D10" s="355">
        <f>D11</f>
        <v>854898899</v>
      </c>
    </row>
    <row r="11" spans="1:4" ht="78.75" x14ac:dyDescent="0.25">
      <c r="A11" s="356"/>
      <c r="B11" s="357" t="s">
        <v>1081</v>
      </c>
      <c r="C11" s="358">
        <v>792137427</v>
      </c>
      <c r="D11" s="358">
        <v>854898899</v>
      </c>
    </row>
    <row r="12" spans="1:4" ht="47.25" x14ac:dyDescent="0.25">
      <c r="A12" s="121">
        <v>954</v>
      </c>
      <c r="B12" s="359" t="s">
        <v>1025</v>
      </c>
      <c r="C12" s="350">
        <f>C13</f>
        <v>269632006</v>
      </c>
      <c r="D12" s="350">
        <f>D13</f>
        <v>289328704</v>
      </c>
    </row>
    <row r="13" spans="1:4" ht="78.75" x14ac:dyDescent="0.25">
      <c r="A13" s="360"/>
      <c r="B13" s="361" t="s">
        <v>1082</v>
      </c>
      <c r="C13" s="362">
        <v>269632006</v>
      </c>
      <c r="D13" s="362">
        <v>289328704</v>
      </c>
    </row>
    <row r="14" spans="1:4" ht="63" x14ac:dyDescent="0.25">
      <c r="A14" s="363">
        <v>956</v>
      </c>
      <c r="B14" s="364" t="s">
        <v>1026</v>
      </c>
      <c r="C14" s="365">
        <f>C15+C16</f>
        <v>116923463</v>
      </c>
      <c r="D14" s="365">
        <f>D15+D16</f>
        <v>108467532</v>
      </c>
    </row>
    <row r="15" spans="1:4" ht="78.75" x14ac:dyDescent="0.25">
      <c r="A15" s="360"/>
      <c r="B15" s="361" t="s">
        <v>1083</v>
      </c>
      <c r="C15" s="362">
        <v>103088178</v>
      </c>
      <c r="D15" s="362">
        <v>94368983</v>
      </c>
    </row>
    <row r="16" spans="1:4" ht="47.25" x14ac:dyDescent="0.25">
      <c r="A16" s="363"/>
      <c r="B16" s="361" t="s">
        <v>1084</v>
      </c>
      <c r="C16" s="362">
        <v>13835285</v>
      </c>
      <c r="D16" s="362">
        <v>14098549</v>
      </c>
    </row>
    <row r="17" spans="1:4" ht="15.75" x14ac:dyDescent="0.25">
      <c r="A17" s="1014" t="s">
        <v>177</v>
      </c>
      <c r="B17" s="1015"/>
      <c r="C17" s="365">
        <f>C14+C12+C10</f>
        <v>1178692896</v>
      </c>
      <c r="D17" s="365">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workbookViewId="0"/>
  </sheetViews>
  <sheetFormatPr defaultRowHeight="12.75" x14ac:dyDescent="0.2"/>
  <cols>
    <col min="7" max="7" width="24.140625" customWidth="1"/>
    <col min="9" max="9" width="14.7109375" customWidth="1"/>
    <col min="10" max="10" width="9.140625" hidden="1" customWidth="1"/>
  </cols>
  <sheetData>
    <row r="1" spans="1:10" ht="15.75" x14ac:dyDescent="0.25">
      <c r="A1" s="329"/>
      <c r="B1" s="329"/>
      <c r="C1" s="329"/>
      <c r="D1" s="329"/>
      <c r="E1" s="329"/>
      <c r="F1" s="329"/>
      <c r="G1" s="868" t="s">
        <v>546</v>
      </c>
      <c r="H1" s="868"/>
      <c r="I1" s="868"/>
      <c r="J1" s="868"/>
    </row>
    <row r="2" spans="1:10" ht="15.75" x14ac:dyDescent="0.25">
      <c r="A2" s="329"/>
      <c r="B2" s="329"/>
      <c r="C2" s="329"/>
      <c r="D2" s="329"/>
      <c r="E2" s="329"/>
      <c r="F2" s="329"/>
      <c r="G2" s="868" t="s">
        <v>1091</v>
      </c>
      <c r="H2" s="868"/>
      <c r="I2" s="868"/>
      <c r="J2" s="868"/>
    </row>
    <row r="3" spans="1:10" ht="15.75" x14ac:dyDescent="0.25">
      <c r="A3" s="329"/>
      <c r="B3" s="329"/>
      <c r="C3" s="329"/>
      <c r="D3" s="329"/>
      <c r="E3" s="329"/>
      <c r="F3" s="329"/>
      <c r="G3" s="868" t="s">
        <v>2</v>
      </c>
      <c r="H3" s="868"/>
      <c r="I3" s="868"/>
      <c r="J3" s="868"/>
    </row>
    <row r="4" spans="1:10" ht="15.75" x14ac:dyDescent="0.25">
      <c r="A4" s="329"/>
      <c r="B4" s="329"/>
      <c r="C4" s="329"/>
      <c r="D4" s="329"/>
      <c r="E4" s="329"/>
      <c r="F4" s="329"/>
      <c r="G4" s="868" t="s">
        <v>1092</v>
      </c>
      <c r="H4" s="868"/>
      <c r="I4" s="868"/>
      <c r="J4" s="868"/>
    </row>
    <row r="5" spans="1:10" ht="15.75" x14ac:dyDescent="0.25">
      <c r="A5" s="329"/>
      <c r="B5" s="329"/>
      <c r="C5" s="329"/>
      <c r="D5" s="329"/>
      <c r="E5" s="329"/>
      <c r="F5" s="329"/>
      <c r="G5" s="329"/>
      <c r="H5" s="329"/>
      <c r="I5" s="329"/>
      <c r="J5" s="53"/>
    </row>
    <row r="6" spans="1:10" ht="42" customHeight="1" x14ac:dyDescent="0.25">
      <c r="A6" s="879" t="s">
        <v>1093</v>
      </c>
      <c r="B6" s="879"/>
      <c r="C6" s="879"/>
      <c r="D6" s="879"/>
      <c r="E6" s="879"/>
      <c r="F6" s="879"/>
      <c r="G6" s="879"/>
      <c r="H6" s="879"/>
      <c r="I6" s="879"/>
      <c r="J6" s="879"/>
    </row>
    <row r="7" spans="1:10" ht="15.75" x14ac:dyDescent="0.25">
      <c r="A7" s="368"/>
      <c r="B7" s="329"/>
      <c r="C7" s="329"/>
      <c r="D7" s="329"/>
      <c r="E7" s="329"/>
      <c r="F7" s="329"/>
      <c r="G7" s="329"/>
      <c r="H7" s="329"/>
      <c r="I7" s="329"/>
      <c r="J7" s="329"/>
    </row>
    <row r="8" spans="1:10" ht="45" customHeight="1" x14ac:dyDescent="0.2">
      <c r="A8" s="1018" t="s">
        <v>1094</v>
      </c>
      <c r="B8" s="1018"/>
      <c r="C8" s="1018"/>
      <c r="D8" s="1018"/>
      <c r="E8" s="1018"/>
      <c r="F8" s="1018"/>
      <c r="G8" s="1018"/>
      <c r="H8" s="1018"/>
      <c r="I8" s="1018"/>
      <c r="J8" s="1018"/>
    </row>
    <row r="9" spans="1:10" ht="45" customHeight="1" x14ac:dyDescent="0.2">
      <c r="A9" s="1020" t="s">
        <v>1095</v>
      </c>
      <c r="B9" s="1020"/>
      <c r="C9" s="1020"/>
      <c r="D9" s="1020"/>
      <c r="E9" s="1020"/>
      <c r="F9" s="1020"/>
      <c r="G9" s="1020"/>
      <c r="H9" s="1020"/>
      <c r="I9" s="1020"/>
      <c r="J9" s="1020"/>
    </row>
    <row r="10" spans="1:10" ht="71.25" customHeight="1" x14ac:dyDescent="0.2">
      <c r="A10" s="1018"/>
      <c r="B10" s="1018"/>
      <c r="C10" s="1018"/>
      <c r="D10" s="1018"/>
      <c r="E10" s="1018"/>
      <c r="F10" s="1018"/>
      <c r="G10" s="1018"/>
      <c r="H10" s="1018"/>
      <c r="I10" s="1018"/>
      <c r="J10" s="1018"/>
    </row>
    <row r="11" spans="1:10" ht="46.5" hidden="1" customHeight="1" x14ac:dyDescent="0.2">
      <c r="A11" s="1020"/>
      <c r="B11" s="1020"/>
      <c r="C11" s="1020"/>
      <c r="D11" s="1020"/>
      <c r="E11" s="1020"/>
      <c r="F11" s="1020"/>
      <c r="G11" s="1020"/>
      <c r="H11" s="1020"/>
      <c r="I11" s="1020"/>
      <c r="J11" s="1020"/>
    </row>
    <row r="12" spans="1:10" ht="41.25" hidden="1" customHeight="1" x14ac:dyDescent="0.2">
      <c r="A12" s="1018"/>
      <c r="B12" s="1018"/>
      <c r="C12" s="1018"/>
      <c r="D12" s="1018"/>
      <c r="E12" s="1018"/>
      <c r="F12" s="1018"/>
      <c r="G12" s="1018"/>
      <c r="H12" s="1018"/>
      <c r="I12" s="1018"/>
      <c r="J12" s="1018"/>
    </row>
    <row r="13" spans="1:10" ht="18" hidden="1" customHeight="1" x14ac:dyDescent="0.2">
      <c r="C13" s="329"/>
    </row>
    <row r="14" spans="1:10" ht="78.75" hidden="1" customHeight="1" x14ac:dyDescent="0.2">
      <c r="A14" s="1018"/>
      <c r="B14" s="1018"/>
      <c r="C14" s="1018"/>
      <c r="D14" s="1018"/>
      <c r="E14" s="1018"/>
      <c r="F14" s="1018"/>
      <c r="G14" s="1018"/>
      <c r="H14" s="1018"/>
      <c r="I14" s="1018"/>
      <c r="J14" s="1018"/>
    </row>
    <row r="15" spans="1:10" ht="25.5" hidden="1" customHeight="1" x14ac:dyDescent="0.2">
      <c r="C15" s="329"/>
    </row>
    <row r="16" spans="1:10" hidden="1" x14ac:dyDescent="0.2"/>
    <row r="17" spans="1:11" ht="57.75" hidden="1" customHeight="1" x14ac:dyDescent="0.2">
      <c r="A17" s="1018"/>
      <c r="B17" s="1018"/>
      <c r="C17" s="1018"/>
      <c r="D17" s="1018"/>
      <c r="E17" s="1018"/>
      <c r="F17" s="1018"/>
      <c r="G17" s="1018"/>
      <c r="H17" s="1018"/>
      <c r="I17" s="1018"/>
      <c r="J17" s="1018"/>
    </row>
    <row r="18" spans="1:11" hidden="1" x14ac:dyDescent="0.2">
      <c r="C18" s="329"/>
    </row>
    <row r="19" spans="1:11" hidden="1" x14ac:dyDescent="0.2"/>
    <row r="20" spans="1:11" ht="58.5" hidden="1" customHeight="1" x14ac:dyDescent="0.2">
      <c r="A20" s="1018"/>
      <c r="B20" s="1018"/>
      <c r="C20" s="1018"/>
      <c r="D20" s="1018"/>
      <c r="E20" s="1018"/>
      <c r="F20" s="1018"/>
      <c r="G20" s="1018"/>
      <c r="H20" s="1018"/>
      <c r="I20" s="1018"/>
      <c r="J20" s="1018"/>
    </row>
    <row r="21" spans="1:11" hidden="1" x14ac:dyDescent="0.2">
      <c r="C21" s="329"/>
    </row>
    <row r="22" spans="1:11" hidden="1" x14ac:dyDescent="0.2"/>
    <row r="23" spans="1:11" hidden="1" x14ac:dyDescent="0.2"/>
    <row r="24" spans="1:11" hidden="1" x14ac:dyDescent="0.2"/>
    <row r="25" spans="1:11" hidden="1" x14ac:dyDescent="0.2"/>
    <row r="26" spans="1:11" hidden="1" x14ac:dyDescent="0.2"/>
    <row r="27" spans="1:11" hidden="1" x14ac:dyDescent="0.2"/>
    <row r="28" spans="1:11" hidden="1" x14ac:dyDescent="0.2"/>
    <row r="29" spans="1:11" hidden="1" x14ac:dyDescent="0.2"/>
    <row r="30" spans="1:11" hidden="1" x14ac:dyDescent="0.2">
      <c r="I30" s="81"/>
      <c r="K30" s="81"/>
    </row>
    <row r="31" spans="1:11" hidden="1" x14ac:dyDescent="0.2">
      <c r="A31" s="81"/>
      <c r="B31" s="81"/>
      <c r="C31" s="81"/>
      <c r="D31" s="81"/>
      <c r="I31" s="81"/>
      <c r="J31" s="81"/>
      <c r="K31" s="81"/>
    </row>
    <row r="32" spans="1:11" hidden="1" x14ac:dyDescent="0.2">
      <c r="A32" s="81"/>
      <c r="B32" s="81"/>
      <c r="C32" s="81"/>
      <c r="D32" s="81"/>
      <c r="I32" s="81"/>
      <c r="J32" s="81"/>
      <c r="K32" s="81"/>
    </row>
    <row r="33" spans="1:11" hidden="1" x14ac:dyDescent="0.2">
      <c r="A33" s="81"/>
      <c r="B33" s="81"/>
      <c r="C33" s="81"/>
      <c r="D33" s="81"/>
    </row>
    <row r="34" spans="1:11" ht="15.75" hidden="1" x14ac:dyDescent="0.25">
      <c r="A34" s="81"/>
      <c r="B34" s="369"/>
      <c r="C34" s="370"/>
      <c r="D34" s="370"/>
      <c r="K34" s="371"/>
    </row>
    <row r="35" spans="1:11" ht="15.75" hidden="1" x14ac:dyDescent="0.25">
      <c r="A35" s="1019"/>
      <c r="B35" s="1019"/>
      <c r="C35" s="372"/>
      <c r="D35" s="372"/>
      <c r="K35" s="37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sheetData>
  <mergeCells count="14">
    <mergeCell ref="A14:J14"/>
    <mergeCell ref="A17:J17"/>
    <mergeCell ref="A20:J20"/>
    <mergeCell ref="A35:B35"/>
    <mergeCell ref="A8:J8"/>
    <mergeCell ref="A9:J9"/>
    <mergeCell ref="A10:J10"/>
    <mergeCell ref="A11:J11"/>
    <mergeCell ref="A12:J12"/>
    <mergeCell ref="G1:J1"/>
    <mergeCell ref="G2:J2"/>
    <mergeCell ref="G3:J3"/>
    <mergeCell ref="G4:J4"/>
    <mergeCell ref="A6:J6"/>
  </mergeCells>
  <printOptions gridLines="1"/>
  <pageMargins left="0.78740157480314954" right="0.39370078740157477" top="0.39370078740157477" bottom="0.39370078740157477" header="0.5" footer="0.5"/>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7"/>
  <sheetViews>
    <sheetView topLeftCell="A1000" workbookViewId="0"/>
  </sheetViews>
  <sheetFormatPr defaultRowHeight="12.75" x14ac:dyDescent="0.2"/>
  <cols>
    <col min="1" max="1" width="6.5703125" style="373" customWidth="1"/>
    <col min="2" max="2" width="85.7109375" style="329" customWidth="1"/>
  </cols>
  <sheetData>
    <row r="1" spans="1:2" hidden="1" x14ac:dyDescent="0.2">
      <c r="A1" s="373" t="s">
        <v>1096</v>
      </c>
      <c r="B1" s="329" t="s">
        <v>1097</v>
      </c>
    </row>
    <row r="2" spans="1:2" hidden="1" x14ac:dyDescent="0.2">
      <c r="A2" s="374" t="s">
        <v>1098</v>
      </c>
      <c r="B2" s="375" t="s">
        <v>1099</v>
      </c>
    </row>
    <row r="3" spans="1:2" hidden="1" x14ac:dyDescent="0.2"/>
    <row r="4" spans="1:2" hidden="1" x14ac:dyDescent="0.2"/>
    <row r="5" spans="1:2" hidden="1" x14ac:dyDescent="0.2"/>
    <row r="6" spans="1:2" hidden="1" x14ac:dyDescent="0.2"/>
    <row r="7" spans="1:2" hidden="1" x14ac:dyDescent="0.2"/>
    <row r="8" spans="1:2" hidden="1" x14ac:dyDescent="0.2"/>
    <row r="9" spans="1:2" hidden="1" x14ac:dyDescent="0.2"/>
    <row r="10" spans="1:2" hidden="1" x14ac:dyDescent="0.2"/>
    <row r="11" spans="1:2" hidden="1" x14ac:dyDescent="0.2"/>
    <row r="12" spans="1:2" hidden="1" x14ac:dyDescent="0.2"/>
    <row r="13" spans="1:2" hidden="1" x14ac:dyDescent="0.2"/>
    <row r="14" spans="1:2" hidden="1" x14ac:dyDescent="0.2"/>
    <row r="15" spans="1:2" hidden="1" x14ac:dyDescent="0.2"/>
    <row r="16" spans="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spans="1:2" hidden="1" x14ac:dyDescent="0.2"/>
    <row r="994" spans="1:2" hidden="1" x14ac:dyDescent="0.2"/>
    <row r="995" spans="1:2" hidden="1" x14ac:dyDescent="0.2"/>
    <row r="996" spans="1:2" hidden="1" x14ac:dyDescent="0.2"/>
    <row r="997" spans="1:2" ht="13.5" hidden="1" customHeight="1" x14ac:dyDescent="0.2"/>
    <row r="998" spans="1:2" hidden="1" x14ac:dyDescent="0.2"/>
    <row r="999" spans="1:2" hidden="1" x14ac:dyDescent="0.2"/>
    <row r="1000" spans="1:2" x14ac:dyDescent="0.2">
      <c r="A1000" s="376">
        <v>0</v>
      </c>
      <c r="B1000" s="377" t="s">
        <v>1100</v>
      </c>
    </row>
    <row r="1001" spans="1:2" x14ac:dyDescent="0.2">
      <c r="A1001" s="376">
        <v>4</v>
      </c>
      <c r="B1001" s="377" t="s">
        <v>1101</v>
      </c>
    </row>
    <row r="1002" spans="1:2" x14ac:dyDescent="0.2">
      <c r="A1002" s="376">
        <v>20</v>
      </c>
      <c r="B1002" s="377" t="s">
        <v>1102</v>
      </c>
    </row>
    <row r="1003" spans="1:2" x14ac:dyDescent="0.2">
      <c r="A1003" s="376">
        <v>22</v>
      </c>
      <c r="B1003" s="377" t="s">
        <v>1103</v>
      </c>
    </row>
    <row r="1004" spans="1:2" x14ac:dyDescent="0.2">
      <c r="A1004" s="376">
        <v>29</v>
      </c>
      <c r="B1004" s="377" t="s">
        <v>1104</v>
      </c>
    </row>
    <row r="1005" spans="1:2" x14ac:dyDescent="0.2">
      <c r="A1005" s="376">
        <v>48</v>
      </c>
      <c r="B1005" s="377" t="s">
        <v>1105</v>
      </c>
    </row>
    <row r="1006" spans="1:2" x14ac:dyDescent="0.2">
      <c r="A1006" s="376">
        <v>50</v>
      </c>
      <c r="B1006" s="377" t="s">
        <v>1106</v>
      </c>
    </row>
    <row r="1007" spans="1:2" x14ac:dyDescent="0.2">
      <c r="A1007" s="376">
        <v>53</v>
      </c>
      <c r="B1007" s="377" t="s">
        <v>1107</v>
      </c>
    </row>
    <row r="1008" spans="1:2" x14ac:dyDescent="0.2">
      <c r="A1008" s="376">
        <v>54</v>
      </c>
      <c r="B1008" s="377" t="s">
        <v>1108</v>
      </c>
    </row>
    <row r="1009" spans="1:2" x14ac:dyDescent="0.2">
      <c r="A1009" s="376">
        <v>56</v>
      </c>
      <c r="B1009" s="377" t="s">
        <v>1109</v>
      </c>
    </row>
    <row r="1010" spans="1:2" x14ac:dyDescent="0.2">
      <c r="A1010" s="376">
        <v>58</v>
      </c>
      <c r="B1010" s="377" t="s">
        <v>1110</v>
      </c>
    </row>
    <row r="1011" spans="1:2" x14ac:dyDescent="0.2">
      <c r="A1011" s="376">
        <v>70</v>
      </c>
      <c r="B1011" s="377" t="s">
        <v>1111</v>
      </c>
    </row>
    <row r="1012" spans="1:2" x14ac:dyDescent="0.2">
      <c r="A1012" s="376">
        <v>71</v>
      </c>
      <c r="B1012" s="377" t="s">
        <v>1112</v>
      </c>
    </row>
    <row r="1013" spans="1:2" x14ac:dyDescent="0.2">
      <c r="A1013" s="376">
        <v>72</v>
      </c>
      <c r="B1013" s="377" t="s">
        <v>1113</v>
      </c>
    </row>
    <row r="1014" spans="1:2" x14ac:dyDescent="0.2">
      <c r="A1014" s="376">
        <v>75</v>
      </c>
      <c r="B1014" s="377" t="s">
        <v>1114</v>
      </c>
    </row>
    <row r="1015" spans="1:2" x14ac:dyDescent="0.2">
      <c r="A1015" s="376">
        <v>76</v>
      </c>
      <c r="B1015" s="377" t="s">
        <v>1115</v>
      </c>
    </row>
    <row r="1016" spans="1:2" x14ac:dyDescent="0.2">
      <c r="A1016" s="376">
        <v>78</v>
      </c>
      <c r="B1016" s="377" t="s">
        <v>1116</v>
      </c>
    </row>
    <row r="1017" spans="1:2" x14ac:dyDescent="0.2">
      <c r="A1017" s="376">
        <v>81</v>
      </c>
      <c r="B1017" s="377" t="s">
        <v>1117</v>
      </c>
    </row>
    <row r="1018" spans="1:2" x14ac:dyDescent="0.2">
      <c r="A1018" s="376">
        <v>82</v>
      </c>
      <c r="B1018" s="377" t="s">
        <v>1118</v>
      </c>
    </row>
    <row r="1019" spans="1:2" x14ac:dyDescent="0.2">
      <c r="A1019" s="376">
        <v>83</v>
      </c>
      <c r="B1019" s="377" t="s">
        <v>1119</v>
      </c>
    </row>
    <row r="1020" spans="1:2" x14ac:dyDescent="0.2">
      <c r="A1020" s="376">
        <v>85</v>
      </c>
      <c r="B1020" s="377" t="s">
        <v>1120</v>
      </c>
    </row>
    <row r="1021" spans="1:2" x14ac:dyDescent="0.2">
      <c r="A1021" s="376">
        <v>89</v>
      </c>
      <c r="B1021" s="377" t="s">
        <v>1121</v>
      </c>
    </row>
    <row r="1022" spans="1:2" x14ac:dyDescent="0.2">
      <c r="A1022" s="376">
        <v>92</v>
      </c>
      <c r="B1022" s="377" t="s">
        <v>1122</v>
      </c>
    </row>
    <row r="1023" spans="1:2" x14ac:dyDescent="0.2">
      <c r="A1023" s="376">
        <v>99</v>
      </c>
      <c r="B1023" s="377" t="s">
        <v>1123</v>
      </c>
    </row>
    <row r="1024" spans="1:2" x14ac:dyDescent="0.2">
      <c r="A1024" s="376">
        <v>104</v>
      </c>
      <c r="B1024" s="377" t="s">
        <v>1124</v>
      </c>
    </row>
    <row r="1025" spans="1:2" x14ac:dyDescent="0.2">
      <c r="A1025" s="376">
        <v>125</v>
      </c>
      <c r="B1025" s="377" t="s">
        <v>1125</v>
      </c>
    </row>
    <row r="1026" spans="1:2" x14ac:dyDescent="0.2">
      <c r="A1026" s="376">
        <v>126</v>
      </c>
      <c r="B1026" s="377" t="s">
        <v>1126</v>
      </c>
    </row>
    <row r="1027" spans="1:2" x14ac:dyDescent="0.2">
      <c r="A1027" s="376">
        <v>128</v>
      </c>
      <c r="B1027" s="377" t="s">
        <v>1127</v>
      </c>
    </row>
    <row r="1028" spans="1:2" x14ac:dyDescent="0.2">
      <c r="A1028" s="376">
        <v>129</v>
      </c>
      <c r="B1028" s="377" t="s">
        <v>1128</v>
      </c>
    </row>
    <row r="1029" spans="1:2" ht="25.5" x14ac:dyDescent="0.2">
      <c r="A1029" s="376">
        <v>133</v>
      </c>
      <c r="B1029" s="377" t="s">
        <v>1129</v>
      </c>
    </row>
    <row r="1030" spans="1:2" ht="25.5" x14ac:dyDescent="0.2">
      <c r="A1030" s="376">
        <v>134</v>
      </c>
      <c r="B1030" s="377" t="s">
        <v>1130</v>
      </c>
    </row>
    <row r="1031" spans="1:2" x14ac:dyDescent="0.2">
      <c r="A1031" s="376">
        <v>136</v>
      </c>
      <c r="B1031" s="377" t="s">
        <v>1131</v>
      </c>
    </row>
    <row r="1032" spans="1:2" x14ac:dyDescent="0.2">
      <c r="A1032" s="376">
        <v>139</v>
      </c>
      <c r="B1032" s="377" t="s">
        <v>1132</v>
      </c>
    </row>
    <row r="1033" spans="1:2" x14ac:dyDescent="0.2">
      <c r="A1033" s="376">
        <v>140</v>
      </c>
      <c r="B1033" s="377" t="s">
        <v>1133</v>
      </c>
    </row>
    <row r="1034" spans="1:2" x14ac:dyDescent="0.2">
      <c r="A1034" s="376">
        <v>141</v>
      </c>
      <c r="B1034" s="377" t="s">
        <v>1134</v>
      </c>
    </row>
    <row r="1035" spans="1:2" x14ac:dyDescent="0.2">
      <c r="A1035" s="376">
        <v>142</v>
      </c>
      <c r="B1035" s="377" t="s">
        <v>1135</v>
      </c>
    </row>
    <row r="1036" spans="1:2" x14ac:dyDescent="0.2">
      <c r="A1036" s="376">
        <v>148</v>
      </c>
      <c r="B1036" s="377" t="s">
        <v>1136</v>
      </c>
    </row>
    <row r="1037" spans="1:2" x14ac:dyDescent="0.2">
      <c r="A1037" s="376">
        <v>149</v>
      </c>
      <c r="B1037" s="377" t="s">
        <v>1137</v>
      </c>
    </row>
    <row r="1038" spans="1:2" x14ac:dyDescent="0.2">
      <c r="A1038" s="376">
        <v>152</v>
      </c>
      <c r="B1038" s="377" t="s">
        <v>1138</v>
      </c>
    </row>
    <row r="1039" spans="1:2" x14ac:dyDescent="0.2">
      <c r="A1039" s="376">
        <v>153</v>
      </c>
      <c r="B1039" s="377" t="s">
        <v>1139</v>
      </c>
    </row>
    <row r="1040" spans="1:2" x14ac:dyDescent="0.2">
      <c r="A1040" s="376">
        <v>154</v>
      </c>
      <c r="B1040" s="377" t="s">
        <v>1140</v>
      </c>
    </row>
    <row r="1041" spans="1:2" x14ac:dyDescent="0.2">
      <c r="A1041" s="376">
        <v>156</v>
      </c>
      <c r="B1041" s="377" t="s">
        <v>1141</v>
      </c>
    </row>
    <row r="1042" spans="1:2" x14ac:dyDescent="0.2">
      <c r="A1042" s="376">
        <v>157</v>
      </c>
      <c r="B1042" s="377" t="s">
        <v>1142</v>
      </c>
    </row>
    <row r="1043" spans="1:2" x14ac:dyDescent="0.2">
      <c r="A1043" s="376">
        <v>158</v>
      </c>
      <c r="B1043" s="377" t="s">
        <v>1143</v>
      </c>
    </row>
    <row r="1044" spans="1:2" x14ac:dyDescent="0.2">
      <c r="A1044" s="376">
        <v>159</v>
      </c>
      <c r="B1044" s="377" t="s">
        <v>1144</v>
      </c>
    </row>
    <row r="1045" spans="1:2" x14ac:dyDescent="0.2">
      <c r="A1045" s="376">
        <v>160</v>
      </c>
      <c r="B1045" s="377" t="s">
        <v>1145</v>
      </c>
    </row>
    <row r="1046" spans="1:2" x14ac:dyDescent="0.2">
      <c r="A1046" s="376">
        <v>162</v>
      </c>
      <c r="B1046" s="377" t="s">
        <v>1146</v>
      </c>
    </row>
    <row r="1047" spans="1:2" x14ac:dyDescent="0.2">
      <c r="A1047" s="376">
        <v>163</v>
      </c>
      <c r="B1047" s="377" t="s">
        <v>1147</v>
      </c>
    </row>
    <row r="1048" spans="1:2" x14ac:dyDescent="0.2">
      <c r="A1048" s="376">
        <v>164</v>
      </c>
      <c r="B1048" s="377" t="s">
        <v>1148</v>
      </c>
    </row>
    <row r="1049" spans="1:2" x14ac:dyDescent="0.2">
      <c r="A1049" s="376">
        <v>165</v>
      </c>
      <c r="B1049" s="377" t="s">
        <v>1149</v>
      </c>
    </row>
    <row r="1050" spans="1:2" ht="25.5" x14ac:dyDescent="0.2">
      <c r="A1050" s="376">
        <v>166</v>
      </c>
      <c r="B1050" s="377" t="s">
        <v>1150</v>
      </c>
    </row>
    <row r="1051" spans="1:2" ht="25.5" x14ac:dyDescent="0.2">
      <c r="A1051" s="376">
        <v>177</v>
      </c>
      <c r="B1051" s="377" t="s">
        <v>1151</v>
      </c>
    </row>
    <row r="1052" spans="1:2" x14ac:dyDescent="0.2">
      <c r="A1052" s="376">
        <v>181</v>
      </c>
      <c r="B1052" s="377" t="s">
        <v>1152</v>
      </c>
    </row>
    <row r="1053" spans="1:2" x14ac:dyDescent="0.2">
      <c r="A1053" s="376">
        <v>182</v>
      </c>
      <c r="B1053" s="377" t="s">
        <v>1153</v>
      </c>
    </row>
    <row r="1054" spans="1:2" x14ac:dyDescent="0.2">
      <c r="A1054" s="376">
        <v>184</v>
      </c>
      <c r="B1054" s="377" t="s">
        <v>1154</v>
      </c>
    </row>
    <row r="1055" spans="1:2" x14ac:dyDescent="0.2">
      <c r="A1055" s="376">
        <v>186</v>
      </c>
      <c r="B1055" s="377" t="s">
        <v>1155</v>
      </c>
    </row>
    <row r="1056" spans="1:2" x14ac:dyDescent="0.2">
      <c r="A1056" s="376">
        <v>187</v>
      </c>
      <c r="B1056" s="377" t="s">
        <v>1156</v>
      </c>
    </row>
    <row r="1057" spans="1:2" x14ac:dyDescent="0.2">
      <c r="A1057" s="376">
        <v>188</v>
      </c>
      <c r="B1057" s="377" t="s">
        <v>1157</v>
      </c>
    </row>
    <row r="1058" spans="1:2" x14ac:dyDescent="0.2">
      <c r="A1058" s="376">
        <v>189</v>
      </c>
      <c r="B1058" s="377" t="s">
        <v>1158</v>
      </c>
    </row>
    <row r="1059" spans="1:2" x14ac:dyDescent="0.2">
      <c r="A1059" s="376">
        <v>190</v>
      </c>
      <c r="B1059" s="377" t="s">
        <v>1159</v>
      </c>
    </row>
    <row r="1060" spans="1:2" x14ac:dyDescent="0.2">
      <c r="A1060" s="376">
        <v>192</v>
      </c>
      <c r="B1060" s="377" t="s">
        <v>1160</v>
      </c>
    </row>
    <row r="1061" spans="1:2" x14ac:dyDescent="0.2">
      <c r="A1061" s="376">
        <v>197</v>
      </c>
      <c r="B1061" s="377" t="s">
        <v>1161</v>
      </c>
    </row>
    <row r="1062" spans="1:2" x14ac:dyDescent="0.2">
      <c r="A1062" s="376">
        <v>202</v>
      </c>
      <c r="B1062" s="377" t="s">
        <v>1162</v>
      </c>
    </row>
    <row r="1063" spans="1:2" ht="25.5" x14ac:dyDescent="0.2">
      <c r="A1063" s="376">
        <v>206</v>
      </c>
      <c r="B1063" s="377" t="s">
        <v>1163</v>
      </c>
    </row>
    <row r="1064" spans="1:2" x14ac:dyDescent="0.2">
      <c r="A1064" s="376">
        <v>207</v>
      </c>
      <c r="B1064" s="377" t="s">
        <v>1164</v>
      </c>
    </row>
    <row r="1065" spans="1:2" x14ac:dyDescent="0.2">
      <c r="A1065" s="376">
        <v>226</v>
      </c>
      <c r="B1065" s="377" t="s">
        <v>1165</v>
      </c>
    </row>
    <row r="1066" spans="1:2" x14ac:dyDescent="0.2">
      <c r="A1066" s="376">
        <v>258</v>
      </c>
      <c r="B1066" s="377" t="s">
        <v>1166</v>
      </c>
    </row>
    <row r="1067" spans="1:2" x14ac:dyDescent="0.2">
      <c r="A1067" s="376">
        <v>262</v>
      </c>
      <c r="B1067" s="377" t="s">
        <v>1167</v>
      </c>
    </row>
    <row r="1068" spans="1:2" x14ac:dyDescent="0.2">
      <c r="A1068" s="376">
        <v>263</v>
      </c>
      <c r="B1068" s="377" t="s">
        <v>1168</v>
      </c>
    </row>
    <row r="1069" spans="1:2" x14ac:dyDescent="0.2">
      <c r="A1069" s="376">
        <v>279</v>
      </c>
      <c r="B1069" s="377" t="s">
        <v>1169</v>
      </c>
    </row>
    <row r="1070" spans="1:2" x14ac:dyDescent="0.2">
      <c r="A1070" s="376">
        <v>302</v>
      </c>
      <c r="B1070" s="377" t="s">
        <v>1170</v>
      </c>
    </row>
    <row r="1071" spans="1:2" x14ac:dyDescent="0.2">
      <c r="A1071" s="376">
        <v>303</v>
      </c>
      <c r="B1071" s="377" t="s">
        <v>1171</v>
      </c>
    </row>
    <row r="1072" spans="1:2" x14ac:dyDescent="0.2">
      <c r="A1072" s="376">
        <v>304</v>
      </c>
      <c r="B1072" s="377" t="s">
        <v>1172</v>
      </c>
    </row>
    <row r="1073" spans="1:2" x14ac:dyDescent="0.2">
      <c r="A1073" s="376">
        <v>305</v>
      </c>
      <c r="B1073" s="377" t="s">
        <v>1173</v>
      </c>
    </row>
    <row r="1074" spans="1:2" x14ac:dyDescent="0.2">
      <c r="A1074" s="376">
        <v>306</v>
      </c>
      <c r="B1074" s="377" t="s">
        <v>1174</v>
      </c>
    </row>
    <row r="1075" spans="1:2" x14ac:dyDescent="0.2">
      <c r="A1075" s="376">
        <v>308</v>
      </c>
      <c r="B1075" s="377" t="s">
        <v>1175</v>
      </c>
    </row>
    <row r="1076" spans="1:2" x14ac:dyDescent="0.2">
      <c r="A1076" s="376">
        <v>310</v>
      </c>
      <c r="B1076" s="377" t="s">
        <v>1176</v>
      </c>
    </row>
    <row r="1077" spans="1:2" x14ac:dyDescent="0.2">
      <c r="A1077" s="376">
        <v>316</v>
      </c>
      <c r="B1077" s="377" t="s">
        <v>1177</v>
      </c>
    </row>
    <row r="1078" spans="1:2" x14ac:dyDescent="0.2">
      <c r="A1078" s="376">
        <v>318</v>
      </c>
      <c r="B1078" s="377" t="s">
        <v>1178</v>
      </c>
    </row>
    <row r="1079" spans="1:2" x14ac:dyDescent="0.2">
      <c r="A1079" s="376">
        <v>319</v>
      </c>
      <c r="B1079" s="377" t="s">
        <v>1179</v>
      </c>
    </row>
    <row r="1080" spans="1:2" x14ac:dyDescent="0.2">
      <c r="A1080" s="376">
        <v>320</v>
      </c>
      <c r="B1080" s="377" t="s">
        <v>1180</v>
      </c>
    </row>
    <row r="1081" spans="1:2" x14ac:dyDescent="0.2">
      <c r="A1081" s="376">
        <v>321</v>
      </c>
      <c r="B1081" s="377" t="s">
        <v>1181</v>
      </c>
    </row>
    <row r="1082" spans="1:2" x14ac:dyDescent="0.2">
      <c r="A1082" s="376">
        <v>322</v>
      </c>
      <c r="B1082" s="377" t="s">
        <v>1182</v>
      </c>
    </row>
    <row r="1083" spans="1:2" x14ac:dyDescent="0.2">
      <c r="A1083" s="376">
        <v>330</v>
      </c>
      <c r="B1083" s="377" t="s">
        <v>1183</v>
      </c>
    </row>
    <row r="1084" spans="1:2" x14ac:dyDescent="0.2">
      <c r="A1084" s="376">
        <v>333</v>
      </c>
      <c r="B1084" s="377" t="s">
        <v>1184</v>
      </c>
    </row>
    <row r="1085" spans="1:2" x14ac:dyDescent="0.2">
      <c r="A1085" s="376">
        <v>352</v>
      </c>
      <c r="B1085" s="377" t="s">
        <v>1185</v>
      </c>
    </row>
    <row r="1086" spans="1:2" x14ac:dyDescent="0.2">
      <c r="A1086" s="376">
        <v>386</v>
      </c>
      <c r="B1086" s="377" t="s">
        <v>1186</v>
      </c>
    </row>
    <row r="1087" spans="1:2" ht="25.5" x14ac:dyDescent="0.2">
      <c r="A1087" s="376">
        <v>387</v>
      </c>
      <c r="B1087" s="377" t="s">
        <v>1187</v>
      </c>
    </row>
    <row r="1088" spans="1:2" x14ac:dyDescent="0.2">
      <c r="A1088" s="376">
        <v>392</v>
      </c>
      <c r="B1088" s="377" t="s">
        <v>1188</v>
      </c>
    </row>
    <row r="1089" spans="1:2" x14ac:dyDescent="0.2">
      <c r="A1089" s="376">
        <v>393</v>
      </c>
      <c r="B1089" s="377" t="s">
        <v>1189</v>
      </c>
    </row>
    <row r="1090" spans="1:2" x14ac:dyDescent="0.2">
      <c r="A1090" s="376">
        <v>397</v>
      </c>
      <c r="B1090" s="377" t="s">
        <v>1190</v>
      </c>
    </row>
    <row r="1091" spans="1:2" x14ac:dyDescent="0.2">
      <c r="A1091" s="376">
        <v>401</v>
      </c>
      <c r="B1091" s="377" t="s">
        <v>1191</v>
      </c>
    </row>
    <row r="1092" spans="1:2" x14ac:dyDescent="0.2">
      <c r="A1092" s="376">
        <v>409</v>
      </c>
      <c r="B1092" s="377" t="s">
        <v>1192</v>
      </c>
    </row>
    <row r="1093" spans="1:2" x14ac:dyDescent="0.2">
      <c r="A1093" s="376">
        <v>415</v>
      </c>
      <c r="B1093" s="377" t="s">
        <v>1193</v>
      </c>
    </row>
    <row r="1094" spans="1:2" x14ac:dyDescent="0.2">
      <c r="A1094" s="376">
        <v>423</v>
      </c>
      <c r="B1094" s="377" t="s">
        <v>1194</v>
      </c>
    </row>
    <row r="1095" spans="1:2" x14ac:dyDescent="0.2">
      <c r="A1095" s="376">
        <v>424</v>
      </c>
      <c r="B1095" s="377" t="s">
        <v>1195</v>
      </c>
    </row>
    <row r="1096" spans="1:2" x14ac:dyDescent="0.2">
      <c r="A1096" s="376">
        <v>425</v>
      </c>
      <c r="B1096" s="377" t="s">
        <v>1196</v>
      </c>
    </row>
    <row r="1097" spans="1:2" x14ac:dyDescent="0.2">
      <c r="A1097" s="376">
        <v>434</v>
      </c>
      <c r="B1097" s="377" t="s">
        <v>1197</v>
      </c>
    </row>
    <row r="1098" spans="1:2" x14ac:dyDescent="0.2">
      <c r="A1098" s="376">
        <v>436</v>
      </c>
      <c r="B1098" s="377" t="s">
        <v>1198</v>
      </c>
    </row>
    <row r="1099" spans="1:2" x14ac:dyDescent="0.2">
      <c r="A1099" s="376">
        <v>437</v>
      </c>
      <c r="B1099" s="377" t="s">
        <v>1199</v>
      </c>
    </row>
    <row r="1100" spans="1:2" x14ac:dyDescent="0.2">
      <c r="A1100" s="376">
        <v>438</v>
      </c>
      <c r="B1100" s="377" t="s">
        <v>1200</v>
      </c>
    </row>
    <row r="1101" spans="1:2" x14ac:dyDescent="0.2">
      <c r="A1101" s="376">
        <v>464</v>
      </c>
      <c r="B1101" s="377" t="s">
        <v>1201</v>
      </c>
    </row>
    <row r="1102" spans="1:2" x14ac:dyDescent="0.2">
      <c r="A1102" s="376">
        <v>486</v>
      </c>
      <c r="B1102" s="377" t="s">
        <v>1202</v>
      </c>
    </row>
    <row r="1103" spans="1:2" x14ac:dyDescent="0.2">
      <c r="A1103" s="376">
        <v>494</v>
      </c>
      <c r="B1103" s="377" t="s">
        <v>1203</v>
      </c>
    </row>
    <row r="1104" spans="1:2" x14ac:dyDescent="0.2">
      <c r="A1104" s="376">
        <v>497</v>
      </c>
      <c r="B1104" s="377" t="s">
        <v>1204</v>
      </c>
    </row>
    <row r="1105" spans="1:2" x14ac:dyDescent="0.2">
      <c r="A1105" s="376">
        <v>498</v>
      </c>
      <c r="B1105" s="377" t="s">
        <v>1205</v>
      </c>
    </row>
    <row r="1106" spans="1:2" x14ac:dyDescent="0.2">
      <c r="A1106" s="376">
        <v>520</v>
      </c>
      <c r="B1106" s="377" t="s">
        <v>1206</v>
      </c>
    </row>
    <row r="1107" spans="1:2" x14ac:dyDescent="0.2">
      <c r="A1107" s="376">
        <v>573</v>
      </c>
      <c r="B1107" s="377" t="s">
        <v>1207</v>
      </c>
    </row>
    <row r="1108" spans="1:2" x14ac:dyDescent="0.2">
      <c r="A1108" s="376">
        <v>588</v>
      </c>
      <c r="B1108" s="377" t="s">
        <v>1208</v>
      </c>
    </row>
    <row r="1109" spans="1:2" x14ac:dyDescent="0.2">
      <c r="A1109" s="376">
        <v>589</v>
      </c>
      <c r="B1109" s="377" t="s">
        <v>1209</v>
      </c>
    </row>
    <row r="1110" spans="1:2" x14ac:dyDescent="0.2">
      <c r="A1110" s="376">
        <v>591</v>
      </c>
      <c r="B1110" s="377" t="s">
        <v>1210</v>
      </c>
    </row>
    <row r="1111" spans="1:2" x14ac:dyDescent="0.2">
      <c r="A1111" s="376">
        <v>597</v>
      </c>
      <c r="B1111" s="377" t="s">
        <v>1211</v>
      </c>
    </row>
    <row r="1112" spans="1:2" x14ac:dyDescent="0.2">
      <c r="A1112" s="376">
        <v>653</v>
      </c>
      <c r="B1112" s="377" t="s">
        <v>1212</v>
      </c>
    </row>
    <row r="1113" spans="1:2" x14ac:dyDescent="0.2">
      <c r="A1113" s="376">
        <v>665</v>
      </c>
      <c r="B1113" s="377" t="s">
        <v>1213</v>
      </c>
    </row>
    <row r="1114" spans="1:2" x14ac:dyDescent="0.2">
      <c r="A1114" s="376">
        <v>677</v>
      </c>
      <c r="B1114" s="377" t="s">
        <v>1214</v>
      </c>
    </row>
    <row r="1115" spans="1:2" x14ac:dyDescent="0.2">
      <c r="A1115" s="376">
        <v>693</v>
      </c>
      <c r="B1115" s="377" t="s">
        <v>1215</v>
      </c>
    </row>
    <row r="1116" spans="1:2" x14ac:dyDescent="0.2">
      <c r="A1116" s="376">
        <v>720</v>
      </c>
      <c r="B1116" s="377" t="s">
        <v>1216</v>
      </c>
    </row>
    <row r="1117" spans="1:2" x14ac:dyDescent="0.2">
      <c r="A1117" s="376">
        <v>721</v>
      </c>
      <c r="B1117" s="377" t="s">
        <v>1217</v>
      </c>
    </row>
    <row r="1118" spans="1:2" ht="25.5" x14ac:dyDescent="0.2">
      <c r="A1118" s="376">
        <v>722</v>
      </c>
      <c r="B1118" s="377" t="s">
        <v>1218</v>
      </c>
    </row>
    <row r="1119" spans="1:2" x14ac:dyDescent="0.2">
      <c r="A1119" s="376">
        <v>801</v>
      </c>
      <c r="B1119" s="377" t="s">
        <v>1219</v>
      </c>
    </row>
    <row r="1120" spans="1:2" x14ac:dyDescent="0.2">
      <c r="A1120" s="376">
        <v>804</v>
      </c>
      <c r="B1120" s="377" t="s">
        <v>1220</v>
      </c>
    </row>
    <row r="1121" spans="1:2" ht="25.5" x14ac:dyDescent="0.2">
      <c r="A1121" s="376">
        <v>807</v>
      </c>
      <c r="B1121" s="377" t="s">
        <v>1221</v>
      </c>
    </row>
    <row r="1122" spans="1:2" x14ac:dyDescent="0.2">
      <c r="A1122" s="376">
        <v>812</v>
      </c>
      <c r="B1122" s="377" t="s">
        <v>1222</v>
      </c>
    </row>
    <row r="1123" spans="1:2" x14ac:dyDescent="0.2">
      <c r="A1123" s="376">
        <v>905</v>
      </c>
      <c r="B1123" s="377" t="s">
        <v>1223</v>
      </c>
    </row>
    <row r="1124" spans="1:2" x14ac:dyDescent="0.2">
      <c r="A1124" s="376">
        <v>906</v>
      </c>
      <c r="B1124" s="377" t="s">
        <v>1224</v>
      </c>
    </row>
    <row r="1125" spans="1:2" x14ac:dyDescent="0.2">
      <c r="A1125" s="376">
        <v>914</v>
      </c>
      <c r="B1125" s="377" t="s">
        <v>1225</v>
      </c>
    </row>
    <row r="1126" spans="1:2" x14ac:dyDescent="0.2">
      <c r="A1126" s="376">
        <v>932</v>
      </c>
      <c r="B1126" s="377" t="s">
        <v>1226</v>
      </c>
    </row>
    <row r="1127" spans="1:2" x14ac:dyDescent="0.2">
      <c r="A1127" s="376">
        <v>950</v>
      </c>
      <c r="B1127" s="377" t="s">
        <v>624</v>
      </c>
    </row>
    <row r="1128" spans="1:2" x14ac:dyDescent="0.2">
      <c r="A1128" s="376">
        <v>951</v>
      </c>
      <c r="B1128" s="377" t="s">
        <v>1227</v>
      </c>
    </row>
    <row r="1129" spans="1:2" x14ac:dyDescent="0.2">
      <c r="A1129" s="376">
        <v>952</v>
      </c>
      <c r="B1129" s="377" t="s">
        <v>678</v>
      </c>
    </row>
    <row r="1130" spans="1:2" x14ac:dyDescent="0.2">
      <c r="A1130" s="376">
        <v>953</v>
      </c>
      <c r="B1130" s="377" t="s">
        <v>684</v>
      </c>
    </row>
    <row r="1131" spans="1:2" x14ac:dyDescent="0.2">
      <c r="A1131" s="376">
        <v>954</v>
      </c>
      <c r="B1131" s="377" t="s">
        <v>766</v>
      </c>
    </row>
    <row r="1132" spans="1:2" x14ac:dyDescent="0.2">
      <c r="A1132" s="376">
        <v>955</v>
      </c>
      <c r="B1132" s="377" t="s">
        <v>795</v>
      </c>
    </row>
    <row r="1133" spans="1:2" x14ac:dyDescent="0.2">
      <c r="A1133" s="376">
        <v>956</v>
      </c>
      <c r="B1133" s="377" t="s">
        <v>812</v>
      </c>
    </row>
    <row r="1134" spans="1:2" x14ac:dyDescent="0.2">
      <c r="A1134" s="376">
        <v>957</v>
      </c>
      <c r="B1134" s="377" t="s">
        <v>1228</v>
      </c>
    </row>
    <row r="1135" spans="1:2" x14ac:dyDescent="0.2">
      <c r="A1135" s="376">
        <v>958</v>
      </c>
      <c r="B1135" s="377" t="s">
        <v>849</v>
      </c>
    </row>
    <row r="1136" spans="1:2" x14ac:dyDescent="0.2">
      <c r="A1136" s="376">
        <v>959</v>
      </c>
      <c r="B1136" s="377" t="s">
        <v>1229</v>
      </c>
    </row>
    <row r="1137" spans="1:2" x14ac:dyDescent="0.2">
      <c r="A1137" s="376">
        <v>960</v>
      </c>
      <c r="B1137" s="377" t="s">
        <v>1230</v>
      </c>
    </row>
    <row r="1138" spans="1:2" x14ac:dyDescent="0.2">
      <c r="A1138" s="376">
        <v>961</v>
      </c>
      <c r="B1138" s="377" t="s">
        <v>1231</v>
      </c>
    </row>
    <row r="1139" spans="1:2" x14ac:dyDescent="0.2">
      <c r="A1139" s="376">
        <v>962</v>
      </c>
      <c r="B1139" s="377" t="s">
        <v>1232</v>
      </c>
    </row>
    <row r="1140" spans="1:2" x14ac:dyDescent="0.2">
      <c r="A1140" s="376">
        <v>963</v>
      </c>
      <c r="B1140" s="377" t="s">
        <v>1233</v>
      </c>
    </row>
    <row r="1141" spans="1:2" x14ac:dyDescent="0.2">
      <c r="A1141" s="376">
        <v>964</v>
      </c>
      <c r="B1141" s="377" t="s">
        <v>1234</v>
      </c>
    </row>
    <row r="1142" spans="1:2" x14ac:dyDescent="0.2">
      <c r="A1142" s="376">
        <v>965</v>
      </c>
      <c r="B1142" s="377" t="s">
        <v>1235</v>
      </c>
    </row>
    <row r="1143" spans="1:2" x14ac:dyDescent="0.2">
      <c r="A1143" s="376">
        <v>966</v>
      </c>
      <c r="B1143" s="377" t="s">
        <v>1236</v>
      </c>
    </row>
    <row r="1144" spans="1:2" x14ac:dyDescent="0.2">
      <c r="A1144" s="376">
        <v>967</v>
      </c>
      <c r="B1144" s="377" t="s">
        <v>1237</v>
      </c>
    </row>
    <row r="1145" spans="1:2" x14ac:dyDescent="0.2">
      <c r="A1145" s="376">
        <v>968</v>
      </c>
      <c r="B1145" s="377" t="s">
        <v>1238</v>
      </c>
    </row>
    <row r="1146" spans="1:2" x14ac:dyDescent="0.2">
      <c r="A1146" s="376">
        <v>969</v>
      </c>
      <c r="B1146" s="377" t="s">
        <v>1239</v>
      </c>
    </row>
    <row r="1147" spans="1:2" x14ac:dyDescent="0.2">
      <c r="A1147" s="376">
        <v>970</v>
      </c>
      <c r="B1147" s="377" t="s">
        <v>1240</v>
      </c>
    </row>
    <row r="1148" spans="1:2" x14ac:dyDescent="0.2">
      <c r="A1148" s="376">
        <v>971</v>
      </c>
      <c r="B1148" s="377" t="s">
        <v>1241</v>
      </c>
    </row>
    <row r="1149" spans="1:2" x14ac:dyDescent="0.2">
      <c r="A1149" s="376">
        <v>972</v>
      </c>
      <c r="B1149" s="377" t="s">
        <v>1242</v>
      </c>
    </row>
    <row r="1150" spans="1:2" x14ac:dyDescent="0.2">
      <c r="A1150" s="376">
        <v>973</v>
      </c>
      <c r="B1150" s="377" t="s">
        <v>1243</v>
      </c>
    </row>
    <row r="1151" spans="1:2" x14ac:dyDescent="0.2">
      <c r="A1151" s="376">
        <v>974</v>
      </c>
      <c r="B1151" s="377" t="s">
        <v>1244</v>
      </c>
    </row>
    <row r="1152" spans="1:2" x14ac:dyDescent="0.2">
      <c r="A1152" s="376">
        <v>975</v>
      </c>
      <c r="B1152" s="377" t="s">
        <v>1245</v>
      </c>
    </row>
    <row r="1153" spans="1:2" x14ac:dyDescent="0.2">
      <c r="A1153" s="376">
        <v>976</v>
      </c>
      <c r="B1153" s="377" t="s">
        <v>1246</v>
      </c>
    </row>
    <row r="1154" spans="1:2" x14ac:dyDescent="0.2">
      <c r="A1154" s="376">
        <v>977</v>
      </c>
      <c r="B1154" s="377" t="s">
        <v>1247</v>
      </c>
    </row>
    <row r="1155" spans="1:2" x14ac:dyDescent="0.2">
      <c r="A1155" s="376">
        <v>978</v>
      </c>
      <c r="B1155" s="377" t="s">
        <v>1248</v>
      </c>
    </row>
    <row r="1156" spans="1:2" x14ac:dyDescent="0.2">
      <c r="A1156" s="376">
        <v>979</v>
      </c>
      <c r="B1156" s="377" t="s">
        <v>1249</v>
      </c>
    </row>
    <row r="1157" spans="1:2" x14ac:dyDescent="0.2">
      <c r="A1157" s="376">
        <v>980</v>
      </c>
      <c r="B1157" s="377" t="s">
        <v>1250</v>
      </c>
    </row>
    <row r="1158" spans="1:2" x14ac:dyDescent="0.2">
      <c r="A1158" s="376">
        <v>981</v>
      </c>
      <c r="B1158" s="377" t="s">
        <v>1251</v>
      </c>
    </row>
    <row r="1159" spans="1:2" x14ac:dyDescent="0.2">
      <c r="A1159" s="376">
        <v>982</v>
      </c>
      <c r="B1159" s="377" t="s">
        <v>898</v>
      </c>
    </row>
    <row r="1160" spans="1:2" x14ac:dyDescent="0.2">
      <c r="A1160" s="376">
        <v>983</v>
      </c>
      <c r="B1160" s="377" t="s">
        <v>1252</v>
      </c>
    </row>
    <row r="1161" spans="1:2" x14ac:dyDescent="0.2">
      <c r="A1161" s="376">
        <v>984</v>
      </c>
      <c r="B1161" s="377" t="s">
        <v>1253</v>
      </c>
    </row>
    <row r="1162" spans="1:2" x14ac:dyDescent="0.2">
      <c r="A1162" s="376">
        <v>985</v>
      </c>
      <c r="B1162" s="377" t="s">
        <v>1254</v>
      </c>
    </row>
    <row r="1163" spans="1:2" x14ac:dyDescent="0.2">
      <c r="A1163" s="376">
        <v>986</v>
      </c>
      <c r="B1163" s="377" t="s">
        <v>1255</v>
      </c>
    </row>
    <row r="1164" spans="1:2" x14ac:dyDescent="0.2">
      <c r="A1164" s="376">
        <v>987</v>
      </c>
      <c r="B1164" s="377" t="s">
        <v>1256</v>
      </c>
    </row>
    <row r="1165" spans="1:2" x14ac:dyDescent="0.2">
      <c r="A1165" s="376">
        <v>988</v>
      </c>
      <c r="B1165" s="377" t="s">
        <v>1257</v>
      </c>
    </row>
    <row r="1166" spans="1:2" x14ac:dyDescent="0.2">
      <c r="A1166" s="376">
        <v>989</v>
      </c>
      <c r="B1166" s="377" t="s">
        <v>1258</v>
      </c>
    </row>
    <row r="1167" spans="1:2" x14ac:dyDescent="0.2">
      <c r="A1167" s="373">
        <v>995</v>
      </c>
      <c r="B1167" s="329" t="s">
        <v>1255</v>
      </c>
    </row>
  </sheetData>
  <printOptions gridLines="1"/>
  <pageMargins left="0.75" right="0.75" top="1" bottom="1" header="0.5" footer="0.5"/>
  <pageSetup paperSize="9" orientation="portrait"/>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91"/>
  <sheetViews>
    <sheetView showGridLines="0" topLeftCell="A2034" workbookViewId="0"/>
  </sheetViews>
  <sheetFormatPr defaultColWidth="9.140625" defaultRowHeight="12.75" x14ac:dyDescent="0.2"/>
  <cols>
    <col min="1" max="1" width="11.85546875" style="378" customWidth="1"/>
    <col min="2" max="2" width="110.5703125" style="379" customWidth="1"/>
    <col min="3" max="16384" width="9.140625" style="81"/>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spans="1:2" hidden="1" x14ac:dyDescent="0.2"/>
    <row r="2034" spans="1:2" ht="28.5" customHeight="1" x14ac:dyDescent="0.2"/>
    <row r="2035" spans="1:2" ht="34.5" customHeight="1" x14ac:dyDescent="0.2"/>
    <row r="2036" spans="1:2" x14ac:dyDescent="0.2">
      <c r="A2036" s="380">
        <v>10000</v>
      </c>
      <c r="B2036" s="381" t="s">
        <v>1259</v>
      </c>
    </row>
    <row r="2037" spans="1:2" x14ac:dyDescent="0.2">
      <c r="A2037" s="380">
        <v>10100</v>
      </c>
      <c r="B2037" s="381" t="s">
        <v>1260</v>
      </c>
    </row>
    <row r="2038" spans="1:2" x14ac:dyDescent="0.2">
      <c r="A2038" s="380">
        <v>10200</v>
      </c>
      <c r="B2038" s="381" t="s">
        <v>1261</v>
      </c>
    </row>
    <row r="2039" spans="1:2" x14ac:dyDescent="0.2">
      <c r="A2039" s="380">
        <v>10300</v>
      </c>
      <c r="B2039" s="381" t="s">
        <v>1262</v>
      </c>
    </row>
    <row r="2040" spans="1:2" x14ac:dyDescent="0.2">
      <c r="A2040" s="380">
        <v>10400</v>
      </c>
      <c r="B2040" s="381" t="s">
        <v>1263</v>
      </c>
    </row>
    <row r="2041" spans="1:2" ht="25.5" x14ac:dyDescent="0.2">
      <c r="A2041" s="380">
        <v>10500</v>
      </c>
      <c r="B2041" s="381" t="s">
        <v>1264</v>
      </c>
    </row>
    <row r="2042" spans="1:2" x14ac:dyDescent="0.2">
      <c r="A2042" s="380">
        <v>10600</v>
      </c>
      <c r="B2042" s="381" t="s">
        <v>1265</v>
      </c>
    </row>
    <row r="2043" spans="1:2" x14ac:dyDescent="0.2">
      <c r="A2043" s="380">
        <v>10700</v>
      </c>
      <c r="B2043" s="381" t="s">
        <v>1266</v>
      </c>
    </row>
    <row r="2044" spans="1:2" x14ac:dyDescent="0.2">
      <c r="A2044" s="380">
        <v>10800</v>
      </c>
      <c r="B2044" s="381" t="s">
        <v>1267</v>
      </c>
    </row>
    <row r="2045" spans="1:2" x14ac:dyDescent="0.2">
      <c r="A2045" s="380">
        <v>10900</v>
      </c>
      <c r="B2045" s="381" t="s">
        <v>1268</v>
      </c>
    </row>
    <row r="2046" spans="1:2" x14ac:dyDescent="0.2">
      <c r="A2046" s="380">
        <v>11000</v>
      </c>
      <c r="B2046" s="381" t="s">
        <v>1269</v>
      </c>
    </row>
    <row r="2047" spans="1:2" x14ac:dyDescent="0.2">
      <c r="A2047" s="380">
        <v>11100</v>
      </c>
      <c r="B2047" s="381" t="s">
        <v>1270</v>
      </c>
    </row>
    <row r="2048" spans="1:2" x14ac:dyDescent="0.2">
      <c r="A2048" s="380">
        <v>11200</v>
      </c>
      <c r="B2048" s="381" t="s">
        <v>1271</v>
      </c>
    </row>
    <row r="2049" spans="1:2" x14ac:dyDescent="0.2">
      <c r="A2049" s="380">
        <v>11300</v>
      </c>
      <c r="B2049" s="381" t="s">
        <v>1272</v>
      </c>
    </row>
    <row r="2050" spans="1:2" x14ac:dyDescent="0.2">
      <c r="A2050" s="380">
        <v>11400</v>
      </c>
      <c r="B2050" s="381" t="s">
        <v>1273</v>
      </c>
    </row>
    <row r="2051" spans="1:2" x14ac:dyDescent="0.2">
      <c r="A2051" s="380">
        <v>11500</v>
      </c>
      <c r="B2051" s="381" t="s">
        <v>1274</v>
      </c>
    </row>
    <row r="2052" spans="1:2" x14ac:dyDescent="0.2">
      <c r="A2052" s="380">
        <v>11600</v>
      </c>
      <c r="B2052" s="381" t="s">
        <v>1275</v>
      </c>
    </row>
    <row r="2053" spans="1:2" x14ac:dyDescent="0.2">
      <c r="A2053" s="380">
        <v>11700</v>
      </c>
      <c r="B2053" s="381" t="s">
        <v>1276</v>
      </c>
    </row>
    <row r="2054" spans="1:2" ht="25.5" x14ac:dyDescent="0.2">
      <c r="A2054" s="380">
        <v>11800</v>
      </c>
      <c r="B2054" s="381" t="s">
        <v>1277</v>
      </c>
    </row>
    <row r="2055" spans="1:2" x14ac:dyDescent="0.2">
      <c r="A2055" s="380">
        <v>11900</v>
      </c>
      <c r="B2055" s="381" t="s">
        <v>1278</v>
      </c>
    </row>
    <row r="2056" spans="1:2" ht="76.5" x14ac:dyDescent="0.2">
      <c r="A2056" s="380">
        <v>12000</v>
      </c>
      <c r="B2056" s="381" t="s">
        <v>1279</v>
      </c>
    </row>
    <row r="2057" spans="1:2" x14ac:dyDescent="0.2">
      <c r="A2057" s="380">
        <v>12200</v>
      </c>
      <c r="B2057" s="381" t="s">
        <v>1280</v>
      </c>
    </row>
    <row r="2058" spans="1:2" x14ac:dyDescent="0.2">
      <c r="A2058" s="380">
        <v>12300</v>
      </c>
      <c r="B2058" s="381" t="s">
        <v>1281</v>
      </c>
    </row>
    <row r="2059" spans="1:2" x14ac:dyDescent="0.2">
      <c r="A2059" s="380">
        <v>12400</v>
      </c>
      <c r="B2059" s="381" t="s">
        <v>1282</v>
      </c>
    </row>
    <row r="2060" spans="1:2" x14ac:dyDescent="0.2">
      <c r="A2060" s="380">
        <v>12500</v>
      </c>
      <c r="B2060" s="381" t="s">
        <v>1283</v>
      </c>
    </row>
    <row r="2061" spans="1:2" x14ac:dyDescent="0.2">
      <c r="A2061" s="380">
        <v>12600</v>
      </c>
      <c r="B2061" s="381" t="s">
        <v>1284</v>
      </c>
    </row>
    <row r="2062" spans="1:2" x14ac:dyDescent="0.2">
      <c r="A2062" s="380">
        <v>12700</v>
      </c>
      <c r="B2062" s="381" t="s">
        <v>1285</v>
      </c>
    </row>
    <row r="2063" spans="1:2" x14ac:dyDescent="0.2">
      <c r="A2063" s="380">
        <v>12900</v>
      </c>
      <c r="B2063" s="381" t="s">
        <v>1286</v>
      </c>
    </row>
    <row r="2064" spans="1:2" x14ac:dyDescent="0.2">
      <c r="A2064" s="380">
        <v>13000</v>
      </c>
      <c r="B2064" s="381" t="s">
        <v>1287</v>
      </c>
    </row>
    <row r="2065" spans="1:2" x14ac:dyDescent="0.2">
      <c r="A2065" s="380">
        <v>13100</v>
      </c>
      <c r="B2065" s="381" t="s">
        <v>1288</v>
      </c>
    </row>
    <row r="2066" spans="1:2" x14ac:dyDescent="0.2">
      <c r="A2066" s="380">
        <v>13200</v>
      </c>
      <c r="B2066" s="381" t="s">
        <v>1289</v>
      </c>
    </row>
    <row r="2067" spans="1:2" x14ac:dyDescent="0.2">
      <c r="A2067" s="380">
        <v>13300</v>
      </c>
      <c r="B2067" s="381" t="s">
        <v>1290</v>
      </c>
    </row>
    <row r="2068" spans="1:2" x14ac:dyDescent="0.2">
      <c r="A2068" s="380">
        <v>13400</v>
      </c>
      <c r="B2068" s="381" t="s">
        <v>1291</v>
      </c>
    </row>
    <row r="2069" spans="1:2" ht="25.5" x14ac:dyDescent="0.2">
      <c r="A2069" s="380">
        <v>13500</v>
      </c>
      <c r="B2069" s="381" t="s">
        <v>1292</v>
      </c>
    </row>
    <row r="2070" spans="1:2" x14ac:dyDescent="0.2">
      <c r="A2070" s="380">
        <v>13600</v>
      </c>
      <c r="B2070" s="381" t="s">
        <v>1293</v>
      </c>
    </row>
    <row r="2071" spans="1:2" ht="51" x14ac:dyDescent="0.2">
      <c r="A2071" s="380">
        <v>13700</v>
      </c>
      <c r="B2071" s="381" t="s">
        <v>1294</v>
      </c>
    </row>
    <row r="2072" spans="1:2" x14ac:dyDescent="0.2">
      <c r="A2072" s="380">
        <v>13800</v>
      </c>
      <c r="B2072" s="381" t="s">
        <v>1295</v>
      </c>
    </row>
    <row r="2073" spans="1:2" x14ac:dyDescent="0.2">
      <c r="A2073" s="380">
        <v>13801</v>
      </c>
      <c r="B2073" s="381" t="s">
        <v>1295</v>
      </c>
    </row>
    <row r="2074" spans="1:2" ht="25.5" x14ac:dyDescent="0.2">
      <c r="A2074" s="380">
        <v>14000</v>
      </c>
      <c r="B2074" s="381" t="s">
        <v>1296</v>
      </c>
    </row>
    <row r="2075" spans="1:2" x14ac:dyDescent="0.2">
      <c r="A2075" s="380">
        <v>14100</v>
      </c>
      <c r="B2075" s="381" t="s">
        <v>1297</v>
      </c>
    </row>
    <row r="2076" spans="1:2" ht="25.5" x14ac:dyDescent="0.2">
      <c r="A2076" s="380">
        <v>14200</v>
      </c>
      <c r="B2076" s="381" t="s">
        <v>1298</v>
      </c>
    </row>
    <row r="2077" spans="1:2" x14ac:dyDescent="0.2">
      <c r="A2077" s="380">
        <v>14300</v>
      </c>
      <c r="B2077" s="381" t="s">
        <v>1299</v>
      </c>
    </row>
    <row r="2078" spans="1:2" ht="25.5" x14ac:dyDescent="0.2">
      <c r="A2078" s="380">
        <v>14400</v>
      </c>
      <c r="B2078" s="381" t="s">
        <v>1300</v>
      </c>
    </row>
    <row r="2079" spans="1:2" ht="25.5" x14ac:dyDescent="0.2">
      <c r="A2079" s="380">
        <v>14500</v>
      </c>
      <c r="B2079" s="381" t="s">
        <v>1301</v>
      </c>
    </row>
    <row r="2080" spans="1:2" x14ac:dyDescent="0.2">
      <c r="A2080" s="380">
        <v>14600</v>
      </c>
      <c r="B2080" s="381" t="s">
        <v>1302</v>
      </c>
    </row>
    <row r="2081" spans="1:2" x14ac:dyDescent="0.2">
      <c r="A2081" s="380">
        <v>14700</v>
      </c>
      <c r="B2081" s="381" t="s">
        <v>1303</v>
      </c>
    </row>
    <row r="2082" spans="1:2" x14ac:dyDescent="0.2">
      <c r="A2082" s="380">
        <v>14900</v>
      </c>
      <c r="B2082" s="381" t="s">
        <v>1304</v>
      </c>
    </row>
    <row r="2083" spans="1:2" ht="25.5" x14ac:dyDescent="0.2">
      <c r="A2083" s="380">
        <v>15100</v>
      </c>
      <c r="B2083" s="381" t="s">
        <v>1305</v>
      </c>
    </row>
    <row r="2084" spans="1:2" ht="38.25" x14ac:dyDescent="0.2">
      <c r="A2084" s="380">
        <v>15200</v>
      </c>
      <c r="B2084" s="381" t="s">
        <v>1306</v>
      </c>
    </row>
    <row r="2085" spans="1:2" ht="25.5" x14ac:dyDescent="0.2">
      <c r="A2085" s="380">
        <v>15300</v>
      </c>
      <c r="B2085" s="381" t="s">
        <v>1307</v>
      </c>
    </row>
    <row r="2086" spans="1:2" x14ac:dyDescent="0.2">
      <c r="A2086" s="380">
        <v>15500</v>
      </c>
      <c r="B2086" s="381" t="s">
        <v>1308</v>
      </c>
    </row>
    <row r="2087" spans="1:2" x14ac:dyDescent="0.2">
      <c r="A2087" s="380">
        <v>15800</v>
      </c>
      <c r="B2087" s="381" t="s">
        <v>1309</v>
      </c>
    </row>
    <row r="2088" spans="1:2" x14ac:dyDescent="0.2">
      <c r="A2088" s="380">
        <v>16700</v>
      </c>
      <c r="B2088" s="381" t="s">
        <v>1310</v>
      </c>
    </row>
    <row r="2089" spans="1:2" x14ac:dyDescent="0.2">
      <c r="A2089" s="380">
        <v>16800</v>
      </c>
      <c r="B2089" s="381" t="s">
        <v>1311</v>
      </c>
    </row>
    <row r="2090" spans="1:2" x14ac:dyDescent="0.2">
      <c r="A2090" s="380">
        <v>16801</v>
      </c>
      <c r="B2090" s="381" t="s">
        <v>1312</v>
      </c>
    </row>
    <row r="2091" spans="1:2" ht="25.5" x14ac:dyDescent="0.2">
      <c r="A2091" s="380">
        <v>16802</v>
      </c>
      <c r="B2091" s="381" t="s">
        <v>1313</v>
      </c>
    </row>
    <row r="2092" spans="1:2" x14ac:dyDescent="0.2">
      <c r="A2092" s="380">
        <v>17000</v>
      </c>
      <c r="B2092" s="381" t="s">
        <v>1314</v>
      </c>
    </row>
    <row r="2093" spans="1:2" x14ac:dyDescent="0.2">
      <c r="A2093" s="380">
        <v>17100</v>
      </c>
      <c r="B2093" s="381" t="s">
        <v>1315</v>
      </c>
    </row>
    <row r="2094" spans="1:2" x14ac:dyDescent="0.2">
      <c r="A2094" s="380">
        <v>17101</v>
      </c>
      <c r="B2094" s="381" t="s">
        <v>1316</v>
      </c>
    </row>
    <row r="2095" spans="1:2" x14ac:dyDescent="0.2">
      <c r="A2095" s="380">
        <v>17102</v>
      </c>
      <c r="B2095" s="381" t="s">
        <v>1317</v>
      </c>
    </row>
    <row r="2096" spans="1:2" x14ac:dyDescent="0.2">
      <c r="A2096" s="380">
        <v>17103</v>
      </c>
      <c r="B2096" s="381" t="s">
        <v>1318</v>
      </c>
    </row>
    <row r="2097" spans="1:2" x14ac:dyDescent="0.2">
      <c r="A2097" s="380">
        <v>17200</v>
      </c>
      <c r="B2097" s="381" t="s">
        <v>1319</v>
      </c>
    </row>
    <row r="2098" spans="1:2" x14ac:dyDescent="0.2">
      <c r="A2098" s="380">
        <v>17201</v>
      </c>
      <c r="B2098" s="381" t="s">
        <v>1320</v>
      </c>
    </row>
    <row r="2099" spans="1:2" x14ac:dyDescent="0.2">
      <c r="A2099" s="380">
        <v>17202</v>
      </c>
      <c r="B2099" s="381" t="s">
        <v>1321</v>
      </c>
    </row>
    <row r="2100" spans="1:2" x14ac:dyDescent="0.2">
      <c r="A2100" s="380">
        <v>17203</v>
      </c>
      <c r="B2100" s="381" t="s">
        <v>1322</v>
      </c>
    </row>
    <row r="2101" spans="1:2" x14ac:dyDescent="0.2">
      <c r="A2101" s="380">
        <v>17500</v>
      </c>
      <c r="B2101" s="381" t="s">
        <v>1323</v>
      </c>
    </row>
    <row r="2102" spans="1:2" x14ac:dyDescent="0.2">
      <c r="A2102" s="380">
        <v>17600</v>
      </c>
      <c r="B2102" s="381" t="s">
        <v>1324</v>
      </c>
    </row>
    <row r="2103" spans="1:2" x14ac:dyDescent="0.2">
      <c r="A2103" s="380">
        <v>17900</v>
      </c>
      <c r="B2103" s="381" t="s">
        <v>1325</v>
      </c>
    </row>
    <row r="2104" spans="1:2" x14ac:dyDescent="0.2">
      <c r="A2104" s="380">
        <v>18200</v>
      </c>
      <c r="B2104" s="381" t="s">
        <v>1326</v>
      </c>
    </row>
    <row r="2105" spans="1:2" x14ac:dyDescent="0.2">
      <c r="A2105" s="380">
        <v>19900</v>
      </c>
      <c r="B2105" s="381" t="s">
        <v>1327</v>
      </c>
    </row>
    <row r="2106" spans="1:2" ht="25.5" x14ac:dyDescent="0.2">
      <c r="A2106" s="380">
        <v>20000</v>
      </c>
      <c r="B2106" s="381" t="s">
        <v>1328</v>
      </c>
    </row>
    <row r="2107" spans="1:2" x14ac:dyDescent="0.2">
      <c r="A2107" s="380">
        <v>20300</v>
      </c>
      <c r="B2107" s="381" t="s">
        <v>1329</v>
      </c>
    </row>
    <row r="2108" spans="1:2" x14ac:dyDescent="0.2">
      <c r="A2108" s="380">
        <v>20400</v>
      </c>
      <c r="B2108" s="381" t="s">
        <v>1263</v>
      </c>
    </row>
    <row r="2109" spans="1:2" x14ac:dyDescent="0.2">
      <c r="A2109" s="380">
        <v>21100</v>
      </c>
      <c r="B2109" s="381" t="s">
        <v>1330</v>
      </c>
    </row>
    <row r="2110" spans="1:2" x14ac:dyDescent="0.2">
      <c r="A2110" s="380">
        <v>21200</v>
      </c>
      <c r="B2110" s="381" t="s">
        <v>1331</v>
      </c>
    </row>
    <row r="2111" spans="1:2" x14ac:dyDescent="0.2">
      <c r="A2111" s="380">
        <v>22500</v>
      </c>
      <c r="B2111" s="381" t="s">
        <v>1332</v>
      </c>
    </row>
    <row r="2112" spans="1:2" x14ac:dyDescent="0.2">
      <c r="A2112" s="380">
        <v>100000</v>
      </c>
      <c r="B2112" s="381" t="s">
        <v>1333</v>
      </c>
    </row>
    <row r="2113" spans="1:2" x14ac:dyDescent="0.2">
      <c r="A2113" s="380">
        <v>100100</v>
      </c>
      <c r="B2113" s="381" t="s">
        <v>1334</v>
      </c>
    </row>
    <row r="2114" spans="1:2" x14ac:dyDescent="0.2">
      <c r="A2114" s="380">
        <v>100200</v>
      </c>
      <c r="B2114" s="381" t="s">
        <v>1335</v>
      </c>
    </row>
    <row r="2115" spans="1:2" x14ac:dyDescent="0.2">
      <c r="A2115" s="380">
        <v>200000</v>
      </c>
      <c r="B2115" s="381" t="s">
        <v>1336</v>
      </c>
    </row>
    <row r="2116" spans="1:2" x14ac:dyDescent="0.2">
      <c r="A2116" s="380">
        <v>200002</v>
      </c>
      <c r="B2116" s="381" t="s">
        <v>1337</v>
      </c>
    </row>
    <row r="2117" spans="1:2" x14ac:dyDescent="0.2">
      <c r="A2117" s="380">
        <v>200003</v>
      </c>
      <c r="B2117" s="381" t="s">
        <v>1338</v>
      </c>
    </row>
    <row r="2118" spans="1:2" x14ac:dyDescent="0.2">
      <c r="A2118" s="380">
        <v>200100</v>
      </c>
      <c r="B2118" s="381" t="s">
        <v>1339</v>
      </c>
    </row>
    <row r="2119" spans="1:2" x14ac:dyDescent="0.2">
      <c r="A2119" s="380">
        <v>200200</v>
      </c>
      <c r="B2119" s="381" t="s">
        <v>1340</v>
      </c>
    </row>
    <row r="2120" spans="1:2" x14ac:dyDescent="0.2">
      <c r="A2120" s="380">
        <v>200300</v>
      </c>
      <c r="B2120" s="381" t="s">
        <v>1341</v>
      </c>
    </row>
    <row r="2121" spans="1:2" ht="25.5" x14ac:dyDescent="0.2">
      <c r="A2121" s="380">
        <v>200400</v>
      </c>
      <c r="B2121" s="381" t="s">
        <v>1342</v>
      </c>
    </row>
    <row r="2122" spans="1:2" x14ac:dyDescent="0.2">
      <c r="A2122" s="380">
        <v>210000</v>
      </c>
      <c r="B2122" s="381" t="s">
        <v>1343</v>
      </c>
    </row>
    <row r="2123" spans="1:2" x14ac:dyDescent="0.2">
      <c r="A2123" s="380">
        <v>219900</v>
      </c>
      <c r="B2123" s="381" t="s">
        <v>1327</v>
      </c>
    </row>
    <row r="2124" spans="1:2" x14ac:dyDescent="0.2">
      <c r="A2124" s="380">
        <v>300000</v>
      </c>
      <c r="B2124" s="381" t="s">
        <v>1344</v>
      </c>
    </row>
    <row r="2125" spans="1:2" x14ac:dyDescent="0.2">
      <c r="A2125" s="380">
        <v>300100</v>
      </c>
      <c r="B2125" s="381" t="s">
        <v>1345</v>
      </c>
    </row>
    <row r="2126" spans="1:2" x14ac:dyDescent="0.2">
      <c r="A2126" s="380">
        <v>300300</v>
      </c>
      <c r="B2126" s="381" t="s">
        <v>1346</v>
      </c>
    </row>
    <row r="2127" spans="1:2" x14ac:dyDescent="0.2">
      <c r="A2127" s="380">
        <v>300301</v>
      </c>
      <c r="B2127" s="381" t="s">
        <v>1347</v>
      </c>
    </row>
    <row r="2128" spans="1:2" x14ac:dyDescent="0.2">
      <c r="A2128" s="380">
        <v>300302</v>
      </c>
      <c r="B2128" s="381" t="s">
        <v>1348</v>
      </c>
    </row>
    <row r="2129" spans="1:2" x14ac:dyDescent="0.2">
      <c r="A2129" s="380">
        <v>300400</v>
      </c>
      <c r="B2129" s="381" t="s">
        <v>1349</v>
      </c>
    </row>
    <row r="2130" spans="1:2" x14ac:dyDescent="0.2">
      <c r="A2130" s="380">
        <v>300500</v>
      </c>
      <c r="B2130" s="381" t="s">
        <v>1350</v>
      </c>
    </row>
    <row r="2131" spans="1:2" x14ac:dyDescent="0.2">
      <c r="A2131" s="380">
        <v>300600</v>
      </c>
      <c r="B2131" s="381" t="s">
        <v>1351</v>
      </c>
    </row>
    <row r="2132" spans="1:2" x14ac:dyDescent="0.2">
      <c r="A2132" s="380">
        <v>300700</v>
      </c>
      <c r="B2132" s="381" t="s">
        <v>1352</v>
      </c>
    </row>
    <row r="2133" spans="1:2" x14ac:dyDescent="0.2">
      <c r="A2133" s="380">
        <v>300800</v>
      </c>
      <c r="B2133" s="381" t="s">
        <v>1353</v>
      </c>
    </row>
    <row r="2134" spans="1:2" ht="25.5" x14ac:dyDescent="0.2">
      <c r="A2134" s="380">
        <v>300900</v>
      </c>
      <c r="B2134" s="381" t="s">
        <v>1354</v>
      </c>
    </row>
    <row r="2135" spans="1:2" x14ac:dyDescent="0.2">
      <c r="A2135" s="380">
        <v>301000</v>
      </c>
      <c r="B2135" s="381" t="s">
        <v>1355</v>
      </c>
    </row>
    <row r="2136" spans="1:2" x14ac:dyDescent="0.2">
      <c r="A2136" s="380">
        <v>301100</v>
      </c>
      <c r="B2136" s="381" t="s">
        <v>1356</v>
      </c>
    </row>
    <row r="2137" spans="1:2" x14ac:dyDescent="0.2">
      <c r="A2137" s="380">
        <v>301200</v>
      </c>
      <c r="B2137" s="381" t="s">
        <v>1357</v>
      </c>
    </row>
    <row r="2138" spans="1:2" x14ac:dyDescent="0.2">
      <c r="A2138" s="380">
        <v>301300</v>
      </c>
      <c r="B2138" s="381" t="s">
        <v>1358</v>
      </c>
    </row>
    <row r="2139" spans="1:2" x14ac:dyDescent="0.2">
      <c r="A2139" s="380">
        <v>301400</v>
      </c>
      <c r="B2139" s="381" t="s">
        <v>1359</v>
      </c>
    </row>
    <row r="2140" spans="1:2" x14ac:dyDescent="0.2">
      <c r="A2140" s="380">
        <v>309600</v>
      </c>
      <c r="B2140" s="381" t="s">
        <v>1360</v>
      </c>
    </row>
    <row r="2141" spans="1:2" x14ac:dyDescent="0.2">
      <c r="A2141" s="380">
        <v>309700</v>
      </c>
      <c r="B2141" s="381" t="s">
        <v>1361</v>
      </c>
    </row>
    <row r="2142" spans="1:2" x14ac:dyDescent="0.2">
      <c r="A2142" s="380">
        <v>309800</v>
      </c>
      <c r="B2142" s="381" t="s">
        <v>1362</v>
      </c>
    </row>
    <row r="2143" spans="1:2" x14ac:dyDescent="0.2">
      <c r="A2143" s="380">
        <v>310000</v>
      </c>
      <c r="B2143" s="381" t="s">
        <v>1363</v>
      </c>
    </row>
    <row r="2144" spans="1:2" x14ac:dyDescent="0.2">
      <c r="A2144" s="380">
        <v>310100</v>
      </c>
      <c r="B2144" s="381" t="s">
        <v>1364</v>
      </c>
    </row>
    <row r="2145" spans="1:2" x14ac:dyDescent="0.2">
      <c r="A2145" s="380">
        <v>310200</v>
      </c>
      <c r="B2145" s="381" t="s">
        <v>1365</v>
      </c>
    </row>
    <row r="2146" spans="1:2" x14ac:dyDescent="0.2">
      <c r="A2146" s="380">
        <v>310300</v>
      </c>
      <c r="B2146" s="381" t="s">
        <v>1366</v>
      </c>
    </row>
    <row r="2147" spans="1:2" x14ac:dyDescent="0.2">
      <c r="A2147" s="380">
        <v>320000</v>
      </c>
      <c r="B2147" s="381" t="s">
        <v>1367</v>
      </c>
    </row>
    <row r="2148" spans="1:2" x14ac:dyDescent="0.2">
      <c r="A2148" s="380">
        <v>326900</v>
      </c>
      <c r="B2148" s="381" t="s">
        <v>1368</v>
      </c>
    </row>
    <row r="2149" spans="1:2" x14ac:dyDescent="0.2">
      <c r="A2149" s="380">
        <v>329600</v>
      </c>
      <c r="B2149" s="381" t="s">
        <v>1360</v>
      </c>
    </row>
    <row r="2150" spans="1:2" x14ac:dyDescent="0.2">
      <c r="A2150" s="380">
        <v>329800</v>
      </c>
      <c r="B2150" s="381" t="s">
        <v>1362</v>
      </c>
    </row>
    <row r="2151" spans="1:2" x14ac:dyDescent="0.2">
      <c r="A2151" s="380">
        <v>340000</v>
      </c>
      <c r="B2151" s="381" t="s">
        <v>1369</v>
      </c>
    </row>
    <row r="2152" spans="1:2" x14ac:dyDescent="0.2">
      <c r="A2152" s="380">
        <v>340100</v>
      </c>
      <c r="B2152" s="381" t="s">
        <v>1370</v>
      </c>
    </row>
    <row r="2153" spans="1:2" x14ac:dyDescent="0.2">
      <c r="A2153" s="380">
        <v>400000</v>
      </c>
      <c r="B2153" s="381" t="s">
        <v>1371</v>
      </c>
    </row>
    <row r="2154" spans="1:2" x14ac:dyDescent="0.2">
      <c r="A2154" s="380">
        <v>400100</v>
      </c>
      <c r="B2154" s="381" t="s">
        <v>1372</v>
      </c>
    </row>
    <row r="2155" spans="1:2" x14ac:dyDescent="0.2">
      <c r="A2155" s="380">
        <v>400200</v>
      </c>
      <c r="B2155" s="381" t="s">
        <v>1373</v>
      </c>
    </row>
    <row r="2156" spans="1:2" x14ac:dyDescent="0.2">
      <c r="A2156" s="380">
        <v>500000</v>
      </c>
      <c r="B2156" s="381" t="s">
        <v>1374</v>
      </c>
    </row>
    <row r="2157" spans="1:2" x14ac:dyDescent="0.2">
      <c r="A2157" s="380">
        <v>500100</v>
      </c>
      <c r="B2157" s="381" t="s">
        <v>1375</v>
      </c>
    </row>
    <row r="2158" spans="1:2" x14ac:dyDescent="0.2">
      <c r="A2158" s="380">
        <v>509900</v>
      </c>
      <c r="B2158" s="381" t="s">
        <v>1327</v>
      </c>
    </row>
    <row r="2159" spans="1:2" x14ac:dyDescent="0.2">
      <c r="A2159" s="380">
        <v>600000</v>
      </c>
      <c r="B2159" s="381" t="s">
        <v>1376</v>
      </c>
    </row>
    <row r="2160" spans="1:2" x14ac:dyDescent="0.2">
      <c r="A2160" s="380">
        <v>600400</v>
      </c>
      <c r="B2160" s="381" t="s">
        <v>1263</v>
      </c>
    </row>
    <row r="2161" spans="1:2" x14ac:dyDescent="0.2">
      <c r="A2161" s="380">
        <v>607900</v>
      </c>
      <c r="B2161" s="381" t="s">
        <v>1325</v>
      </c>
    </row>
    <row r="2162" spans="1:2" x14ac:dyDescent="0.2">
      <c r="A2162" s="380">
        <v>609200</v>
      </c>
      <c r="B2162" s="381" t="s">
        <v>1377</v>
      </c>
    </row>
    <row r="2163" spans="1:2" ht="25.5" x14ac:dyDescent="0.2">
      <c r="A2163" s="380">
        <v>609300</v>
      </c>
      <c r="B2163" s="381" t="s">
        <v>1378</v>
      </c>
    </row>
    <row r="2164" spans="1:2" x14ac:dyDescent="0.2">
      <c r="A2164" s="380">
        <v>609400</v>
      </c>
      <c r="B2164" s="381" t="s">
        <v>1379</v>
      </c>
    </row>
    <row r="2165" spans="1:2" x14ac:dyDescent="0.2">
      <c r="A2165" s="380">
        <v>609900</v>
      </c>
      <c r="B2165" s="381" t="s">
        <v>1327</v>
      </c>
    </row>
    <row r="2166" spans="1:2" x14ac:dyDescent="0.2">
      <c r="A2166" s="380">
        <v>610000</v>
      </c>
      <c r="B2166" s="381" t="s">
        <v>1380</v>
      </c>
    </row>
    <row r="2167" spans="1:2" ht="25.5" x14ac:dyDescent="0.2">
      <c r="A2167" s="380">
        <v>615600</v>
      </c>
      <c r="B2167" s="381" t="s">
        <v>1381</v>
      </c>
    </row>
    <row r="2168" spans="1:2" x14ac:dyDescent="0.2">
      <c r="A2168" s="380">
        <v>619000</v>
      </c>
      <c r="B2168" s="381" t="s">
        <v>1382</v>
      </c>
    </row>
    <row r="2169" spans="1:2" x14ac:dyDescent="0.2">
      <c r="A2169" s="380">
        <v>619100</v>
      </c>
      <c r="B2169" s="381" t="s">
        <v>1383</v>
      </c>
    </row>
    <row r="2170" spans="1:2" x14ac:dyDescent="0.2">
      <c r="A2170" s="380">
        <v>619200</v>
      </c>
      <c r="B2170" s="381" t="s">
        <v>1377</v>
      </c>
    </row>
    <row r="2171" spans="1:2" x14ac:dyDescent="0.2">
      <c r="A2171" s="380">
        <v>619900</v>
      </c>
      <c r="B2171" s="381" t="s">
        <v>1327</v>
      </c>
    </row>
    <row r="2172" spans="1:2" x14ac:dyDescent="0.2">
      <c r="A2172" s="380">
        <v>650000</v>
      </c>
      <c r="B2172" s="381" t="s">
        <v>1384</v>
      </c>
    </row>
    <row r="2173" spans="1:2" x14ac:dyDescent="0.2">
      <c r="A2173" s="380">
        <v>650100</v>
      </c>
      <c r="B2173" s="381" t="s">
        <v>1385</v>
      </c>
    </row>
    <row r="2174" spans="1:2" x14ac:dyDescent="0.2">
      <c r="A2174" s="380">
        <v>650300</v>
      </c>
      <c r="B2174" s="381" t="s">
        <v>1386</v>
      </c>
    </row>
    <row r="2175" spans="1:2" x14ac:dyDescent="0.2">
      <c r="A2175" s="380">
        <v>700000</v>
      </c>
      <c r="B2175" s="381" t="s">
        <v>204</v>
      </c>
    </row>
    <row r="2176" spans="1:2" x14ac:dyDescent="0.2">
      <c r="A2176" s="380">
        <v>700100</v>
      </c>
      <c r="B2176" s="381" t="s">
        <v>1387</v>
      </c>
    </row>
    <row r="2177" spans="1:2" x14ac:dyDescent="0.2">
      <c r="A2177" s="380">
        <v>700200</v>
      </c>
      <c r="B2177" s="381" t="s">
        <v>1388</v>
      </c>
    </row>
    <row r="2178" spans="1:2" ht="25.5" x14ac:dyDescent="0.2">
      <c r="A2178" s="380">
        <v>700300</v>
      </c>
      <c r="B2178" s="381" t="s">
        <v>1389</v>
      </c>
    </row>
    <row r="2179" spans="1:2" x14ac:dyDescent="0.2">
      <c r="A2179" s="380">
        <v>700400</v>
      </c>
      <c r="B2179" s="381" t="s">
        <v>1390</v>
      </c>
    </row>
    <row r="2180" spans="1:2" x14ac:dyDescent="0.2">
      <c r="A2180" s="380">
        <v>700500</v>
      </c>
      <c r="B2180" s="381" t="s">
        <v>632</v>
      </c>
    </row>
    <row r="2181" spans="1:2" x14ac:dyDescent="0.2">
      <c r="A2181" s="380">
        <v>750000</v>
      </c>
      <c r="B2181" s="381" t="s">
        <v>1391</v>
      </c>
    </row>
    <row r="2182" spans="1:2" x14ac:dyDescent="0.2">
      <c r="A2182" s="380">
        <v>750100</v>
      </c>
      <c r="B2182" s="381" t="s">
        <v>1391</v>
      </c>
    </row>
    <row r="2183" spans="1:2" x14ac:dyDescent="0.2">
      <c r="A2183" s="380">
        <v>800000</v>
      </c>
      <c r="B2183" s="381" t="s">
        <v>1392</v>
      </c>
    </row>
    <row r="2184" spans="1:2" x14ac:dyDescent="0.2">
      <c r="A2184" s="380">
        <v>800100</v>
      </c>
      <c r="B2184" s="381" t="s">
        <v>1393</v>
      </c>
    </row>
    <row r="2185" spans="1:2" x14ac:dyDescent="0.2">
      <c r="A2185" s="380">
        <v>800200</v>
      </c>
      <c r="B2185" s="381" t="s">
        <v>1394</v>
      </c>
    </row>
    <row r="2186" spans="1:2" ht="25.5" x14ac:dyDescent="0.2">
      <c r="A2186" s="380">
        <v>809300</v>
      </c>
      <c r="B2186" s="381" t="s">
        <v>1378</v>
      </c>
    </row>
    <row r="2187" spans="1:2" x14ac:dyDescent="0.2">
      <c r="A2187" s="380">
        <v>810000</v>
      </c>
      <c r="B2187" s="381" t="s">
        <v>1395</v>
      </c>
    </row>
    <row r="2188" spans="1:2" ht="25.5" x14ac:dyDescent="0.2">
      <c r="A2188" s="380">
        <v>810100</v>
      </c>
      <c r="B2188" s="381" t="s">
        <v>1396</v>
      </c>
    </row>
    <row r="2189" spans="1:2" x14ac:dyDescent="0.2">
      <c r="A2189" s="380">
        <v>810200</v>
      </c>
      <c r="B2189" s="381" t="s">
        <v>1397</v>
      </c>
    </row>
    <row r="2190" spans="1:2" ht="25.5" x14ac:dyDescent="0.2">
      <c r="A2190" s="380">
        <v>810300</v>
      </c>
      <c r="B2190" s="381" t="s">
        <v>1398</v>
      </c>
    </row>
    <row r="2191" spans="1:2" ht="25.5" x14ac:dyDescent="0.2">
      <c r="A2191" s="380">
        <v>810400</v>
      </c>
      <c r="B2191" s="381" t="s">
        <v>1399</v>
      </c>
    </row>
    <row r="2192" spans="1:2" x14ac:dyDescent="0.2">
      <c r="A2192" s="380">
        <v>815013</v>
      </c>
      <c r="B2192" s="381" t="s">
        <v>1400</v>
      </c>
    </row>
    <row r="2193" spans="1:2" x14ac:dyDescent="0.2">
      <c r="A2193" s="380">
        <v>815800</v>
      </c>
      <c r="B2193" s="381" t="s">
        <v>1309</v>
      </c>
    </row>
    <row r="2194" spans="1:2" x14ac:dyDescent="0.2">
      <c r="A2194" s="380">
        <v>816800</v>
      </c>
      <c r="B2194" s="381" t="s">
        <v>1401</v>
      </c>
    </row>
    <row r="2195" spans="1:2" x14ac:dyDescent="0.2">
      <c r="A2195" s="380">
        <v>816801</v>
      </c>
      <c r="B2195" s="381" t="s">
        <v>1312</v>
      </c>
    </row>
    <row r="2196" spans="1:2" ht="25.5" x14ac:dyDescent="0.2">
      <c r="A2196" s="380">
        <v>816802</v>
      </c>
      <c r="B2196" s="381" t="s">
        <v>1313</v>
      </c>
    </row>
    <row r="2197" spans="1:2" x14ac:dyDescent="0.2">
      <c r="A2197" s="380">
        <v>816900</v>
      </c>
      <c r="B2197" s="381" t="s">
        <v>1368</v>
      </c>
    </row>
    <row r="2198" spans="1:2" x14ac:dyDescent="0.2">
      <c r="A2198" s="380">
        <v>817100</v>
      </c>
      <c r="B2198" s="381" t="s">
        <v>1315</v>
      </c>
    </row>
    <row r="2199" spans="1:2" x14ac:dyDescent="0.2">
      <c r="A2199" s="380">
        <v>817101</v>
      </c>
      <c r="B2199" s="381" t="s">
        <v>1316</v>
      </c>
    </row>
    <row r="2200" spans="1:2" x14ac:dyDescent="0.2">
      <c r="A2200" s="380">
        <v>817102</v>
      </c>
      <c r="B2200" s="381" t="s">
        <v>1317</v>
      </c>
    </row>
    <row r="2201" spans="1:2" x14ac:dyDescent="0.2">
      <c r="A2201" s="380">
        <v>817103</v>
      </c>
      <c r="B2201" s="381" t="s">
        <v>1318</v>
      </c>
    </row>
    <row r="2202" spans="1:2" x14ac:dyDescent="0.2">
      <c r="A2202" s="380">
        <v>817200</v>
      </c>
      <c r="B2202" s="381" t="s">
        <v>1319</v>
      </c>
    </row>
    <row r="2203" spans="1:2" x14ac:dyDescent="0.2">
      <c r="A2203" s="380">
        <v>817201</v>
      </c>
      <c r="B2203" s="381" t="s">
        <v>1320</v>
      </c>
    </row>
    <row r="2204" spans="1:2" x14ac:dyDescent="0.2">
      <c r="A2204" s="380">
        <v>817202</v>
      </c>
      <c r="B2204" s="381" t="s">
        <v>1321</v>
      </c>
    </row>
    <row r="2205" spans="1:2" x14ac:dyDescent="0.2">
      <c r="A2205" s="380">
        <v>817203</v>
      </c>
      <c r="B2205" s="381" t="s">
        <v>1322</v>
      </c>
    </row>
    <row r="2206" spans="1:2" x14ac:dyDescent="0.2">
      <c r="A2206" s="380">
        <v>817294</v>
      </c>
      <c r="B2206" s="381" t="s">
        <v>1402</v>
      </c>
    </row>
    <row r="2207" spans="1:2" x14ac:dyDescent="0.2">
      <c r="A2207" s="380">
        <v>817600</v>
      </c>
      <c r="B2207" s="381" t="s">
        <v>1324</v>
      </c>
    </row>
    <row r="2208" spans="1:2" x14ac:dyDescent="0.2">
      <c r="A2208" s="380">
        <v>818700</v>
      </c>
      <c r="B2208" s="381" t="s">
        <v>1403</v>
      </c>
    </row>
    <row r="2209" spans="1:2" x14ac:dyDescent="0.2">
      <c r="A2209" s="380">
        <v>818800</v>
      </c>
      <c r="B2209" s="381" t="s">
        <v>1404</v>
      </c>
    </row>
    <row r="2210" spans="1:2" x14ac:dyDescent="0.2">
      <c r="A2210" s="380">
        <v>819200</v>
      </c>
      <c r="B2210" s="381" t="s">
        <v>1377</v>
      </c>
    </row>
    <row r="2211" spans="1:2" ht="25.5" x14ac:dyDescent="0.2">
      <c r="A2211" s="380">
        <v>819300</v>
      </c>
      <c r="B2211" s="381" t="s">
        <v>1378</v>
      </c>
    </row>
    <row r="2212" spans="1:2" x14ac:dyDescent="0.2">
      <c r="A2212" s="380">
        <v>819900</v>
      </c>
      <c r="B2212" s="381" t="s">
        <v>1327</v>
      </c>
    </row>
    <row r="2213" spans="1:2" ht="25.5" x14ac:dyDescent="0.2">
      <c r="A2213" s="380">
        <v>900000</v>
      </c>
      <c r="B2213" s="381" t="s">
        <v>1405</v>
      </c>
    </row>
    <row r="2214" spans="1:2" x14ac:dyDescent="0.2">
      <c r="A2214" s="380">
        <v>900100</v>
      </c>
      <c r="B2214" s="381" t="s">
        <v>1406</v>
      </c>
    </row>
    <row r="2215" spans="1:2" x14ac:dyDescent="0.2">
      <c r="A2215" s="380">
        <v>900200</v>
      </c>
      <c r="B2215" s="381" t="s">
        <v>1407</v>
      </c>
    </row>
    <row r="2216" spans="1:2" x14ac:dyDescent="0.2">
      <c r="A2216" s="380">
        <v>909900</v>
      </c>
      <c r="B2216" s="381" t="s">
        <v>1327</v>
      </c>
    </row>
    <row r="2217" spans="1:2" x14ac:dyDescent="0.2">
      <c r="A2217" s="380">
        <v>910000</v>
      </c>
      <c r="B2217" s="381" t="s">
        <v>1408</v>
      </c>
    </row>
    <row r="2218" spans="1:2" x14ac:dyDescent="0.2">
      <c r="A2218" s="380">
        <v>910100</v>
      </c>
      <c r="B2218" s="381" t="s">
        <v>1409</v>
      </c>
    </row>
    <row r="2219" spans="1:2" x14ac:dyDescent="0.2">
      <c r="A2219" s="380">
        <v>910101</v>
      </c>
      <c r="B2219" s="381" t="s">
        <v>1410</v>
      </c>
    </row>
    <row r="2220" spans="1:2" x14ac:dyDescent="0.2">
      <c r="A2220" s="380">
        <v>910200</v>
      </c>
      <c r="B2220" s="381" t="s">
        <v>1411</v>
      </c>
    </row>
    <row r="2221" spans="1:2" x14ac:dyDescent="0.2">
      <c r="A2221" s="380">
        <v>910300</v>
      </c>
      <c r="B2221" s="381" t="s">
        <v>1412</v>
      </c>
    </row>
    <row r="2222" spans="1:2" x14ac:dyDescent="0.2">
      <c r="A2222" s="380">
        <v>920000</v>
      </c>
      <c r="B2222" s="381" t="s">
        <v>1413</v>
      </c>
    </row>
    <row r="2223" spans="1:2" x14ac:dyDescent="0.2">
      <c r="A2223" s="380">
        <v>920100</v>
      </c>
      <c r="B2223" s="381" t="s">
        <v>1414</v>
      </c>
    </row>
    <row r="2224" spans="1:2" ht="25.5" x14ac:dyDescent="0.2">
      <c r="A2224" s="380">
        <v>920200</v>
      </c>
      <c r="B2224" s="381" t="s">
        <v>1415</v>
      </c>
    </row>
    <row r="2225" spans="1:2" x14ac:dyDescent="0.2">
      <c r="A2225" s="380">
        <v>920300</v>
      </c>
      <c r="B2225" s="381" t="s">
        <v>1351</v>
      </c>
    </row>
    <row r="2226" spans="1:2" x14ac:dyDescent="0.2">
      <c r="A2226" s="380">
        <v>920301</v>
      </c>
      <c r="B2226" s="381" t="s">
        <v>1416</v>
      </c>
    </row>
    <row r="2227" spans="1:2" x14ac:dyDescent="0.2">
      <c r="A2227" s="380">
        <v>920303</v>
      </c>
      <c r="B2227" s="381" t="s">
        <v>1417</v>
      </c>
    </row>
    <row r="2228" spans="1:2" x14ac:dyDescent="0.2">
      <c r="A2228" s="380">
        <v>920305</v>
      </c>
      <c r="B2228" s="381" t="s">
        <v>1418</v>
      </c>
    </row>
    <row r="2229" spans="1:2" x14ac:dyDescent="0.2">
      <c r="A2229" s="380">
        <v>920400</v>
      </c>
      <c r="B2229" s="381" t="s">
        <v>1419</v>
      </c>
    </row>
    <row r="2230" spans="1:2" ht="25.5" x14ac:dyDescent="0.2">
      <c r="A2230" s="380">
        <v>920500</v>
      </c>
      <c r="B2230" s="381" t="s">
        <v>1420</v>
      </c>
    </row>
    <row r="2231" spans="1:2" x14ac:dyDescent="0.2">
      <c r="A2231" s="380">
        <v>920600</v>
      </c>
      <c r="B2231" s="381" t="s">
        <v>1421</v>
      </c>
    </row>
    <row r="2232" spans="1:2" x14ac:dyDescent="0.2">
      <c r="A2232" s="380">
        <v>920700</v>
      </c>
      <c r="B2232" s="381" t="s">
        <v>1422</v>
      </c>
    </row>
    <row r="2233" spans="1:2" ht="25.5" x14ac:dyDescent="0.2">
      <c r="A2233" s="380">
        <v>920800</v>
      </c>
      <c r="B2233" s="381" t="s">
        <v>1423</v>
      </c>
    </row>
    <row r="2234" spans="1:2" x14ac:dyDescent="0.2">
      <c r="A2234" s="380">
        <v>920900</v>
      </c>
      <c r="B2234" s="381" t="s">
        <v>1424</v>
      </c>
    </row>
    <row r="2235" spans="1:2" ht="25.5" x14ac:dyDescent="0.2">
      <c r="A2235" s="380">
        <v>921200</v>
      </c>
      <c r="B2235" s="381" t="s">
        <v>1425</v>
      </c>
    </row>
    <row r="2236" spans="1:2" ht="25.5" x14ac:dyDescent="0.2">
      <c r="A2236" s="380">
        <v>921300</v>
      </c>
      <c r="B2236" s="381" t="s">
        <v>1426</v>
      </c>
    </row>
    <row r="2237" spans="1:2" ht="25.5" x14ac:dyDescent="0.2">
      <c r="A2237" s="380">
        <v>921400</v>
      </c>
      <c r="B2237" s="381" t="s">
        <v>1427</v>
      </c>
    </row>
    <row r="2238" spans="1:2" ht="51" x14ac:dyDescent="0.2">
      <c r="A2238" s="380">
        <v>921500</v>
      </c>
      <c r="B2238" s="381" t="s">
        <v>1428</v>
      </c>
    </row>
    <row r="2239" spans="1:2" x14ac:dyDescent="0.2">
      <c r="A2239" s="380">
        <v>921600</v>
      </c>
      <c r="B2239" s="381" t="s">
        <v>1429</v>
      </c>
    </row>
    <row r="2240" spans="1:2" x14ac:dyDescent="0.2">
      <c r="A2240" s="380">
        <v>921700</v>
      </c>
      <c r="B2240" s="381" t="s">
        <v>1430</v>
      </c>
    </row>
    <row r="2241" spans="1:3" ht="25.5" x14ac:dyDescent="0.2">
      <c r="A2241" s="380">
        <v>921800</v>
      </c>
      <c r="B2241" s="381" t="s">
        <v>1431</v>
      </c>
    </row>
    <row r="2242" spans="1:3" ht="25.5" x14ac:dyDescent="0.2">
      <c r="A2242" s="380">
        <v>921900</v>
      </c>
      <c r="B2242" s="381" t="s">
        <v>1432</v>
      </c>
    </row>
    <row r="2243" spans="1:3" ht="25.5" x14ac:dyDescent="0.2">
      <c r="A2243" s="380">
        <v>922000</v>
      </c>
      <c r="B2243" s="381" t="s">
        <v>1433</v>
      </c>
    </row>
    <row r="2244" spans="1:3" ht="25.5" x14ac:dyDescent="0.2">
      <c r="A2244" s="380">
        <v>922100</v>
      </c>
      <c r="B2244" s="381" t="s">
        <v>1434</v>
      </c>
    </row>
    <row r="2245" spans="1:3" ht="38.25" x14ac:dyDescent="0.2">
      <c r="A2245" s="380">
        <v>922400</v>
      </c>
      <c r="B2245" s="381" t="s">
        <v>1435</v>
      </c>
    </row>
    <row r="2246" spans="1:3" ht="25.5" x14ac:dyDescent="0.2">
      <c r="A2246" s="380">
        <v>922500</v>
      </c>
      <c r="B2246" s="381" t="s">
        <v>1436</v>
      </c>
    </row>
    <row r="2247" spans="1:3" ht="76.5" x14ac:dyDescent="0.2">
      <c r="A2247" s="380">
        <v>922600</v>
      </c>
      <c r="B2247" s="381" t="s">
        <v>1437</v>
      </c>
    </row>
    <row r="2248" spans="1:3" x14ac:dyDescent="0.2">
      <c r="A2248" s="380">
        <v>922700</v>
      </c>
      <c r="B2248" s="381" t="s">
        <v>1438</v>
      </c>
    </row>
    <row r="2249" spans="1:3" x14ac:dyDescent="0.2">
      <c r="A2249" s="380">
        <v>922800</v>
      </c>
      <c r="B2249" s="381" t="s">
        <v>1439</v>
      </c>
      <c r="C2249" s="81" t="s">
        <v>1440</v>
      </c>
    </row>
    <row r="2250" spans="1:3" x14ac:dyDescent="0.2">
      <c r="A2250" s="380">
        <v>922900</v>
      </c>
      <c r="B2250" s="381" t="s">
        <v>1441</v>
      </c>
    </row>
    <row r="2251" spans="1:3" ht="25.5" x14ac:dyDescent="0.2">
      <c r="A2251" s="380">
        <v>923000</v>
      </c>
      <c r="B2251" s="381" t="s">
        <v>1442</v>
      </c>
    </row>
    <row r="2252" spans="1:3" ht="25.5" x14ac:dyDescent="0.2">
      <c r="A2252" s="380">
        <v>923001</v>
      </c>
      <c r="B2252" s="381" t="s">
        <v>1443</v>
      </c>
    </row>
    <row r="2253" spans="1:3" x14ac:dyDescent="0.2">
      <c r="A2253" s="380">
        <v>923100</v>
      </c>
      <c r="B2253" s="381" t="s">
        <v>1444</v>
      </c>
    </row>
    <row r="2254" spans="1:3" x14ac:dyDescent="0.2">
      <c r="A2254" s="380">
        <v>923101</v>
      </c>
      <c r="B2254" s="381" t="s">
        <v>1445</v>
      </c>
    </row>
    <row r="2255" spans="1:3" ht="25.5" x14ac:dyDescent="0.2">
      <c r="A2255" s="380">
        <v>923102</v>
      </c>
      <c r="B2255" s="381" t="s">
        <v>1446</v>
      </c>
    </row>
    <row r="2256" spans="1:3" ht="25.5" x14ac:dyDescent="0.2">
      <c r="A2256" s="380">
        <v>923200</v>
      </c>
      <c r="B2256" s="381" t="s">
        <v>1447</v>
      </c>
    </row>
    <row r="2257" spans="1:2" x14ac:dyDescent="0.2">
      <c r="A2257" s="380">
        <v>923400</v>
      </c>
      <c r="B2257" s="381" t="s">
        <v>1448</v>
      </c>
    </row>
    <row r="2258" spans="1:2" ht="38.25" x14ac:dyDescent="0.2">
      <c r="A2258" s="380">
        <v>923403</v>
      </c>
      <c r="B2258" s="381" t="s">
        <v>1449</v>
      </c>
    </row>
    <row r="2259" spans="1:2" x14ac:dyDescent="0.2">
      <c r="A2259" s="380">
        <v>923500</v>
      </c>
      <c r="B2259" s="381" t="s">
        <v>1450</v>
      </c>
    </row>
    <row r="2260" spans="1:2" ht="25.5" x14ac:dyDescent="0.2">
      <c r="A2260" s="380">
        <v>923700</v>
      </c>
      <c r="B2260" s="381" t="s">
        <v>1451</v>
      </c>
    </row>
    <row r="2261" spans="1:2" ht="25.5" x14ac:dyDescent="0.2">
      <c r="A2261" s="380">
        <v>923800</v>
      </c>
      <c r="B2261" s="381" t="s">
        <v>1452</v>
      </c>
    </row>
    <row r="2262" spans="1:2" x14ac:dyDescent="0.2">
      <c r="A2262" s="380">
        <v>924000</v>
      </c>
      <c r="B2262" s="381" t="s">
        <v>1453</v>
      </c>
    </row>
    <row r="2263" spans="1:2" ht="25.5" x14ac:dyDescent="0.2">
      <c r="A2263" s="380">
        <v>924100</v>
      </c>
      <c r="B2263" s="381" t="s">
        <v>1454</v>
      </c>
    </row>
    <row r="2264" spans="1:2" ht="25.5" x14ac:dyDescent="0.2">
      <c r="A2264" s="380">
        <v>924200</v>
      </c>
      <c r="B2264" s="381" t="s">
        <v>1455</v>
      </c>
    </row>
    <row r="2265" spans="1:2" x14ac:dyDescent="0.2">
      <c r="A2265" s="380">
        <v>926600</v>
      </c>
      <c r="B2265" s="381" t="s">
        <v>1456</v>
      </c>
    </row>
    <row r="2266" spans="1:2" ht="25.5" x14ac:dyDescent="0.2">
      <c r="A2266" s="380">
        <v>928000</v>
      </c>
      <c r="B2266" s="381" t="s">
        <v>1457</v>
      </c>
    </row>
    <row r="2267" spans="1:2" x14ac:dyDescent="0.2">
      <c r="A2267" s="380">
        <v>928400</v>
      </c>
      <c r="B2267" s="381" t="s">
        <v>1458</v>
      </c>
    </row>
    <row r="2268" spans="1:2" x14ac:dyDescent="0.2">
      <c r="A2268" s="380">
        <v>928500</v>
      </c>
      <c r="B2268" s="381" t="s">
        <v>1459</v>
      </c>
    </row>
    <row r="2269" spans="1:2" x14ac:dyDescent="0.2">
      <c r="A2269" s="380">
        <v>929900</v>
      </c>
      <c r="B2269" s="381" t="s">
        <v>1327</v>
      </c>
    </row>
    <row r="2270" spans="1:2" x14ac:dyDescent="0.2">
      <c r="A2270" s="380">
        <v>930000</v>
      </c>
      <c r="B2270" s="381" t="s">
        <v>1460</v>
      </c>
    </row>
    <row r="2271" spans="1:2" ht="25.5" x14ac:dyDescent="0.2">
      <c r="A2271" s="380">
        <v>930100</v>
      </c>
      <c r="B2271" s="381" t="s">
        <v>1461</v>
      </c>
    </row>
    <row r="2272" spans="1:2" x14ac:dyDescent="0.2">
      <c r="A2272" s="380">
        <v>936600</v>
      </c>
      <c r="B2272" s="381" t="s">
        <v>1456</v>
      </c>
    </row>
    <row r="2273" spans="1:2" x14ac:dyDescent="0.2">
      <c r="A2273" s="380">
        <v>939900</v>
      </c>
      <c r="B2273" s="381" t="s">
        <v>1327</v>
      </c>
    </row>
    <row r="2274" spans="1:2" x14ac:dyDescent="0.2">
      <c r="A2274" s="380">
        <v>940000</v>
      </c>
      <c r="B2274" s="381" t="s">
        <v>1462</v>
      </c>
    </row>
    <row r="2275" spans="1:2" x14ac:dyDescent="0.2">
      <c r="A2275" s="380">
        <v>948400</v>
      </c>
      <c r="B2275" s="381" t="s">
        <v>1463</v>
      </c>
    </row>
    <row r="2276" spans="1:2" x14ac:dyDescent="0.2">
      <c r="A2276" s="380">
        <v>950000</v>
      </c>
      <c r="B2276" s="381" t="s">
        <v>1464</v>
      </c>
    </row>
    <row r="2277" spans="1:2" ht="25.5" x14ac:dyDescent="0.2">
      <c r="A2277" s="380">
        <v>960000</v>
      </c>
      <c r="B2277" s="381" t="s">
        <v>1465</v>
      </c>
    </row>
    <row r="2278" spans="1:2" ht="25.5" x14ac:dyDescent="0.2">
      <c r="A2278" s="380">
        <v>960100</v>
      </c>
      <c r="B2278" s="381" t="s">
        <v>1466</v>
      </c>
    </row>
    <row r="2279" spans="1:2" ht="38.25" x14ac:dyDescent="0.2">
      <c r="A2279" s="380">
        <v>960200</v>
      </c>
      <c r="B2279" s="381" t="s">
        <v>1467</v>
      </c>
    </row>
    <row r="2280" spans="1:2" ht="25.5" x14ac:dyDescent="0.2">
      <c r="A2280" s="380">
        <v>960300</v>
      </c>
      <c r="B2280" s="381" t="s">
        <v>1468</v>
      </c>
    </row>
    <row r="2281" spans="1:2" x14ac:dyDescent="0.2">
      <c r="A2281" s="380">
        <v>970000</v>
      </c>
      <c r="B2281" s="381" t="s">
        <v>1469</v>
      </c>
    </row>
    <row r="2282" spans="1:2" x14ac:dyDescent="0.2">
      <c r="A2282" s="380">
        <v>970100</v>
      </c>
      <c r="B2282" s="381" t="s">
        <v>1470</v>
      </c>
    </row>
    <row r="2283" spans="1:2" ht="25.5" x14ac:dyDescent="0.2">
      <c r="A2283" s="380">
        <v>980000</v>
      </c>
      <c r="B2283" s="381" t="s">
        <v>1471</v>
      </c>
    </row>
    <row r="2284" spans="1:2" ht="38.25" x14ac:dyDescent="0.2">
      <c r="A2284" s="380">
        <v>980100</v>
      </c>
      <c r="B2284" s="381" t="s">
        <v>1472</v>
      </c>
    </row>
    <row r="2285" spans="1:2" ht="25.5" x14ac:dyDescent="0.2">
      <c r="A2285" s="380">
        <v>980101</v>
      </c>
      <c r="B2285" s="381" t="s">
        <v>1473</v>
      </c>
    </row>
    <row r="2286" spans="1:2" ht="25.5" x14ac:dyDescent="0.2">
      <c r="A2286" s="380">
        <v>980102</v>
      </c>
      <c r="B2286" s="381" t="s">
        <v>1474</v>
      </c>
    </row>
    <row r="2287" spans="1:2" ht="38.25" x14ac:dyDescent="0.2">
      <c r="A2287" s="380">
        <v>980104</v>
      </c>
      <c r="B2287" s="381" t="s">
        <v>1475</v>
      </c>
    </row>
    <row r="2288" spans="1:2" ht="25.5" x14ac:dyDescent="0.2">
      <c r="A2288" s="380">
        <v>980200</v>
      </c>
      <c r="B2288" s="381" t="s">
        <v>1476</v>
      </c>
    </row>
    <row r="2289" spans="1:2" ht="25.5" x14ac:dyDescent="0.2">
      <c r="A2289" s="380">
        <v>980201</v>
      </c>
      <c r="B2289" s="381" t="s">
        <v>1477</v>
      </c>
    </row>
    <row r="2290" spans="1:2" x14ac:dyDescent="0.2">
      <c r="A2290" s="380">
        <v>980202</v>
      </c>
      <c r="B2290" s="381" t="s">
        <v>1478</v>
      </c>
    </row>
    <row r="2291" spans="1:2" ht="25.5" x14ac:dyDescent="0.2">
      <c r="A2291" s="380">
        <v>980204</v>
      </c>
      <c r="B2291" s="381" t="s">
        <v>1479</v>
      </c>
    </row>
    <row r="2292" spans="1:2" ht="25.5" x14ac:dyDescent="0.2">
      <c r="A2292" s="380">
        <v>980300</v>
      </c>
      <c r="B2292" s="381" t="s">
        <v>1480</v>
      </c>
    </row>
    <row r="2293" spans="1:2" x14ac:dyDescent="0.2">
      <c r="A2293" s="380">
        <v>990000</v>
      </c>
      <c r="B2293" s="381" t="s">
        <v>1481</v>
      </c>
    </row>
    <row r="2294" spans="1:2" x14ac:dyDescent="0.2">
      <c r="A2294" s="380">
        <v>990100</v>
      </c>
      <c r="B2294" s="381" t="s">
        <v>1482</v>
      </c>
    </row>
    <row r="2295" spans="1:2" x14ac:dyDescent="0.2">
      <c r="A2295" s="380" t="s">
        <v>1483</v>
      </c>
      <c r="B2295" s="381"/>
    </row>
    <row r="2296" spans="1:2" ht="25.5" x14ac:dyDescent="0.2">
      <c r="A2296" s="380">
        <v>990102</v>
      </c>
      <c r="B2296" s="381" t="s">
        <v>1484</v>
      </c>
    </row>
    <row r="2297" spans="1:2" x14ac:dyDescent="0.2">
      <c r="A2297" s="380">
        <v>990104</v>
      </c>
      <c r="B2297" s="381" t="s">
        <v>1485</v>
      </c>
    </row>
    <row r="2298" spans="1:2" ht="25.5" x14ac:dyDescent="0.2">
      <c r="A2298" s="380">
        <v>990105</v>
      </c>
      <c r="B2298" s="381" t="s">
        <v>1486</v>
      </c>
    </row>
    <row r="2299" spans="1:2" x14ac:dyDescent="0.2">
      <c r="A2299" s="380">
        <v>990106</v>
      </c>
      <c r="B2299" s="381" t="s">
        <v>1487</v>
      </c>
    </row>
    <row r="2300" spans="1:2" x14ac:dyDescent="0.2">
      <c r="A2300" s="380">
        <v>990107</v>
      </c>
      <c r="B2300" s="381" t="s">
        <v>1488</v>
      </c>
    </row>
    <row r="2301" spans="1:2" ht="25.5" x14ac:dyDescent="0.2">
      <c r="A2301" s="380">
        <v>990108</v>
      </c>
      <c r="B2301" s="381" t="s">
        <v>1489</v>
      </c>
    </row>
    <row r="2302" spans="1:2" ht="25.5" x14ac:dyDescent="0.2">
      <c r="A2302" s="380">
        <v>990109</v>
      </c>
      <c r="B2302" s="381" t="s">
        <v>1490</v>
      </c>
    </row>
    <row r="2303" spans="1:2" ht="25.5" x14ac:dyDescent="0.2">
      <c r="A2303" s="380">
        <v>990110</v>
      </c>
      <c r="B2303" s="381" t="s">
        <v>1491</v>
      </c>
    </row>
    <row r="2304" spans="1:2" ht="25.5" x14ac:dyDescent="0.2">
      <c r="A2304" s="380">
        <v>990200</v>
      </c>
      <c r="B2304" s="381" t="s">
        <v>1492</v>
      </c>
    </row>
    <row r="2305" spans="1:2" ht="25.5" x14ac:dyDescent="0.2">
      <c r="A2305" s="380">
        <v>990201</v>
      </c>
      <c r="B2305" s="381" t="s">
        <v>1493</v>
      </c>
    </row>
    <row r="2306" spans="1:2" x14ac:dyDescent="0.2">
      <c r="A2306" s="380">
        <v>990300</v>
      </c>
      <c r="B2306" s="381" t="s">
        <v>1494</v>
      </c>
    </row>
    <row r="2307" spans="1:2" ht="25.5" x14ac:dyDescent="0.2">
      <c r="A2307" s="380">
        <v>990302</v>
      </c>
      <c r="B2307" s="381" t="s">
        <v>1495</v>
      </c>
    </row>
    <row r="2308" spans="1:2" ht="25.5" x14ac:dyDescent="0.2">
      <c r="A2308" s="380">
        <v>990400</v>
      </c>
      <c r="B2308" s="381" t="s">
        <v>1496</v>
      </c>
    </row>
    <row r="2309" spans="1:2" ht="51" x14ac:dyDescent="0.2">
      <c r="A2309" s="380">
        <v>990401</v>
      </c>
      <c r="B2309" s="381" t="s">
        <v>1497</v>
      </c>
    </row>
    <row r="2310" spans="1:2" ht="38.25" x14ac:dyDescent="0.2">
      <c r="A2310" s="380">
        <v>990402</v>
      </c>
      <c r="B2310" s="381" t="s">
        <v>1498</v>
      </c>
    </row>
    <row r="2311" spans="1:2" ht="63.75" x14ac:dyDescent="0.2">
      <c r="A2311" s="380">
        <v>990403</v>
      </c>
      <c r="B2311" s="381" t="s">
        <v>1499</v>
      </c>
    </row>
    <row r="2312" spans="1:2" ht="38.25" x14ac:dyDescent="0.2">
      <c r="A2312" s="380">
        <v>990404</v>
      </c>
      <c r="B2312" s="381" t="s">
        <v>1500</v>
      </c>
    </row>
    <row r="2313" spans="1:2" ht="38.25" x14ac:dyDescent="0.2">
      <c r="A2313" s="380">
        <v>990405</v>
      </c>
      <c r="B2313" s="381" t="s">
        <v>1501</v>
      </c>
    </row>
    <row r="2314" spans="1:2" ht="25.5" x14ac:dyDescent="0.2">
      <c r="A2314" s="380">
        <v>990407</v>
      </c>
      <c r="B2314" s="381" t="s">
        <v>1502</v>
      </c>
    </row>
    <row r="2315" spans="1:2" x14ac:dyDescent="0.2">
      <c r="A2315" s="380" t="s">
        <v>1503</v>
      </c>
      <c r="B2315" s="381"/>
    </row>
    <row r="2316" spans="1:2" x14ac:dyDescent="0.2">
      <c r="A2316" s="380">
        <v>990600</v>
      </c>
      <c r="B2316" s="381" t="s">
        <v>1504</v>
      </c>
    </row>
    <row r="2317" spans="1:2" ht="38.25" x14ac:dyDescent="0.2">
      <c r="A2317" s="380">
        <v>990601</v>
      </c>
      <c r="B2317" s="381" t="s">
        <v>1505</v>
      </c>
    </row>
    <row r="2318" spans="1:2" x14ac:dyDescent="0.2">
      <c r="A2318" s="380">
        <v>990700</v>
      </c>
      <c r="B2318" s="381" t="s">
        <v>1506</v>
      </c>
    </row>
    <row r="2319" spans="1:2" x14ac:dyDescent="0.2">
      <c r="A2319" s="380" t="s">
        <v>1507</v>
      </c>
      <c r="B2319" s="381"/>
    </row>
    <row r="2320" spans="1:2" x14ac:dyDescent="0.2">
      <c r="A2320" s="380">
        <v>990701</v>
      </c>
      <c r="B2320" s="381" t="s">
        <v>1508</v>
      </c>
    </row>
    <row r="2321" spans="1:2" x14ac:dyDescent="0.2">
      <c r="A2321" s="380" t="s">
        <v>1509</v>
      </c>
      <c r="B2321" s="381"/>
    </row>
    <row r="2322" spans="1:2" ht="25.5" x14ac:dyDescent="0.2">
      <c r="A2322" s="380">
        <v>990702</v>
      </c>
      <c r="B2322" s="381" t="s">
        <v>1510</v>
      </c>
    </row>
    <row r="2323" spans="1:2" x14ac:dyDescent="0.2">
      <c r="A2323" s="380">
        <v>990800</v>
      </c>
      <c r="B2323" s="381" t="s">
        <v>1511</v>
      </c>
    </row>
    <row r="2324" spans="1:2" x14ac:dyDescent="0.2">
      <c r="A2324" s="380">
        <v>990801</v>
      </c>
      <c r="B2324" s="381" t="s">
        <v>1512</v>
      </c>
    </row>
    <row r="2325" spans="1:2" x14ac:dyDescent="0.2">
      <c r="A2325" s="380">
        <v>1000000</v>
      </c>
      <c r="B2325" s="381" t="s">
        <v>1513</v>
      </c>
    </row>
    <row r="2326" spans="1:2" x14ac:dyDescent="0.2">
      <c r="A2326" s="380">
        <v>1000100</v>
      </c>
      <c r="B2326" s="381" t="s">
        <v>1514</v>
      </c>
    </row>
    <row r="2327" spans="1:2" x14ac:dyDescent="0.2">
      <c r="A2327" s="380">
        <v>1000101</v>
      </c>
      <c r="B2327" s="381" t="s">
        <v>1515</v>
      </c>
    </row>
    <row r="2328" spans="1:2" x14ac:dyDescent="0.2">
      <c r="A2328" s="380">
        <v>1000102</v>
      </c>
      <c r="B2328" s="381" t="s">
        <v>1516</v>
      </c>
    </row>
    <row r="2329" spans="1:2" x14ac:dyDescent="0.2">
      <c r="A2329" s="380">
        <v>1000103</v>
      </c>
      <c r="B2329" s="381" t="s">
        <v>1517</v>
      </c>
    </row>
    <row r="2330" spans="1:2" x14ac:dyDescent="0.2">
      <c r="A2330" s="380">
        <v>1000104</v>
      </c>
      <c r="B2330" s="381" t="s">
        <v>1518</v>
      </c>
    </row>
    <row r="2331" spans="1:2" x14ac:dyDescent="0.2">
      <c r="A2331" s="380">
        <v>1000105</v>
      </c>
      <c r="B2331" s="381" t="s">
        <v>1519</v>
      </c>
    </row>
    <row r="2332" spans="1:2" x14ac:dyDescent="0.2">
      <c r="A2332" s="380">
        <v>1000106</v>
      </c>
      <c r="B2332" s="381" t="s">
        <v>1520</v>
      </c>
    </row>
    <row r="2333" spans="1:2" x14ac:dyDescent="0.2">
      <c r="A2333" s="380">
        <v>1000107</v>
      </c>
      <c r="B2333" s="381" t="s">
        <v>1521</v>
      </c>
    </row>
    <row r="2334" spans="1:2" x14ac:dyDescent="0.2">
      <c r="A2334" s="380">
        <v>1000108</v>
      </c>
      <c r="B2334" s="381" t="s">
        <v>1522</v>
      </c>
    </row>
    <row r="2335" spans="1:2" x14ac:dyDescent="0.2">
      <c r="A2335" s="380">
        <v>1000109</v>
      </c>
      <c r="B2335" s="381" t="s">
        <v>1523</v>
      </c>
    </row>
    <row r="2336" spans="1:2" x14ac:dyDescent="0.2">
      <c r="A2336" s="380">
        <v>1000110</v>
      </c>
      <c r="B2336" s="381" t="s">
        <v>1524</v>
      </c>
    </row>
    <row r="2337" spans="1:2" ht="25.5" x14ac:dyDescent="0.2">
      <c r="A2337" s="380">
        <v>1000112</v>
      </c>
      <c r="B2337" s="381" t="s">
        <v>1525</v>
      </c>
    </row>
    <row r="2338" spans="1:2" x14ac:dyDescent="0.2">
      <c r="A2338" s="380">
        <v>1000113</v>
      </c>
      <c r="B2338" s="381" t="s">
        <v>1526</v>
      </c>
    </row>
    <row r="2339" spans="1:2" x14ac:dyDescent="0.2">
      <c r="A2339" s="380">
        <v>1000200</v>
      </c>
      <c r="B2339" s="381" t="s">
        <v>1527</v>
      </c>
    </row>
    <row r="2340" spans="1:2" x14ac:dyDescent="0.2">
      <c r="A2340" s="380">
        <v>1000201</v>
      </c>
      <c r="B2340" s="381" t="s">
        <v>1528</v>
      </c>
    </row>
    <row r="2341" spans="1:2" x14ac:dyDescent="0.2">
      <c r="A2341" s="380">
        <v>1000202</v>
      </c>
      <c r="B2341" s="381" t="s">
        <v>1529</v>
      </c>
    </row>
    <row r="2342" spans="1:2" ht="25.5" x14ac:dyDescent="0.2">
      <c r="A2342" s="380">
        <v>1000203</v>
      </c>
      <c r="B2342" s="381" t="s">
        <v>1530</v>
      </c>
    </row>
    <row r="2343" spans="1:2" x14ac:dyDescent="0.2">
      <c r="A2343" s="380">
        <v>1000204</v>
      </c>
      <c r="B2343" s="381" t="s">
        <v>1531</v>
      </c>
    </row>
    <row r="2344" spans="1:2" x14ac:dyDescent="0.2">
      <c r="A2344" s="380">
        <v>1000300</v>
      </c>
      <c r="B2344" s="381" t="s">
        <v>1532</v>
      </c>
    </row>
    <row r="2345" spans="1:2" ht="25.5" x14ac:dyDescent="0.2">
      <c r="A2345" s="380">
        <v>1000400</v>
      </c>
      <c r="B2345" s="381" t="s">
        <v>1533</v>
      </c>
    </row>
    <row r="2346" spans="1:2" x14ac:dyDescent="0.2">
      <c r="A2346" s="380">
        <v>1000500</v>
      </c>
      <c r="B2346" s="381" t="s">
        <v>1534</v>
      </c>
    </row>
    <row r="2347" spans="1:2" x14ac:dyDescent="0.2">
      <c r="A2347" s="380">
        <v>1000502</v>
      </c>
      <c r="B2347" s="381" t="s">
        <v>1535</v>
      </c>
    </row>
    <row r="2348" spans="1:2" x14ac:dyDescent="0.2">
      <c r="A2348" s="380">
        <v>1000503</v>
      </c>
      <c r="B2348" s="381" t="s">
        <v>1536</v>
      </c>
    </row>
    <row r="2349" spans="1:2" x14ac:dyDescent="0.2">
      <c r="A2349" s="380">
        <v>1000505</v>
      </c>
      <c r="B2349" s="381" t="s">
        <v>1537</v>
      </c>
    </row>
    <row r="2350" spans="1:2" x14ac:dyDescent="0.2">
      <c r="A2350" s="380">
        <v>1000506</v>
      </c>
      <c r="B2350" s="381" t="s">
        <v>1538</v>
      </c>
    </row>
    <row r="2351" spans="1:2" x14ac:dyDescent="0.2">
      <c r="A2351" s="380">
        <v>1000507</v>
      </c>
      <c r="B2351" s="381" t="s">
        <v>1539</v>
      </c>
    </row>
    <row r="2352" spans="1:2" x14ac:dyDescent="0.2">
      <c r="A2352" s="380">
        <v>1000509</v>
      </c>
      <c r="B2352" s="381" t="s">
        <v>1540</v>
      </c>
    </row>
    <row r="2353" spans="1:2" x14ac:dyDescent="0.2">
      <c r="A2353" s="380">
        <v>1000510</v>
      </c>
      <c r="B2353" s="381" t="s">
        <v>1541</v>
      </c>
    </row>
    <row r="2354" spans="1:2" x14ac:dyDescent="0.2">
      <c r="A2354" s="380">
        <v>1000512</v>
      </c>
      <c r="B2354" s="381" t="s">
        <v>1542</v>
      </c>
    </row>
    <row r="2355" spans="1:2" x14ac:dyDescent="0.2">
      <c r="A2355" s="380">
        <v>1000600</v>
      </c>
      <c r="B2355" s="381" t="s">
        <v>1543</v>
      </c>
    </row>
    <row r="2356" spans="1:2" x14ac:dyDescent="0.2">
      <c r="A2356" s="380">
        <v>1000700</v>
      </c>
      <c r="B2356" s="381" t="s">
        <v>1544</v>
      </c>
    </row>
    <row r="2357" spans="1:2" x14ac:dyDescent="0.2">
      <c r="A2357" s="380">
        <v>1000701</v>
      </c>
      <c r="B2357" s="381" t="s">
        <v>1545</v>
      </c>
    </row>
    <row r="2358" spans="1:2" ht="25.5" x14ac:dyDescent="0.2">
      <c r="A2358" s="380">
        <v>1000702</v>
      </c>
      <c r="B2358" s="381" t="s">
        <v>1546</v>
      </c>
    </row>
    <row r="2359" spans="1:2" ht="25.5" x14ac:dyDescent="0.2">
      <c r="A2359" s="380">
        <v>1000900</v>
      </c>
      <c r="B2359" s="381" t="s">
        <v>1547</v>
      </c>
    </row>
    <row r="2360" spans="1:2" x14ac:dyDescent="0.2">
      <c r="A2360" s="380">
        <v>1001000</v>
      </c>
      <c r="B2360" s="381" t="s">
        <v>1548</v>
      </c>
    </row>
    <row r="2361" spans="1:2" ht="25.5" x14ac:dyDescent="0.2">
      <c r="A2361" s="380">
        <v>1001100</v>
      </c>
      <c r="B2361" s="381" t="s">
        <v>1549</v>
      </c>
    </row>
    <row r="2362" spans="1:2" ht="25.5" x14ac:dyDescent="0.2">
      <c r="A2362" s="380">
        <v>1001102</v>
      </c>
      <c r="B2362" s="381" t="s">
        <v>1550</v>
      </c>
    </row>
    <row r="2363" spans="1:2" ht="25.5" x14ac:dyDescent="0.2">
      <c r="A2363" s="380">
        <v>1001122</v>
      </c>
      <c r="B2363" s="381" t="s">
        <v>1551</v>
      </c>
    </row>
    <row r="2364" spans="1:2" x14ac:dyDescent="0.2">
      <c r="A2364" s="380">
        <v>1001200</v>
      </c>
      <c r="B2364" s="381" t="s">
        <v>1552</v>
      </c>
    </row>
    <row r="2365" spans="1:2" x14ac:dyDescent="0.2">
      <c r="A2365" s="380">
        <v>1001202</v>
      </c>
      <c r="B2365" s="381" t="s">
        <v>1553</v>
      </c>
    </row>
    <row r="2366" spans="1:2" x14ac:dyDescent="0.2">
      <c r="A2366" s="380">
        <v>1001300</v>
      </c>
      <c r="B2366" s="381" t="s">
        <v>1554</v>
      </c>
    </row>
    <row r="2367" spans="1:2" x14ac:dyDescent="0.2">
      <c r="A2367" s="380">
        <v>1001301</v>
      </c>
      <c r="B2367" s="381" t="s">
        <v>1555</v>
      </c>
    </row>
    <row r="2368" spans="1:2" x14ac:dyDescent="0.2">
      <c r="A2368" s="380">
        <v>1001302</v>
      </c>
      <c r="B2368" s="381" t="s">
        <v>1556</v>
      </c>
    </row>
    <row r="2369" spans="1:2" x14ac:dyDescent="0.2">
      <c r="A2369" s="380">
        <v>1001303</v>
      </c>
      <c r="B2369" s="381" t="s">
        <v>1557</v>
      </c>
    </row>
    <row r="2370" spans="1:2" x14ac:dyDescent="0.2">
      <c r="A2370" s="380">
        <v>1001400</v>
      </c>
      <c r="B2370" s="381" t="s">
        <v>1558</v>
      </c>
    </row>
    <row r="2371" spans="1:2" ht="25.5" x14ac:dyDescent="0.2">
      <c r="A2371" s="380">
        <v>1001401</v>
      </c>
      <c r="B2371" s="381" t="s">
        <v>1559</v>
      </c>
    </row>
    <row r="2372" spans="1:2" x14ac:dyDescent="0.2">
      <c r="A2372" s="380">
        <v>1001402</v>
      </c>
      <c r="B2372" s="381" t="s">
        <v>1560</v>
      </c>
    </row>
    <row r="2373" spans="1:2" x14ac:dyDescent="0.2">
      <c r="A2373" s="380">
        <v>1001500</v>
      </c>
      <c r="B2373" s="381" t="s">
        <v>1561</v>
      </c>
    </row>
    <row r="2374" spans="1:2" x14ac:dyDescent="0.2">
      <c r="A2374" s="380">
        <v>1001600</v>
      </c>
      <c r="B2374" s="381" t="s">
        <v>1562</v>
      </c>
    </row>
    <row r="2375" spans="1:2" x14ac:dyDescent="0.2">
      <c r="A2375" s="380">
        <v>1001700</v>
      </c>
      <c r="B2375" s="381" t="s">
        <v>1563</v>
      </c>
    </row>
    <row r="2376" spans="1:2" ht="25.5" x14ac:dyDescent="0.2">
      <c r="A2376" s="380">
        <v>1001800</v>
      </c>
      <c r="B2376" s="381" t="s">
        <v>1564</v>
      </c>
    </row>
    <row r="2377" spans="1:2" x14ac:dyDescent="0.2">
      <c r="A2377" s="380">
        <v>1001900</v>
      </c>
      <c r="B2377" s="381" t="s">
        <v>1565</v>
      </c>
    </row>
    <row r="2378" spans="1:2" ht="25.5" x14ac:dyDescent="0.2">
      <c r="A2378" s="380">
        <v>1001901</v>
      </c>
      <c r="B2378" s="381" t="s">
        <v>1566</v>
      </c>
    </row>
    <row r="2379" spans="1:2" ht="25.5" x14ac:dyDescent="0.2">
      <c r="A2379" s="380">
        <v>1001902</v>
      </c>
      <c r="B2379" s="381" t="s">
        <v>1567</v>
      </c>
    </row>
    <row r="2380" spans="1:2" x14ac:dyDescent="0.2">
      <c r="A2380" s="380">
        <v>1002000</v>
      </c>
      <c r="B2380" s="381" t="s">
        <v>1568</v>
      </c>
    </row>
    <row r="2381" spans="1:2" ht="25.5" x14ac:dyDescent="0.2">
      <c r="A2381" s="380">
        <v>1002100</v>
      </c>
      <c r="B2381" s="381" t="s">
        <v>1569</v>
      </c>
    </row>
    <row r="2382" spans="1:2" x14ac:dyDescent="0.2">
      <c r="A2382" s="380">
        <v>1002200</v>
      </c>
      <c r="B2382" s="381" t="s">
        <v>1570</v>
      </c>
    </row>
    <row r="2383" spans="1:2" x14ac:dyDescent="0.2">
      <c r="A2383" s="380">
        <v>1002201</v>
      </c>
      <c r="B2383" s="381" t="s">
        <v>1571</v>
      </c>
    </row>
    <row r="2384" spans="1:2" x14ac:dyDescent="0.2">
      <c r="A2384" s="380">
        <v>1002203</v>
      </c>
      <c r="B2384" s="381" t="s">
        <v>1572</v>
      </c>
    </row>
    <row r="2385" spans="1:2" x14ac:dyDescent="0.2">
      <c r="A2385" s="380">
        <v>1002204</v>
      </c>
      <c r="B2385" s="381" t="s">
        <v>1573</v>
      </c>
    </row>
    <row r="2386" spans="1:2" x14ac:dyDescent="0.2">
      <c r="A2386" s="380">
        <v>1002208</v>
      </c>
      <c r="B2386" s="381" t="s">
        <v>1574</v>
      </c>
    </row>
    <row r="2387" spans="1:2" x14ac:dyDescent="0.2">
      <c r="A2387" s="380">
        <v>1002209</v>
      </c>
      <c r="B2387" s="381" t="s">
        <v>1575</v>
      </c>
    </row>
    <row r="2388" spans="1:2" ht="25.5" x14ac:dyDescent="0.2">
      <c r="A2388" s="380">
        <v>1002211</v>
      </c>
      <c r="B2388" s="381" t="s">
        <v>1576</v>
      </c>
    </row>
    <row r="2389" spans="1:2" ht="25.5" x14ac:dyDescent="0.2">
      <c r="A2389" s="380">
        <v>1002300</v>
      </c>
      <c r="B2389" s="381" t="s">
        <v>1577</v>
      </c>
    </row>
    <row r="2390" spans="1:2" x14ac:dyDescent="0.2">
      <c r="A2390" s="380">
        <v>1002301</v>
      </c>
      <c r="B2390" s="381" t="s">
        <v>1578</v>
      </c>
    </row>
    <row r="2391" spans="1:2" x14ac:dyDescent="0.2">
      <c r="A2391" s="380">
        <v>1002302</v>
      </c>
      <c r="B2391" s="381" t="s">
        <v>1579</v>
      </c>
    </row>
    <row r="2392" spans="1:2" x14ac:dyDescent="0.2">
      <c r="A2392" s="380">
        <v>1002303</v>
      </c>
      <c r="B2392" s="381" t="s">
        <v>1580</v>
      </c>
    </row>
    <row r="2393" spans="1:2" x14ac:dyDescent="0.2">
      <c r="A2393" s="380">
        <v>1002304</v>
      </c>
      <c r="B2393" s="381" t="s">
        <v>1581</v>
      </c>
    </row>
    <row r="2394" spans="1:2" x14ac:dyDescent="0.2">
      <c r="A2394" s="380">
        <v>1002305</v>
      </c>
      <c r="B2394" s="381" t="s">
        <v>1582</v>
      </c>
    </row>
    <row r="2395" spans="1:2" x14ac:dyDescent="0.2">
      <c r="A2395" s="380">
        <v>1002306</v>
      </c>
      <c r="B2395" s="381" t="s">
        <v>1583</v>
      </c>
    </row>
    <row r="2396" spans="1:2" x14ac:dyDescent="0.2">
      <c r="A2396" s="380">
        <v>1002307</v>
      </c>
      <c r="B2396" s="381" t="s">
        <v>1584</v>
      </c>
    </row>
    <row r="2397" spans="1:2" x14ac:dyDescent="0.2">
      <c r="A2397" s="380">
        <v>1002308</v>
      </c>
      <c r="B2397" s="381" t="s">
        <v>1585</v>
      </c>
    </row>
    <row r="2398" spans="1:2" x14ac:dyDescent="0.2">
      <c r="A2398" s="380">
        <v>1002309</v>
      </c>
      <c r="B2398" s="381" t="s">
        <v>1586</v>
      </c>
    </row>
    <row r="2399" spans="1:2" ht="25.5" x14ac:dyDescent="0.2">
      <c r="A2399" s="380">
        <v>1002500</v>
      </c>
      <c r="B2399" s="381" t="s">
        <v>1587</v>
      </c>
    </row>
    <row r="2400" spans="1:2" ht="25.5" x14ac:dyDescent="0.2">
      <c r="A2400" s="380">
        <v>1002601</v>
      </c>
      <c r="B2400" s="381" t="s">
        <v>1588</v>
      </c>
    </row>
    <row r="2401" spans="1:2" x14ac:dyDescent="0.2">
      <c r="A2401" s="380">
        <v>1002602</v>
      </c>
      <c r="B2401" s="381" t="s">
        <v>1589</v>
      </c>
    </row>
    <row r="2402" spans="1:2" x14ac:dyDescent="0.2">
      <c r="A2402" s="380">
        <v>1002603</v>
      </c>
      <c r="B2402" s="381" t="s">
        <v>1590</v>
      </c>
    </row>
    <row r="2403" spans="1:2" ht="25.5" x14ac:dyDescent="0.2">
      <c r="A2403" s="380">
        <v>1002604</v>
      </c>
      <c r="B2403" s="381" t="s">
        <v>1591</v>
      </c>
    </row>
    <row r="2404" spans="1:2" x14ac:dyDescent="0.2">
      <c r="A2404" s="380">
        <v>1002605</v>
      </c>
      <c r="B2404" s="381" t="s">
        <v>1592</v>
      </c>
    </row>
    <row r="2405" spans="1:2" ht="25.5" x14ac:dyDescent="0.2">
      <c r="A2405" s="380">
        <v>1002606</v>
      </c>
      <c r="B2405" s="381" t="s">
        <v>1593</v>
      </c>
    </row>
    <row r="2406" spans="1:2" x14ac:dyDescent="0.2">
      <c r="A2406" s="380">
        <v>1002607</v>
      </c>
      <c r="B2406" s="381" t="s">
        <v>1594</v>
      </c>
    </row>
    <row r="2407" spans="1:2" x14ac:dyDescent="0.2">
      <c r="A2407" s="380">
        <v>1002608</v>
      </c>
      <c r="B2407" s="381" t="s">
        <v>1595</v>
      </c>
    </row>
    <row r="2408" spans="1:2" ht="25.5" x14ac:dyDescent="0.2">
      <c r="A2408" s="380">
        <v>1002609</v>
      </c>
      <c r="B2408" s="381" t="s">
        <v>1596</v>
      </c>
    </row>
    <row r="2409" spans="1:2" ht="25.5" x14ac:dyDescent="0.2">
      <c r="A2409" s="380">
        <v>1002610</v>
      </c>
      <c r="B2409" s="381" t="s">
        <v>1597</v>
      </c>
    </row>
    <row r="2410" spans="1:2" ht="25.5" x14ac:dyDescent="0.2">
      <c r="A2410" s="380">
        <v>1002611</v>
      </c>
      <c r="B2410" s="381" t="s">
        <v>1598</v>
      </c>
    </row>
    <row r="2411" spans="1:2" ht="25.5" x14ac:dyDescent="0.2">
      <c r="A2411" s="380">
        <v>1002612</v>
      </c>
      <c r="B2411" s="381" t="s">
        <v>1599</v>
      </c>
    </row>
    <row r="2412" spans="1:2" ht="25.5" x14ac:dyDescent="0.2">
      <c r="A2412" s="380">
        <v>1002613</v>
      </c>
      <c r="B2412" s="381" t="s">
        <v>1600</v>
      </c>
    </row>
    <row r="2413" spans="1:2" ht="25.5" x14ac:dyDescent="0.2">
      <c r="A2413" s="380">
        <v>1002614</v>
      </c>
      <c r="B2413" s="381" t="s">
        <v>1601</v>
      </c>
    </row>
    <row r="2414" spans="1:2" ht="25.5" x14ac:dyDescent="0.2">
      <c r="A2414" s="380">
        <v>1002615</v>
      </c>
      <c r="B2414" s="381" t="s">
        <v>1602</v>
      </c>
    </row>
    <row r="2415" spans="1:2" ht="25.5" x14ac:dyDescent="0.2">
      <c r="A2415" s="380">
        <v>1002616</v>
      </c>
      <c r="B2415" s="381" t="s">
        <v>1603</v>
      </c>
    </row>
    <row r="2416" spans="1:2" x14ac:dyDescent="0.2">
      <c r="A2416" s="380">
        <v>1002617</v>
      </c>
      <c r="B2416" s="381" t="s">
        <v>1604</v>
      </c>
    </row>
    <row r="2417" spans="1:2" x14ac:dyDescent="0.2">
      <c r="A2417" s="380">
        <v>1002618</v>
      </c>
      <c r="B2417" s="381" t="s">
        <v>1605</v>
      </c>
    </row>
    <row r="2418" spans="1:2" ht="25.5" x14ac:dyDescent="0.2">
      <c r="A2418" s="380">
        <v>1002619</v>
      </c>
      <c r="B2418" s="381" t="s">
        <v>1606</v>
      </c>
    </row>
    <row r="2419" spans="1:2" ht="25.5" x14ac:dyDescent="0.2">
      <c r="A2419" s="380">
        <v>1002620</v>
      </c>
      <c r="B2419" s="381" t="s">
        <v>1607</v>
      </c>
    </row>
    <row r="2420" spans="1:2" x14ac:dyDescent="0.2">
      <c r="A2420" s="380">
        <v>1002800</v>
      </c>
      <c r="B2420" s="381" t="s">
        <v>1608</v>
      </c>
    </row>
    <row r="2421" spans="1:2" x14ac:dyDescent="0.2">
      <c r="A2421" s="380">
        <v>1002900</v>
      </c>
      <c r="B2421" s="381" t="s">
        <v>1609</v>
      </c>
    </row>
    <row r="2422" spans="1:2" ht="25.5" x14ac:dyDescent="0.2">
      <c r="A2422" s="380">
        <v>1003000</v>
      </c>
      <c r="B2422" s="381" t="s">
        <v>1610</v>
      </c>
    </row>
    <row r="2423" spans="1:2" x14ac:dyDescent="0.2">
      <c r="A2423" s="380">
        <v>1003200</v>
      </c>
      <c r="B2423" s="381" t="s">
        <v>1611</v>
      </c>
    </row>
    <row r="2424" spans="1:2" x14ac:dyDescent="0.2">
      <c r="A2424" s="380">
        <v>1003300</v>
      </c>
      <c r="B2424" s="381" t="s">
        <v>1612</v>
      </c>
    </row>
    <row r="2425" spans="1:2" x14ac:dyDescent="0.2">
      <c r="A2425" s="380">
        <v>1003400</v>
      </c>
      <c r="B2425" s="381" t="s">
        <v>1613</v>
      </c>
    </row>
    <row r="2426" spans="1:2" ht="25.5" x14ac:dyDescent="0.2">
      <c r="A2426" s="380">
        <v>1003500</v>
      </c>
      <c r="B2426" s="381" t="s">
        <v>1614</v>
      </c>
    </row>
    <row r="2427" spans="1:2" ht="25.5" x14ac:dyDescent="0.2">
      <c r="A2427" s="380">
        <v>1003501</v>
      </c>
      <c r="B2427" s="381" t="s">
        <v>1615</v>
      </c>
    </row>
    <row r="2428" spans="1:2" ht="25.5" x14ac:dyDescent="0.2">
      <c r="A2428" s="380">
        <v>1003502</v>
      </c>
      <c r="B2428" s="381" t="s">
        <v>1616</v>
      </c>
    </row>
    <row r="2429" spans="1:2" x14ac:dyDescent="0.2">
      <c r="A2429" s="380">
        <v>1003503</v>
      </c>
      <c r="B2429" s="381" t="s">
        <v>1617</v>
      </c>
    </row>
    <row r="2430" spans="1:2" ht="25.5" x14ac:dyDescent="0.2">
      <c r="A2430" s="380">
        <v>1003504</v>
      </c>
      <c r="B2430" s="381" t="s">
        <v>1618</v>
      </c>
    </row>
    <row r="2431" spans="1:2" x14ac:dyDescent="0.2">
      <c r="A2431" s="380">
        <v>1003600</v>
      </c>
      <c r="B2431" s="381" t="s">
        <v>1619</v>
      </c>
    </row>
    <row r="2432" spans="1:2" x14ac:dyDescent="0.2">
      <c r="A2432" s="380">
        <v>1003601</v>
      </c>
      <c r="B2432" s="381" t="s">
        <v>1620</v>
      </c>
    </row>
    <row r="2433" spans="1:2" ht="25.5" x14ac:dyDescent="0.2">
      <c r="A2433" s="380">
        <v>1003602</v>
      </c>
      <c r="B2433" s="381" t="s">
        <v>1621</v>
      </c>
    </row>
    <row r="2434" spans="1:2" x14ac:dyDescent="0.2">
      <c r="A2434" s="380">
        <v>1003603</v>
      </c>
      <c r="B2434" s="381" t="s">
        <v>1622</v>
      </c>
    </row>
    <row r="2435" spans="1:2" x14ac:dyDescent="0.2">
      <c r="A2435" s="380">
        <v>1003604</v>
      </c>
      <c r="B2435" s="381" t="s">
        <v>1623</v>
      </c>
    </row>
    <row r="2436" spans="1:2" x14ac:dyDescent="0.2">
      <c r="A2436" s="380">
        <v>1003605</v>
      </c>
      <c r="B2436" s="381" t="s">
        <v>1624</v>
      </c>
    </row>
    <row r="2437" spans="1:2" x14ac:dyDescent="0.2">
      <c r="A2437" s="380">
        <v>1003700</v>
      </c>
      <c r="B2437" s="381" t="s">
        <v>1625</v>
      </c>
    </row>
    <row r="2438" spans="1:2" x14ac:dyDescent="0.2">
      <c r="A2438" s="380">
        <v>1003701</v>
      </c>
      <c r="B2438" s="381" t="s">
        <v>1626</v>
      </c>
    </row>
    <row r="2439" spans="1:2" ht="25.5" x14ac:dyDescent="0.2">
      <c r="A2439" s="380">
        <v>1003702</v>
      </c>
      <c r="B2439" s="381" t="s">
        <v>1627</v>
      </c>
    </row>
    <row r="2440" spans="1:2" ht="25.5" x14ac:dyDescent="0.2">
      <c r="A2440" s="380">
        <v>1003703</v>
      </c>
      <c r="B2440" s="381" t="s">
        <v>1628</v>
      </c>
    </row>
    <row r="2441" spans="1:2" x14ac:dyDescent="0.2">
      <c r="A2441" s="380">
        <v>1003704</v>
      </c>
      <c r="B2441" s="381" t="s">
        <v>1629</v>
      </c>
    </row>
    <row r="2442" spans="1:2" ht="25.5" x14ac:dyDescent="0.2">
      <c r="A2442" s="380">
        <v>1003800</v>
      </c>
      <c r="B2442" s="381" t="s">
        <v>1630</v>
      </c>
    </row>
    <row r="2443" spans="1:2" ht="25.5" x14ac:dyDescent="0.2">
      <c r="A2443" s="380">
        <v>1003900</v>
      </c>
      <c r="B2443" s="381" t="s">
        <v>1631</v>
      </c>
    </row>
    <row r="2444" spans="1:2" ht="25.5" x14ac:dyDescent="0.2">
      <c r="A2444" s="380">
        <v>1003901</v>
      </c>
      <c r="B2444" s="381" t="s">
        <v>1632</v>
      </c>
    </row>
    <row r="2445" spans="1:2" ht="25.5" x14ac:dyDescent="0.2">
      <c r="A2445" s="380">
        <v>1003902</v>
      </c>
      <c r="B2445" s="381" t="s">
        <v>1633</v>
      </c>
    </row>
    <row r="2446" spans="1:2" ht="25.5" x14ac:dyDescent="0.2">
      <c r="A2446" s="380">
        <v>1004000</v>
      </c>
      <c r="B2446" s="381" t="s">
        <v>1634</v>
      </c>
    </row>
    <row r="2447" spans="1:2" x14ac:dyDescent="0.2">
      <c r="A2447" s="380">
        <v>1004100</v>
      </c>
      <c r="B2447" s="381" t="s">
        <v>1635</v>
      </c>
    </row>
    <row r="2448" spans="1:2" x14ac:dyDescent="0.2">
      <c r="A2448" s="380">
        <v>1004200</v>
      </c>
      <c r="B2448" s="381" t="s">
        <v>1636</v>
      </c>
    </row>
    <row r="2449" spans="1:2" x14ac:dyDescent="0.2">
      <c r="A2449" s="380">
        <v>1004400</v>
      </c>
      <c r="B2449" s="381" t="s">
        <v>1637</v>
      </c>
    </row>
    <row r="2450" spans="1:2" x14ac:dyDescent="0.2">
      <c r="A2450" s="380">
        <v>1004500</v>
      </c>
      <c r="B2450" s="381" t="s">
        <v>1638</v>
      </c>
    </row>
    <row r="2451" spans="1:2" ht="25.5" x14ac:dyDescent="0.2">
      <c r="A2451" s="380">
        <v>1004600</v>
      </c>
      <c r="B2451" s="381" t="s">
        <v>1639</v>
      </c>
    </row>
    <row r="2452" spans="1:2" x14ac:dyDescent="0.2">
      <c r="A2452" s="380">
        <v>1004601</v>
      </c>
      <c r="B2452" s="381" t="s">
        <v>1640</v>
      </c>
    </row>
    <row r="2453" spans="1:2" x14ac:dyDescent="0.2">
      <c r="A2453" s="380">
        <v>1004602</v>
      </c>
      <c r="B2453" s="381" t="s">
        <v>1641</v>
      </c>
    </row>
    <row r="2454" spans="1:2" ht="25.5" x14ac:dyDescent="0.2">
      <c r="A2454" s="380">
        <v>1004700</v>
      </c>
      <c r="B2454" s="381" t="s">
        <v>1642</v>
      </c>
    </row>
    <row r="2455" spans="1:2" x14ac:dyDescent="0.2">
      <c r="A2455" s="380">
        <v>1004800</v>
      </c>
      <c r="B2455" s="381" t="s">
        <v>1643</v>
      </c>
    </row>
    <row r="2456" spans="1:2" x14ac:dyDescent="0.2">
      <c r="A2456" s="380">
        <v>1004901</v>
      </c>
      <c r="B2456" s="381" t="s">
        <v>1644</v>
      </c>
    </row>
    <row r="2457" spans="1:2" ht="25.5" x14ac:dyDescent="0.2">
      <c r="A2457" s="380">
        <v>1005000</v>
      </c>
      <c r="B2457" s="381" t="s">
        <v>1645</v>
      </c>
    </row>
    <row r="2458" spans="1:2" x14ac:dyDescent="0.2">
      <c r="A2458" s="380">
        <v>1005200</v>
      </c>
      <c r="B2458" s="381" t="s">
        <v>1646</v>
      </c>
    </row>
    <row r="2459" spans="1:2" ht="25.5" x14ac:dyDescent="0.2">
      <c r="A2459" s="380">
        <v>1005300</v>
      </c>
      <c r="B2459" s="381" t="s">
        <v>1647</v>
      </c>
    </row>
    <row r="2460" spans="1:2" x14ac:dyDescent="0.2">
      <c r="A2460" s="380">
        <v>1005400</v>
      </c>
      <c r="B2460" s="381" t="s">
        <v>1648</v>
      </c>
    </row>
    <row r="2461" spans="1:2" ht="38.25" x14ac:dyDescent="0.2">
      <c r="A2461" s="380">
        <v>1005401</v>
      </c>
      <c r="B2461" s="381" t="s">
        <v>1649</v>
      </c>
    </row>
    <row r="2462" spans="1:2" x14ac:dyDescent="0.2">
      <c r="A2462" s="380">
        <v>1005402</v>
      </c>
      <c r="B2462" s="381" t="s">
        <v>1650</v>
      </c>
    </row>
    <row r="2463" spans="1:2" ht="25.5" x14ac:dyDescent="0.2">
      <c r="A2463" s="380">
        <v>1005403</v>
      </c>
      <c r="B2463" s="381" t="s">
        <v>1651</v>
      </c>
    </row>
    <row r="2464" spans="1:2" ht="25.5" x14ac:dyDescent="0.2">
      <c r="A2464" s="380">
        <v>1005500</v>
      </c>
      <c r="B2464" s="381" t="s">
        <v>1652</v>
      </c>
    </row>
    <row r="2465" spans="1:2" ht="25.5" x14ac:dyDescent="0.2">
      <c r="A2465" s="380">
        <v>1005600</v>
      </c>
      <c r="B2465" s="381" t="s">
        <v>1653</v>
      </c>
    </row>
    <row r="2466" spans="1:2" x14ac:dyDescent="0.2">
      <c r="A2466" s="380">
        <v>1005700</v>
      </c>
      <c r="B2466" s="381" t="s">
        <v>1654</v>
      </c>
    </row>
    <row r="2467" spans="1:2" x14ac:dyDescent="0.2">
      <c r="A2467" s="380">
        <v>1005701</v>
      </c>
      <c r="B2467" s="381" t="s">
        <v>1655</v>
      </c>
    </row>
    <row r="2468" spans="1:2" x14ac:dyDescent="0.2">
      <c r="A2468" s="380">
        <v>1005702</v>
      </c>
      <c r="B2468" s="381" t="s">
        <v>1656</v>
      </c>
    </row>
    <row r="2469" spans="1:2" x14ac:dyDescent="0.2">
      <c r="A2469" s="380">
        <v>1005800</v>
      </c>
      <c r="B2469" s="381" t="s">
        <v>1657</v>
      </c>
    </row>
    <row r="2470" spans="1:2" x14ac:dyDescent="0.2">
      <c r="A2470" s="380">
        <v>1005801</v>
      </c>
      <c r="B2470" s="381" t="s">
        <v>1658</v>
      </c>
    </row>
    <row r="2471" spans="1:2" ht="25.5" x14ac:dyDescent="0.2">
      <c r="A2471" s="380">
        <v>1005802</v>
      </c>
      <c r="B2471" s="381" t="s">
        <v>1659</v>
      </c>
    </row>
    <row r="2472" spans="1:2" x14ac:dyDescent="0.2">
      <c r="A2472" s="380">
        <v>1005900</v>
      </c>
      <c r="B2472" s="381" t="s">
        <v>1660</v>
      </c>
    </row>
    <row r="2473" spans="1:2" ht="25.5" x14ac:dyDescent="0.2">
      <c r="A2473" s="380">
        <v>1006000</v>
      </c>
      <c r="B2473" s="381" t="s">
        <v>1661</v>
      </c>
    </row>
    <row r="2474" spans="1:2" ht="25.5" x14ac:dyDescent="0.2">
      <c r="A2474" s="380">
        <v>1006100</v>
      </c>
      <c r="B2474" s="381" t="s">
        <v>1662</v>
      </c>
    </row>
    <row r="2475" spans="1:2" x14ac:dyDescent="0.2">
      <c r="A2475" s="380">
        <v>1006200</v>
      </c>
      <c r="B2475" s="381" t="s">
        <v>1663</v>
      </c>
    </row>
    <row r="2476" spans="1:2" ht="25.5" x14ac:dyDescent="0.2">
      <c r="A2476" s="380">
        <v>1006300</v>
      </c>
      <c r="B2476" s="381" t="s">
        <v>1664</v>
      </c>
    </row>
    <row r="2477" spans="1:2" ht="25.5" x14ac:dyDescent="0.2">
      <c r="A2477" s="380">
        <v>1006400</v>
      </c>
      <c r="B2477" s="381" t="s">
        <v>1665</v>
      </c>
    </row>
    <row r="2478" spans="1:2" x14ac:dyDescent="0.2">
      <c r="A2478" s="380">
        <v>1006500</v>
      </c>
      <c r="B2478" s="381" t="s">
        <v>1666</v>
      </c>
    </row>
    <row r="2479" spans="1:2" x14ac:dyDescent="0.2">
      <c r="A2479" s="380">
        <v>1006600</v>
      </c>
      <c r="B2479" s="381" t="s">
        <v>1667</v>
      </c>
    </row>
    <row r="2480" spans="1:2" ht="25.5" x14ac:dyDescent="0.2">
      <c r="A2480" s="380">
        <v>1006700</v>
      </c>
      <c r="B2480" s="381" t="s">
        <v>1668</v>
      </c>
    </row>
    <row r="2481" spans="1:2" x14ac:dyDescent="0.2">
      <c r="A2481" s="380">
        <v>1006800</v>
      </c>
      <c r="B2481" s="381" t="s">
        <v>1669</v>
      </c>
    </row>
    <row r="2482" spans="1:2" ht="25.5" x14ac:dyDescent="0.2">
      <c r="A2482" s="380">
        <v>1006900</v>
      </c>
      <c r="B2482" s="381" t="s">
        <v>1670</v>
      </c>
    </row>
    <row r="2483" spans="1:2" x14ac:dyDescent="0.2">
      <c r="A2483" s="380">
        <v>1007000</v>
      </c>
      <c r="B2483" s="381" t="s">
        <v>1671</v>
      </c>
    </row>
    <row r="2484" spans="1:2" ht="25.5" x14ac:dyDescent="0.2">
      <c r="A2484" s="380">
        <v>1007100</v>
      </c>
      <c r="B2484" s="381" t="s">
        <v>1672</v>
      </c>
    </row>
    <row r="2485" spans="1:2" x14ac:dyDescent="0.2">
      <c r="A2485" s="380">
        <v>1007200</v>
      </c>
      <c r="B2485" s="381" t="s">
        <v>1673</v>
      </c>
    </row>
    <row r="2486" spans="1:2" x14ac:dyDescent="0.2">
      <c r="A2486" s="380">
        <v>1007300</v>
      </c>
      <c r="B2486" s="381" t="s">
        <v>1674</v>
      </c>
    </row>
    <row r="2487" spans="1:2" x14ac:dyDescent="0.2">
      <c r="A2487" s="380">
        <v>1007400</v>
      </c>
      <c r="B2487" s="381" t="s">
        <v>1675</v>
      </c>
    </row>
    <row r="2488" spans="1:2" ht="25.5" x14ac:dyDescent="0.2">
      <c r="A2488" s="380">
        <v>1007500</v>
      </c>
      <c r="B2488" s="381" t="s">
        <v>1676</v>
      </c>
    </row>
    <row r="2489" spans="1:2" ht="25.5" x14ac:dyDescent="0.2">
      <c r="A2489" s="380">
        <v>1007600</v>
      </c>
      <c r="B2489" s="381" t="s">
        <v>1677</v>
      </c>
    </row>
    <row r="2490" spans="1:2" x14ac:dyDescent="0.2">
      <c r="A2490" s="380">
        <v>1007700</v>
      </c>
      <c r="B2490" s="381" t="s">
        <v>1678</v>
      </c>
    </row>
    <row r="2491" spans="1:2" ht="25.5" x14ac:dyDescent="0.2">
      <c r="A2491" s="380">
        <v>1007800</v>
      </c>
      <c r="B2491" s="381" t="s">
        <v>1679</v>
      </c>
    </row>
    <row r="2492" spans="1:2" ht="38.25" x14ac:dyDescent="0.2">
      <c r="A2492" s="380">
        <v>1007900</v>
      </c>
      <c r="B2492" s="381" t="s">
        <v>1680</v>
      </c>
    </row>
    <row r="2493" spans="1:2" ht="63.75" x14ac:dyDescent="0.2">
      <c r="A2493" s="380">
        <v>1008000</v>
      </c>
      <c r="B2493" s="381" t="s">
        <v>1681</v>
      </c>
    </row>
    <row r="2494" spans="1:2" x14ac:dyDescent="0.2">
      <c r="A2494" s="380">
        <v>1008100</v>
      </c>
      <c r="B2494" s="381" t="s">
        <v>1682</v>
      </c>
    </row>
    <row r="2495" spans="1:2" x14ac:dyDescent="0.2">
      <c r="A2495" s="380">
        <v>1008101</v>
      </c>
      <c r="B2495" s="381" t="s">
        <v>1683</v>
      </c>
    </row>
    <row r="2496" spans="1:2" x14ac:dyDescent="0.2">
      <c r="A2496" s="380">
        <v>1008102</v>
      </c>
      <c r="B2496" s="381" t="s">
        <v>1515</v>
      </c>
    </row>
    <row r="2497" spans="1:2" x14ac:dyDescent="0.2">
      <c r="A2497" s="380">
        <v>1008103</v>
      </c>
      <c r="B2497" s="381" t="s">
        <v>1516</v>
      </c>
    </row>
    <row r="2498" spans="1:2" x14ac:dyDescent="0.2">
      <c r="A2498" s="380">
        <v>1008104</v>
      </c>
      <c r="B2498" s="381" t="s">
        <v>1519</v>
      </c>
    </row>
    <row r="2499" spans="1:2" x14ac:dyDescent="0.2">
      <c r="A2499" s="380">
        <v>1008105</v>
      </c>
      <c r="B2499" s="381" t="s">
        <v>1684</v>
      </c>
    </row>
    <row r="2500" spans="1:2" x14ac:dyDescent="0.2">
      <c r="A2500" s="380">
        <v>1008106</v>
      </c>
      <c r="B2500" s="381" t="s">
        <v>1517</v>
      </c>
    </row>
    <row r="2501" spans="1:2" ht="25.5" x14ac:dyDescent="0.2">
      <c r="A2501" s="380">
        <v>1008107</v>
      </c>
      <c r="B2501" s="381" t="s">
        <v>1685</v>
      </c>
    </row>
    <row r="2502" spans="1:2" ht="25.5" x14ac:dyDescent="0.2">
      <c r="A2502" s="380">
        <v>1008200</v>
      </c>
      <c r="B2502" s="381" t="s">
        <v>1686</v>
      </c>
    </row>
    <row r="2503" spans="1:2" ht="25.5" x14ac:dyDescent="0.2">
      <c r="A2503" s="380">
        <v>1008300</v>
      </c>
      <c r="B2503" s="381" t="s">
        <v>1687</v>
      </c>
    </row>
    <row r="2504" spans="1:2" x14ac:dyDescent="0.2">
      <c r="A2504" s="380">
        <v>1008400</v>
      </c>
      <c r="B2504" s="381" t="s">
        <v>1688</v>
      </c>
    </row>
    <row r="2505" spans="1:2" x14ac:dyDescent="0.2">
      <c r="A2505" s="380">
        <v>1008500</v>
      </c>
      <c r="B2505" s="381" t="s">
        <v>1689</v>
      </c>
    </row>
    <row r="2506" spans="1:2" x14ac:dyDescent="0.2">
      <c r="A2506" s="380">
        <v>1008600</v>
      </c>
      <c r="B2506" s="381" t="s">
        <v>1690</v>
      </c>
    </row>
    <row r="2507" spans="1:2" ht="25.5" x14ac:dyDescent="0.2">
      <c r="A2507" s="380">
        <v>1008700</v>
      </c>
      <c r="B2507" s="381" t="s">
        <v>1691</v>
      </c>
    </row>
    <row r="2508" spans="1:2" x14ac:dyDescent="0.2">
      <c r="A2508" s="380">
        <v>1008800</v>
      </c>
      <c r="B2508" s="381" t="s">
        <v>1692</v>
      </c>
    </row>
    <row r="2509" spans="1:2" ht="25.5" x14ac:dyDescent="0.2">
      <c r="A2509" s="380">
        <v>1008810</v>
      </c>
      <c r="B2509" s="381" t="s">
        <v>1693</v>
      </c>
    </row>
    <row r="2510" spans="1:2" x14ac:dyDescent="0.2">
      <c r="A2510" s="380">
        <v>1008811</v>
      </c>
      <c r="B2510" s="381" t="s">
        <v>1694</v>
      </c>
    </row>
    <row r="2511" spans="1:2" ht="25.5" x14ac:dyDescent="0.2">
      <c r="A2511" s="380">
        <v>1008812</v>
      </c>
      <c r="B2511" s="381" t="s">
        <v>1695</v>
      </c>
    </row>
    <row r="2512" spans="1:2" x14ac:dyDescent="0.2">
      <c r="A2512" s="380">
        <v>1008813</v>
      </c>
      <c r="B2512" s="381" t="s">
        <v>1696</v>
      </c>
    </row>
    <row r="2513" spans="1:2" ht="25.5" x14ac:dyDescent="0.2">
      <c r="A2513" s="380">
        <v>1008814</v>
      </c>
      <c r="B2513" s="381" t="s">
        <v>1697</v>
      </c>
    </row>
    <row r="2514" spans="1:2" x14ac:dyDescent="0.2">
      <c r="A2514" s="380">
        <v>1008815</v>
      </c>
      <c r="B2514" s="381" t="s">
        <v>1698</v>
      </c>
    </row>
    <row r="2515" spans="1:2" x14ac:dyDescent="0.2">
      <c r="A2515" s="380">
        <v>1008816</v>
      </c>
      <c r="B2515" s="381" t="s">
        <v>1699</v>
      </c>
    </row>
    <row r="2516" spans="1:2" x14ac:dyDescent="0.2">
      <c r="A2516" s="380">
        <v>1008821</v>
      </c>
      <c r="B2516" s="381" t="s">
        <v>1700</v>
      </c>
    </row>
    <row r="2517" spans="1:2" x14ac:dyDescent="0.2">
      <c r="A2517" s="380">
        <v>1008822</v>
      </c>
      <c r="B2517" s="381" t="s">
        <v>1701</v>
      </c>
    </row>
    <row r="2518" spans="1:2" x14ac:dyDescent="0.2">
      <c r="A2518" s="380">
        <v>1008830</v>
      </c>
      <c r="B2518" s="381" t="s">
        <v>1702</v>
      </c>
    </row>
    <row r="2519" spans="1:2" x14ac:dyDescent="0.2">
      <c r="A2519" s="380">
        <v>1008840</v>
      </c>
      <c r="B2519" s="381" t="s">
        <v>1703</v>
      </c>
    </row>
    <row r="2520" spans="1:2" x14ac:dyDescent="0.2">
      <c r="A2520" s="380">
        <v>1008850</v>
      </c>
      <c r="B2520" s="381" t="s">
        <v>1704</v>
      </c>
    </row>
    <row r="2521" spans="1:2" x14ac:dyDescent="0.2">
      <c r="A2521" s="380">
        <v>1008851</v>
      </c>
      <c r="B2521" s="381" t="s">
        <v>1705</v>
      </c>
    </row>
    <row r="2522" spans="1:2" x14ac:dyDescent="0.2">
      <c r="A2522" s="380">
        <v>1008852</v>
      </c>
      <c r="B2522" s="381" t="s">
        <v>1706</v>
      </c>
    </row>
    <row r="2523" spans="1:2" ht="25.5" x14ac:dyDescent="0.2">
      <c r="A2523" s="380">
        <v>1008853</v>
      </c>
      <c r="B2523" s="381" t="s">
        <v>1707</v>
      </c>
    </row>
    <row r="2524" spans="1:2" x14ac:dyDescent="0.2">
      <c r="A2524" s="380">
        <v>1008854</v>
      </c>
      <c r="B2524" s="381" t="s">
        <v>1708</v>
      </c>
    </row>
    <row r="2525" spans="1:2" x14ac:dyDescent="0.2">
      <c r="A2525" s="380">
        <v>1008855</v>
      </c>
      <c r="B2525" s="381" t="s">
        <v>1709</v>
      </c>
    </row>
    <row r="2526" spans="1:2" ht="25.5" x14ac:dyDescent="0.2">
      <c r="A2526" s="380">
        <v>1008856</v>
      </c>
      <c r="B2526" s="381" t="s">
        <v>1710</v>
      </c>
    </row>
    <row r="2527" spans="1:2" ht="25.5" x14ac:dyDescent="0.2">
      <c r="A2527" s="380">
        <v>1008857</v>
      </c>
      <c r="B2527" s="381" t="s">
        <v>1711</v>
      </c>
    </row>
    <row r="2528" spans="1:2" ht="25.5" x14ac:dyDescent="0.2">
      <c r="A2528" s="380">
        <v>1008858</v>
      </c>
      <c r="B2528" s="381" t="s">
        <v>1712</v>
      </c>
    </row>
    <row r="2529" spans="1:2" x14ac:dyDescent="0.2">
      <c r="A2529" s="380">
        <v>1008860</v>
      </c>
      <c r="B2529" s="381" t="s">
        <v>1713</v>
      </c>
    </row>
    <row r="2530" spans="1:2" x14ac:dyDescent="0.2">
      <c r="A2530" s="380">
        <v>1008900</v>
      </c>
      <c r="B2530" s="381" t="s">
        <v>1714</v>
      </c>
    </row>
    <row r="2531" spans="1:2" x14ac:dyDescent="0.2">
      <c r="A2531" s="380">
        <v>1009000</v>
      </c>
      <c r="B2531" s="381" t="s">
        <v>1715</v>
      </c>
    </row>
    <row r="2532" spans="1:2" x14ac:dyDescent="0.2">
      <c r="A2532" s="380">
        <v>1009100</v>
      </c>
      <c r="B2532" s="381" t="s">
        <v>1716</v>
      </c>
    </row>
    <row r="2533" spans="1:2" ht="25.5" x14ac:dyDescent="0.2">
      <c r="A2533" s="380">
        <v>1009200</v>
      </c>
      <c r="B2533" s="381" t="s">
        <v>1717</v>
      </c>
    </row>
    <row r="2534" spans="1:2" x14ac:dyDescent="0.2">
      <c r="A2534" s="380">
        <v>1009300</v>
      </c>
      <c r="B2534" s="381" t="s">
        <v>1718</v>
      </c>
    </row>
    <row r="2535" spans="1:2" x14ac:dyDescent="0.2">
      <c r="A2535" s="380">
        <v>1009301</v>
      </c>
      <c r="B2535" s="381" t="s">
        <v>1719</v>
      </c>
    </row>
    <row r="2536" spans="1:2" ht="25.5" x14ac:dyDescent="0.2">
      <c r="A2536" s="380">
        <v>1009400</v>
      </c>
      <c r="B2536" s="381" t="s">
        <v>1720</v>
      </c>
    </row>
    <row r="2537" spans="1:2" x14ac:dyDescent="0.2">
      <c r="A2537" s="380" t="s">
        <v>1721</v>
      </c>
      <c r="B2537" s="381"/>
    </row>
    <row r="2538" spans="1:2" ht="25.5" x14ac:dyDescent="0.2">
      <c r="A2538" s="380">
        <v>1009500</v>
      </c>
      <c r="B2538" s="381" t="s">
        <v>1722</v>
      </c>
    </row>
    <row r="2539" spans="1:2" ht="25.5" x14ac:dyDescent="0.2">
      <c r="A2539" s="380">
        <v>1009600</v>
      </c>
      <c r="B2539" s="381" t="s">
        <v>1723</v>
      </c>
    </row>
    <row r="2540" spans="1:2" x14ac:dyDescent="0.2">
      <c r="A2540" s="380">
        <v>1009700</v>
      </c>
      <c r="B2540" s="381" t="s">
        <v>1724</v>
      </c>
    </row>
    <row r="2541" spans="1:2" ht="25.5" x14ac:dyDescent="0.2">
      <c r="A2541" s="380">
        <v>1009800</v>
      </c>
      <c r="B2541" s="381" t="s">
        <v>1725</v>
      </c>
    </row>
    <row r="2542" spans="1:2" ht="25.5" x14ac:dyDescent="0.2">
      <c r="A2542" s="380">
        <v>1009900</v>
      </c>
      <c r="B2542" s="381" t="s">
        <v>1726</v>
      </c>
    </row>
    <row r="2543" spans="1:2" x14ac:dyDescent="0.2">
      <c r="A2543" s="380">
        <v>1009901</v>
      </c>
      <c r="B2543" s="381" t="s">
        <v>1727</v>
      </c>
    </row>
    <row r="2544" spans="1:2" ht="38.25" x14ac:dyDescent="0.2">
      <c r="A2544" s="380">
        <v>1009902</v>
      </c>
      <c r="B2544" s="381" t="s">
        <v>1728</v>
      </c>
    </row>
    <row r="2545" spans="1:2" x14ac:dyDescent="0.2">
      <c r="A2545" s="380">
        <v>1010000</v>
      </c>
      <c r="B2545" s="381" t="s">
        <v>1729</v>
      </c>
    </row>
    <row r="2546" spans="1:2" x14ac:dyDescent="0.2">
      <c r="A2546" s="380">
        <v>1010100</v>
      </c>
      <c r="B2546" s="381" t="s">
        <v>1730</v>
      </c>
    </row>
    <row r="2547" spans="1:2" ht="25.5" x14ac:dyDescent="0.2">
      <c r="A2547" s="380">
        <v>1010200</v>
      </c>
      <c r="B2547" s="381" t="s">
        <v>1731</v>
      </c>
    </row>
    <row r="2548" spans="1:2" ht="25.5" x14ac:dyDescent="0.2">
      <c r="A2548" s="380">
        <v>1010300</v>
      </c>
      <c r="B2548" s="381" t="s">
        <v>1732</v>
      </c>
    </row>
    <row r="2549" spans="1:2" x14ac:dyDescent="0.2">
      <c r="A2549" s="380">
        <v>1015700</v>
      </c>
      <c r="B2549" s="381" t="s">
        <v>1733</v>
      </c>
    </row>
    <row r="2550" spans="1:2" x14ac:dyDescent="0.2">
      <c r="A2550" s="380">
        <v>1016300</v>
      </c>
      <c r="B2550" s="381" t="s">
        <v>1734</v>
      </c>
    </row>
    <row r="2551" spans="1:2" x14ac:dyDescent="0.2">
      <c r="A2551" s="380">
        <v>1016700</v>
      </c>
      <c r="B2551" s="381" t="s">
        <v>1310</v>
      </c>
    </row>
    <row r="2552" spans="1:2" x14ac:dyDescent="0.2">
      <c r="A2552" s="380">
        <v>1020000</v>
      </c>
      <c r="B2552" s="381" t="s">
        <v>1735</v>
      </c>
    </row>
    <row r="2553" spans="1:2" ht="25.5" x14ac:dyDescent="0.2">
      <c r="A2553" s="380">
        <v>1020100</v>
      </c>
      <c r="B2553" s="381" t="s">
        <v>1736</v>
      </c>
    </row>
    <row r="2554" spans="1:2" ht="25.5" x14ac:dyDescent="0.2">
      <c r="A2554" s="380">
        <v>1020101</v>
      </c>
      <c r="B2554" s="381" t="s">
        <v>1737</v>
      </c>
    </row>
    <row r="2555" spans="1:2" x14ac:dyDescent="0.2">
      <c r="A2555" s="380">
        <v>1020102</v>
      </c>
      <c r="B2555" s="381" t="s">
        <v>1738</v>
      </c>
    </row>
    <row r="2556" spans="1:2" ht="25.5" x14ac:dyDescent="0.2">
      <c r="A2556" s="380">
        <v>1020103</v>
      </c>
      <c r="B2556" s="381" t="s">
        <v>1739</v>
      </c>
    </row>
    <row r="2557" spans="1:2" x14ac:dyDescent="0.2">
      <c r="A2557" s="380">
        <v>1020107</v>
      </c>
      <c r="B2557" s="381" t="s">
        <v>1740</v>
      </c>
    </row>
    <row r="2558" spans="1:2" x14ac:dyDescent="0.2">
      <c r="A2558" s="380">
        <v>1020108</v>
      </c>
      <c r="B2558" s="381" t="s">
        <v>1741</v>
      </c>
    </row>
    <row r="2559" spans="1:2" x14ac:dyDescent="0.2">
      <c r="A2559" s="380">
        <v>1020200</v>
      </c>
      <c r="B2559" s="381" t="s">
        <v>1742</v>
      </c>
    </row>
    <row r="2560" spans="1:2" ht="25.5" x14ac:dyDescent="0.2">
      <c r="A2560" s="380">
        <v>1020201</v>
      </c>
      <c r="B2560" s="381" t="s">
        <v>1743</v>
      </c>
    </row>
    <row r="2561" spans="1:2" x14ac:dyDescent="0.2">
      <c r="A2561" s="380">
        <v>1020202</v>
      </c>
      <c r="B2561" s="381" t="s">
        <v>1744</v>
      </c>
    </row>
    <row r="2562" spans="1:2" ht="25.5" x14ac:dyDescent="0.2">
      <c r="A2562" s="380">
        <v>1020203</v>
      </c>
      <c r="B2562" s="381" t="s">
        <v>1745</v>
      </c>
    </row>
    <row r="2563" spans="1:2" x14ac:dyDescent="0.2">
      <c r="A2563" s="380">
        <v>1020204</v>
      </c>
      <c r="B2563" s="381" t="s">
        <v>1746</v>
      </c>
    </row>
    <row r="2564" spans="1:2" ht="38.25" x14ac:dyDescent="0.2">
      <c r="A2564" s="380">
        <v>1020205</v>
      </c>
      <c r="B2564" s="381" t="s">
        <v>1747</v>
      </c>
    </row>
    <row r="2565" spans="1:2" ht="38.25" x14ac:dyDescent="0.2">
      <c r="A2565" s="380">
        <v>1020206</v>
      </c>
      <c r="B2565" s="381" t="s">
        <v>1748</v>
      </c>
    </row>
    <row r="2566" spans="1:2" ht="25.5" x14ac:dyDescent="0.2">
      <c r="A2566" s="380">
        <v>1020208</v>
      </c>
      <c r="B2566" s="381" t="s">
        <v>1749</v>
      </c>
    </row>
    <row r="2567" spans="1:2" x14ac:dyDescent="0.2">
      <c r="A2567" s="380">
        <v>1020300</v>
      </c>
      <c r="B2567" s="381" t="s">
        <v>1750</v>
      </c>
    </row>
    <row r="2568" spans="1:2" x14ac:dyDescent="0.2">
      <c r="A2568" s="380">
        <v>1020400</v>
      </c>
      <c r="B2568" s="381" t="s">
        <v>1751</v>
      </c>
    </row>
    <row r="2569" spans="1:2" ht="25.5" x14ac:dyDescent="0.2">
      <c r="A2569" s="380">
        <v>1020401</v>
      </c>
      <c r="B2569" s="381" t="s">
        <v>1752</v>
      </c>
    </row>
    <row r="2570" spans="1:2" ht="25.5" x14ac:dyDescent="0.2">
      <c r="A2570" s="380">
        <v>1020402</v>
      </c>
      <c r="B2570" s="381" t="s">
        <v>1753</v>
      </c>
    </row>
    <row r="2571" spans="1:2" ht="25.5" x14ac:dyDescent="0.2">
      <c r="A2571" s="380">
        <v>1020500</v>
      </c>
      <c r="B2571" s="381" t="s">
        <v>1754</v>
      </c>
    </row>
    <row r="2572" spans="1:2" ht="38.25" x14ac:dyDescent="0.2">
      <c r="A2572" s="380">
        <v>1020501</v>
      </c>
      <c r="B2572" s="381" t="s">
        <v>1755</v>
      </c>
    </row>
    <row r="2573" spans="1:2" ht="25.5" x14ac:dyDescent="0.2">
      <c r="A2573" s="380">
        <v>1020502</v>
      </c>
      <c r="B2573" s="381" t="s">
        <v>1756</v>
      </c>
    </row>
    <row r="2574" spans="1:2" x14ac:dyDescent="0.2">
      <c r="A2574" s="380">
        <v>1020600</v>
      </c>
      <c r="B2574" s="381" t="s">
        <v>1419</v>
      </c>
    </row>
    <row r="2575" spans="1:2" x14ac:dyDescent="0.2">
      <c r="A2575" s="380">
        <v>1040000</v>
      </c>
      <c r="B2575" s="381" t="s">
        <v>1757</v>
      </c>
    </row>
    <row r="2576" spans="1:2" ht="25.5" x14ac:dyDescent="0.2">
      <c r="A2576" s="380">
        <v>1040100</v>
      </c>
      <c r="B2576" s="381" t="s">
        <v>1758</v>
      </c>
    </row>
    <row r="2577" spans="1:2" ht="25.5" x14ac:dyDescent="0.2">
      <c r="A2577" s="380">
        <v>1040101</v>
      </c>
      <c r="B2577" s="381" t="s">
        <v>1695</v>
      </c>
    </row>
    <row r="2578" spans="1:2" x14ac:dyDescent="0.2">
      <c r="A2578" s="380">
        <v>1040102</v>
      </c>
      <c r="B2578" s="381" t="s">
        <v>1694</v>
      </c>
    </row>
    <row r="2579" spans="1:2" x14ac:dyDescent="0.2">
      <c r="A2579" s="380">
        <v>1040103</v>
      </c>
      <c r="B2579" s="381" t="s">
        <v>1696</v>
      </c>
    </row>
    <row r="2580" spans="1:2" ht="25.5" x14ac:dyDescent="0.2">
      <c r="A2580" s="380">
        <v>1040104</v>
      </c>
      <c r="B2580" s="381" t="s">
        <v>1759</v>
      </c>
    </row>
    <row r="2581" spans="1:2" x14ac:dyDescent="0.2">
      <c r="A2581" s="380">
        <v>1040105</v>
      </c>
      <c r="B2581" s="381" t="s">
        <v>1698</v>
      </c>
    </row>
    <row r="2582" spans="1:2" x14ac:dyDescent="0.2">
      <c r="A2582" s="380">
        <v>1040106</v>
      </c>
      <c r="B2582" s="381" t="s">
        <v>1699</v>
      </c>
    </row>
    <row r="2583" spans="1:2" x14ac:dyDescent="0.2">
      <c r="A2583" s="380">
        <v>1040200</v>
      </c>
      <c r="B2583" s="381" t="s">
        <v>1701</v>
      </c>
    </row>
    <row r="2584" spans="1:2" x14ac:dyDescent="0.2">
      <c r="A2584" s="380">
        <v>1040300</v>
      </c>
      <c r="B2584" s="381" t="s">
        <v>1703</v>
      </c>
    </row>
    <row r="2585" spans="1:2" ht="25.5" x14ac:dyDescent="0.2">
      <c r="A2585" s="380">
        <v>1040400</v>
      </c>
      <c r="B2585" s="381" t="s">
        <v>1760</v>
      </c>
    </row>
    <row r="2586" spans="1:2" x14ac:dyDescent="0.2">
      <c r="A2586" s="380">
        <v>1040500</v>
      </c>
      <c r="B2586" s="381" t="s">
        <v>1761</v>
      </c>
    </row>
    <row r="2587" spans="1:2" ht="25.5" x14ac:dyDescent="0.2">
      <c r="A2587" s="380">
        <v>1040600</v>
      </c>
      <c r="B2587" s="381" t="s">
        <v>1762</v>
      </c>
    </row>
    <row r="2588" spans="1:2" x14ac:dyDescent="0.2">
      <c r="A2588" s="380">
        <v>1040700</v>
      </c>
      <c r="B2588" s="381" t="s">
        <v>1763</v>
      </c>
    </row>
    <row r="2589" spans="1:2" x14ac:dyDescent="0.2">
      <c r="A2589" s="380">
        <v>1040800</v>
      </c>
      <c r="B2589" s="381" t="s">
        <v>1704</v>
      </c>
    </row>
    <row r="2590" spans="1:2" x14ac:dyDescent="0.2">
      <c r="A2590" s="380">
        <v>1040801</v>
      </c>
      <c r="B2590" s="381" t="s">
        <v>1705</v>
      </c>
    </row>
    <row r="2591" spans="1:2" x14ac:dyDescent="0.2">
      <c r="A2591" s="380">
        <v>1040802</v>
      </c>
      <c r="B2591" s="381" t="s">
        <v>1708</v>
      </c>
    </row>
    <row r="2592" spans="1:2" x14ac:dyDescent="0.2">
      <c r="A2592" s="380">
        <v>1040803</v>
      </c>
      <c r="B2592" s="381" t="s">
        <v>1764</v>
      </c>
    </row>
    <row r="2593" spans="1:2" ht="25.5" x14ac:dyDescent="0.2">
      <c r="A2593" s="380">
        <v>1040804</v>
      </c>
      <c r="B2593" s="381" t="s">
        <v>1765</v>
      </c>
    </row>
    <row r="2594" spans="1:2" ht="25.5" x14ac:dyDescent="0.2">
      <c r="A2594" s="380">
        <v>1100000</v>
      </c>
      <c r="B2594" s="381" t="s">
        <v>1766</v>
      </c>
    </row>
    <row r="2595" spans="1:2" x14ac:dyDescent="0.2">
      <c r="A2595" s="380">
        <v>1100100</v>
      </c>
      <c r="B2595" s="381" t="s">
        <v>1767</v>
      </c>
    </row>
    <row r="2596" spans="1:2" ht="25.5" x14ac:dyDescent="0.2">
      <c r="A2596" s="380">
        <v>1300000</v>
      </c>
      <c r="B2596" s="381" t="s">
        <v>1768</v>
      </c>
    </row>
    <row r="2597" spans="1:2" x14ac:dyDescent="0.2">
      <c r="A2597" s="380">
        <v>1300100</v>
      </c>
      <c r="B2597" s="381" t="s">
        <v>1769</v>
      </c>
    </row>
    <row r="2598" spans="1:2" ht="25.5" x14ac:dyDescent="0.2">
      <c r="A2598" s="380">
        <v>1305700</v>
      </c>
      <c r="B2598" s="381" t="s">
        <v>1770</v>
      </c>
    </row>
    <row r="2599" spans="1:2" x14ac:dyDescent="0.2">
      <c r="A2599" s="380">
        <v>1306700</v>
      </c>
      <c r="B2599" s="381" t="s">
        <v>1310</v>
      </c>
    </row>
    <row r="2600" spans="1:2" x14ac:dyDescent="0.2">
      <c r="A2600" s="380">
        <v>1308000</v>
      </c>
      <c r="B2600" s="381" t="s">
        <v>1771</v>
      </c>
    </row>
    <row r="2601" spans="1:2" x14ac:dyDescent="0.2">
      <c r="A2601" s="380">
        <v>1309900</v>
      </c>
      <c r="B2601" s="381" t="s">
        <v>1327</v>
      </c>
    </row>
    <row r="2602" spans="1:2" ht="25.5" x14ac:dyDescent="0.2">
      <c r="A2602" s="380">
        <v>1310000</v>
      </c>
      <c r="B2602" s="381" t="s">
        <v>1772</v>
      </c>
    </row>
    <row r="2603" spans="1:2" x14ac:dyDescent="0.2">
      <c r="A2603" s="380">
        <v>1310100</v>
      </c>
      <c r="B2603" s="381" t="s">
        <v>1773</v>
      </c>
    </row>
    <row r="2604" spans="1:2" x14ac:dyDescent="0.2">
      <c r="A2604" s="380">
        <v>1320000</v>
      </c>
      <c r="B2604" s="381" t="s">
        <v>1774</v>
      </c>
    </row>
    <row r="2605" spans="1:2" x14ac:dyDescent="0.2">
      <c r="A2605" s="380">
        <v>1328000</v>
      </c>
      <c r="B2605" s="381" t="s">
        <v>1771</v>
      </c>
    </row>
    <row r="2606" spans="1:2" ht="25.5" x14ac:dyDescent="0.2">
      <c r="A2606" s="380">
        <v>1330000</v>
      </c>
      <c r="B2606" s="381" t="s">
        <v>1775</v>
      </c>
    </row>
    <row r="2607" spans="1:2" ht="25.5" x14ac:dyDescent="0.2">
      <c r="A2607" s="380">
        <v>1330100</v>
      </c>
      <c r="B2607" s="381" t="s">
        <v>1776</v>
      </c>
    </row>
    <row r="2608" spans="1:2" ht="25.5" x14ac:dyDescent="0.2">
      <c r="A2608" s="380">
        <v>1340000</v>
      </c>
      <c r="B2608" s="381" t="s">
        <v>1775</v>
      </c>
    </row>
    <row r="2609" spans="1:2" ht="25.5" x14ac:dyDescent="0.2">
      <c r="A2609" s="380">
        <v>1340100</v>
      </c>
      <c r="B2609" s="381" t="s">
        <v>1777</v>
      </c>
    </row>
    <row r="2610" spans="1:2" x14ac:dyDescent="0.2">
      <c r="A2610" s="380">
        <v>1340200</v>
      </c>
      <c r="B2610" s="381" t="s">
        <v>1778</v>
      </c>
    </row>
    <row r="2611" spans="1:2" x14ac:dyDescent="0.2">
      <c r="A2611" s="380">
        <v>1350000</v>
      </c>
      <c r="B2611" s="381" t="s">
        <v>1779</v>
      </c>
    </row>
    <row r="2612" spans="1:2" ht="25.5" x14ac:dyDescent="0.2">
      <c r="A2612" s="380">
        <v>1350100</v>
      </c>
      <c r="B2612" s="381" t="s">
        <v>1780</v>
      </c>
    </row>
    <row r="2613" spans="1:2" x14ac:dyDescent="0.2">
      <c r="A2613" s="380">
        <v>1350200</v>
      </c>
      <c r="B2613" s="381" t="s">
        <v>1781</v>
      </c>
    </row>
    <row r="2614" spans="1:2" x14ac:dyDescent="0.2">
      <c r="A2614" s="380">
        <v>1360000</v>
      </c>
      <c r="B2614" s="381" t="s">
        <v>1782</v>
      </c>
    </row>
    <row r="2615" spans="1:2" x14ac:dyDescent="0.2">
      <c r="A2615" s="380">
        <v>1360100</v>
      </c>
      <c r="B2615" s="381" t="s">
        <v>1783</v>
      </c>
    </row>
    <row r="2616" spans="1:2" x14ac:dyDescent="0.2">
      <c r="A2616" s="380">
        <v>1360200</v>
      </c>
      <c r="B2616" s="381" t="s">
        <v>1784</v>
      </c>
    </row>
    <row r="2617" spans="1:2" ht="38.25" x14ac:dyDescent="0.2">
      <c r="A2617" s="380">
        <v>1417288</v>
      </c>
      <c r="B2617" s="381" t="s">
        <v>1785</v>
      </c>
    </row>
    <row r="2618" spans="1:2" x14ac:dyDescent="0.2">
      <c r="A2618" s="380">
        <v>2000000</v>
      </c>
      <c r="B2618" s="381" t="s">
        <v>1786</v>
      </c>
    </row>
    <row r="2619" spans="1:2" x14ac:dyDescent="0.2">
      <c r="A2619" s="380">
        <v>2006600</v>
      </c>
      <c r="B2619" s="381" t="s">
        <v>1456</v>
      </c>
    </row>
    <row r="2620" spans="1:2" x14ac:dyDescent="0.2">
      <c r="A2620" s="380">
        <v>2006700</v>
      </c>
      <c r="B2620" s="381" t="s">
        <v>1310</v>
      </c>
    </row>
    <row r="2621" spans="1:2" x14ac:dyDescent="0.2">
      <c r="A2621" s="380">
        <v>2006800</v>
      </c>
      <c r="B2621" s="381" t="s">
        <v>1311</v>
      </c>
    </row>
    <row r="2622" spans="1:2" x14ac:dyDescent="0.2">
      <c r="A2622" s="380">
        <v>2006801</v>
      </c>
      <c r="B2622" s="381" t="s">
        <v>1312</v>
      </c>
    </row>
    <row r="2623" spans="1:2" ht="25.5" x14ac:dyDescent="0.2">
      <c r="A2623" s="380">
        <v>2006802</v>
      </c>
      <c r="B2623" s="381" t="s">
        <v>1313</v>
      </c>
    </row>
    <row r="2624" spans="1:2" x14ac:dyDescent="0.2">
      <c r="A2624" s="380">
        <v>2007000</v>
      </c>
      <c r="B2624" s="381" t="s">
        <v>1314</v>
      </c>
    </row>
    <row r="2625" spans="1:2" x14ac:dyDescent="0.2">
      <c r="A2625" s="380">
        <v>2009700</v>
      </c>
      <c r="B2625" s="381" t="s">
        <v>1361</v>
      </c>
    </row>
    <row r="2626" spans="1:2" x14ac:dyDescent="0.2">
      <c r="A2626" s="380">
        <v>2010000</v>
      </c>
      <c r="B2626" s="381" t="s">
        <v>1787</v>
      </c>
    </row>
    <row r="2627" spans="1:2" x14ac:dyDescent="0.2">
      <c r="A2627" s="380">
        <v>2016700</v>
      </c>
      <c r="B2627" s="381" t="s">
        <v>1310</v>
      </c>
    </row>
    <row r="2628" spans="1:2" x14ac:dyDescent="0.2">
      <c r="A2628" s="380">
        <v>2016800</v>
      </c>
      <c r="B2628" s="381" t="s">
        <v>1311</v>
      </c>
    </row>
    <row r="2629" spans="1:2" x14ac:dyDescent="0.2">
      <c r="A2629" s="380">
        <v>2016801</v>
      </c>
      <c r="B2629" s="381" t="s">
        <v>1312</v>
      </c>
    </row>
    <row r="2630" spans="1:2" ht="25.5" x14ac:dyDescent="0.2">
      <c r="A2630" s="380">
        <v>2016802</v>
      </c>
      <c r="B2630" s="381" t="s">
        <v>1313</v>
      </c>
    </row>
    <row r="2631" spans="1:2" x14ac:dyDescent="0.2">
      <c r="A2631" s="380">
        <v>2017000</v>
      </c>
      <c r="B2631" s="381" t="s">
        <v>1314</v>
      </c>
    </row>
    <row r="2632" spans="1:2" x14ac:dyDescent="0.2">
      <c r="A2632" s="380">
        <v>2018200</v>
      </c>
      <c r="B2632" s="381" t="s">
        <v>1326</v>
      </c>
    </row>
    <row r="2633" spans="1:2" x14ac:dyDescent="0.2">
      <c r="A2633" s="380">
        <v>2020000</v>
      </c>
      <c r="B2633" s="381" t="s">
        <v>1788</v>
      </c>
    </row>
    <row r="2634" spans="1:2" ht="25.5" x14ac:dyDescent="0.2">
      <c r="A2634" s="380">
        <v>2020100</v>
      </c>
      <c r="B2634" s="381" t="s">
        <v>1789</v>
      </c>
    </row>
    <row r="2635" spans="1:2" x14ac:dyDescent="0.2">
      <c r="A2635" s="380">
        <v>2020800</v>
      </c>
      <c r="B2635" s="381" t="s">
        <v>1267</v>
      </c>
    </row>
    <row r="2636" spans="1:2" x14ac:dyDescent="0.2">
      <c r="A2636" s="380">
        <v>2020900</v>
      </c>
      <c r="B2636" s="381" t="s">
        <v>1790</v>
      </c>
    </row>
    <row r="2637" spans="1:2" ht="25.5" x14ac:dyDescent="0.2">
      <c r="A2637" s="380">
        <v>2024200</v>
      </c>
      <c r="B2637" s="381" t="s">
        <v>1298</v>
      </c>
    </row>
    <row r="2638" spans="1:2" x14ac:dyDescent="0.2">
      <c r="A2638" s="380">
        <v>2025800</v>
      </c>
      <c r="B2638" s="381" t="s">
        <v>1309</v>
      </c>
    </row>
    <row r="2639" spans="1:2" x14ac:dyDescent="0.2">
      <c r="A2639" s="380">
        <v>2026400</v>
      </c>
      <c r="B2639" s="381" t="s">
        <v>1791</v>
      </c>
    </row>
    <row r="2640" spans="1:2" x14ac:dyDescent="0.2">
      <c r="A2640" s="380">
        <v>2026500</v>
      </c>
      <c r="B2640" s="381" t="s">
        <v>1771</v>
      </c>
    </row>
    <row r="2641" spans="1:2" x14ac:dyDescent="0.2">
      <c r="A2641" s="380">
        <v>2026700</v>
      </c>
      <c r="B2641" s="381" t="s">
        <v>1310</v>
      </c>
    </row>
    <row r="2642" spans="1:2" x14ac:dyDescent="0.2">
      <c r="A2642" s="380">
        <v>2027000</v>
      </c>
      <c r="B2642" s="381" t="s">
        <v>1314</v>
      </c>
    </row>
    <row r="2643" spans="1:2" x14ac:dyDescent="0.2">
      <c r="A2643" s="380">
        <v>2027100</v>
      </c>
      <c r="B2643" s="381" t="s">
        <v>1315</v>
      </c>
    </row>
    <row r="2644" spans="1:2" x14ac:dyDescent="0.2">
      <c r="A2644" s="380">
        <v>2027101</v>
      </c>
      <c r="B2644" s="381" t="s">
        <v>1316</v>
      </c>
    </row>
    <row r="2645" spans="1:2" x14ac:dyDescent="0.2">
      <c r="A2645" s="380">
        <v>2027102</v>
      </c>
      <c r="B2645" s="381" t="s">
        <v>1317</v>
      </c>
    </row>
    <row r="2646" spans="1:2" x14ac:dyDescent="0.2">
      <c r="A2646" s="380">
        <v>2027103</v>
      </c>
      <c r="B2646" s="381" t="s">
        <v>1318</v>
      </c>
    </row>
    <row r="2647" spans="1:2" x14ac:dyDescent="0.2">
      <c r="A2647" s="380">
        <v>2027200</v>
      </c>
      <c r="B2647" s="381" t="s">
        <v>1319</v>
      </c>
    </row>
    <row r="2648" spans="1:2" x14ac:dyDescent="0.2">
      <c r="A2648" s="380">
        <v>2027201</v>
      </c>
      <c r="B2648" s="381" t="s">
        <v>1320</v>
      </c>
    </row>
    <row r="2649" spans="1:2" x14ac:dyDescent="0.2">
      <c r="A2649" s="380">
        <v>2027202</v>
      </c>
      <c r="B2649" s="381" t="s">
        <v>1321</v>
      </c>
    </row>
    <row r="2650" spans="1:2" x14ac:dyDescent="0.2">
      <c r="A2650" s="380">
        <v>2027203</v>
      </c>
      <c r="B2650" s="381" t="s">
        <v>1322</v>
      </c>
    </row>
    <row r="2651" spans="1:2" x14ac:dyDescent="0.2">
      <c r="A2651" s="380">
        <v>2027600</v>
      </c>
      <c r="B2651" s="381" t="s">
        <v>1324</v>
      </c>
    </row>
    <row r="2652" spans="1:2" x14ac:dyDescent="0.2">
      <c r="A2652" s="380">
        <v>2029900</v>
      </c>
      <c r="B2652" s="381" t="s">
        <v>1327</v>
      </c>
    </row>
    <row r="2653" spans="1:2" x14ac:dyDescent="0.2">
      <c r="A2653" s="380">
        <v>2040000</v>
      </c>
      <c r="B2653" s="381" t="s">
        <v>1792</v>
      </c>
    </row>
    <row r="2654" spans="1:2" x14ac:dyDescent="0.2">
      <c r="A2654" s="380">
        <v>2070000</v>
      </c>
      <c r="B2654" s="381" t="s">
        <v>1793</v>
      </c>
    </row>
    <row r="2655" spans="1:2" ht="25.5" x14ac:dyDescent="0.2">
      <c r="A2655" s="380">
        <v>2070100</v>
      </c>
      <c r="B2655" s="381" t="s">
        <v>1794</v>
      </c>
    </row>
    <row r="2656" spans="1:2" x14ac:dyDescent="0.2">
      <c r="A2656" s="380">
        <v>2075800</v>
      </c>
      <c r="B2656" s="381" t="s">
        <v>1309</v>
      </c>
    </row>
    <row r="2657" spans="1:2" x14ac:dyDescent="0.2">
      <c r="A2657" s="380">
        <v>2079900</v>
      </c>
      <c r="B2657" s="381" t="s">
        <v>1327</v>
      </c>
    </row>
    <row r="2658" spans="1:2" x14ac:dyDescent="0.2">
      <c r="A2658" s="380">
        <v>2080000</v>
      </c>
      <c r="B2658" s="381" t="s">
        <v>1795</v>
      </c>
    </row>
    <row r="2659" spans="1:2" x14ac:dyDescent="0.2">
      <c r="A2659" s="380">
        <v>2080200</v>
      </c>
      <c r="B2659" s="381" t="s">
        <v>1796</v>
      </c>
    </row>
    <row r="2660" spans="1:2" ht="38.25" x14ac:dyDescent="0.2">
      <c r="A2660" s="380">
        <v>2080300</v>
      </c>
      <c r="B2660" s="381" t="s">
        <v>1797</v>
      </c>
    </row>
    <row r="2661" spans="1:2" ht="25.5" x14ac:dyDescent="0.2">
      <c r="A2661" s="380">
        <v>2080400</v>
      </c>
      <c r="B2661" s="381" t="s">
        <v>1798</v>
      </c>
    </row>
    <row r="2662" spans="1:2" x14ac:dyDescent="0.2">
      <c r="A2662" s="380">
        <v>2086100</v>
      </c>
      <c r="B2662" s="381" t="s">
        <v>1799</v>
      </c>
    </row>
    <row r="2663" spans="1:2" x14ac:dyDescent="0.2">
      <c r="A2663" s="380">
        <v>2086200</v>
      </c>
      <c r="B2663" s="381" t="s">
        <v>1800</v>
      </c>
    </row>
    <row r="2664" spans="1:2" x14ac:dyDescent="0.2">
      <c r="A2664" s="380">
        <v>2086300</v>
      </c>
      <c r="B2664" s="381" t="s">
        <v>1734</v>
      </c>
    </row>
    <row r="2665" spans="1:2" x14ac:dyDescent="0.2">
      <c r="A2665" s="380">
        <v>2090000</v>
      </c>
      <c r="B2665" s="381" t="s">
        <v>1801</v>
      </c>
    </row>
    <row r="2666" spans="1:2" x14ac:dyDescent="0.2">
      <c r="A2666" s="380">
        <v>2090100</v>
      </c>
      <c r="B2666" s="381" t="s">
        <v>1802</v>
      </c>
    </row>
    <row r="2667" spans="1:2" x14ac:dyDescent="0.2">
      <c r="A2667" s="380">
        <v>2100000</v>
      </c>
      <c r="B2667" s="381" t="s">
        <v>1803</v>
      </c>
    </row>
    <row r="2668" spans="1:2" x14ac:dyDescent="0.2">
      <c r="A2668" s="380">
        <v>2105800</v>
      </c>
      <c r="B2668" s="381" t="s">
        <v>1309</v>
      </c>
    </row>
    <row r="2669" spans="1:2" x14ac:dyDescent="0.2">
      <c r="A2669" s="380">
        <v>2110000</v>
      </c>
      <c r="B2669" s="381" t="s">
        <v>1804</v>
      </c>
    </row>
    <row r="2670" spans="1:2" x14ac:dyDescent="0.2">
      <c r="A2670" s="380">
        <v>2110100</v>
      </c>
      <c r="B2670" s="381" t="s">
        <v>1805</v>
      </c>
    </row>
    <row r="2671" spans="1:2" x14ac:dyDescent="0.2">
      <c r="A2671" s="380">
        <v>2120000</v>
      </c>
      <c r="B2671" s="381" t="s">
        <v>1806</v>
      </c>
    </row>
    <row r="2672" spans="1:2" x14ac:dyDescent="0.2">
      <c r="A2672" s="380">
        <v>2120100</v>
      </c>
      <c r="B2672" s="381" t="s">
        <v>1806</v>
      </c>
    </row>
    <row r="2673" spans="1:2" x14ac:dyDescent="0.2">
      <c r="A2673" s="380">
        <v>2130000</v>
      </c>
      <c r="B2673" s="381" t="s">
        <v>1807</v>
      </c>
    </row>
    <row r="2674" spans="1:2" x14ac:dyDescent="0.2">
      <c r="A2674" s="380">
        <v>2130200</v>
      </c>
      <c r="B2674" s="381" t="s">
        <v>1808</v>
      </c>
    </row>
    <row r="2675" spans="1:2" x14ac:dyDescent="0.2">
      <c r="A2675" s="380">
        <v>2140000</v>
      </c>
      <c r="B2675" s="381" t="s">
        <v>1809</v>
      </c>
    </row>
    <row r="2676" spans="1:2" x14ac:dyDescent="0.2">
      <c r="A2676" s="380">
        <v>2140100</v>
      </c>
      <c r="B2676" s="381" t="s">
        <v>1799</v>
      </c>
    </row>
    <row r="2677" spans="1:2" x14ac:dyDescent="0.2">
      <c r="A2677" s="380">
        <v>2140200</v>
      </c>
      <c r="B2677" s="381" t="s">
        <v>1810</v>
      </c>
    </row>
    <row r="2678" spans="1:2" x14ac:dyDescent="0.2">
      <c r="A2678" s="380">
        <v>2140400</v>
      </c>
      <c r="B2678" s="381" t="s">
        <v>1811</v>
      </c>
    </row>
    <row r="2679" spans="1:2" x14ac:dyDescent="0.2">
      <c r="A2679" s="380">
        <v>2140500</v>
      </c>
      <c r="B2679" s="381" t="s">
        <v>1742</v>
      </c>
    </row>
    <row r="2680" spans="1:2" x14ac:dyDescent="0.2">
      <c r="A2680" s="380">
        <v>2140600</v>
      </c>
      <c r="B2680" s="381" t="s">
        <v>1812</v>
      </c>
    </row>
    <row r="2681" spans="1:2" x14ac:dyDescent="0.2">
      <c r="A2681" s="380">
        <v>2140700</v>
      </c>
      <c r="B2681" s="381" t="s">
        <v>1813</v>
      </c>
    </row>
    <row r="2682" spans="1:2" x14ac:dyDescent="0.2">
      <c r="A2682" s="380">
        <v>2140800</v>
      </c>
      <c r="B2682" s="381" t="s">
        <v>1814</v>
      </c>
    </row>
    <row r="2683" spans="1:2" x14ac:dyDescent="0.2">
      <c r="A2683" s="380">
        <v>2140900</v>
      </c>
      <c r="B2683" s="381" t="s">
        <v>1815</v>
      </c>
    </row>
    <row r="2684" spans="1:2" x14ac:dyDescent="0.2">
      <c r="A2684" s="380">
        <v>2141000</v>
      </c>
      <c r="B2684" s="381" t="s">
        <v>1816</v>
      </c>
    </row>
    <row r="2685" spans="1:2" x14ac:dyDescent="0.2">
      <c r="A2685" s="380">
        <v>2143000</v>
      </c>
      <c r="B2685" s="381" t="s">
        <v>1817</v>
      </c>
    </row>
    <row r="2686" spans="1:2" x14ac:dyDescent="0.2">
      <c r="A2686" s="380">
        <v>2146500</v>
      </c>
      <c r="B2686" s="381" t="s">
        <v>1771</v>
      </c>
    </row>
    <row r="2687" spans="1:2" x14ac:dyDescent="0.2">
      <c r="A2687" s="380">
        <v>2147000</v>
      </c>
      <c r="B2687" s="381" t="s">
        <v>1314</v>
      </c>
    </row>
    <row r="2688" spans="1:2" ht="25.5" x14ac:dyDescent="0.2">
      <c r="A2688" s="380">
        <v>2149300</v>
      </c>
      <c r="B2688" s="381" t="s">
        <v>1378</v>
      </c>
    </row>
    <row r="2689" spans="1:2" x14ac:dyDescent="0.2">
      <c r="A2689" s="380">
        <v>2149400</v>
      </c>
      <c r="B2689" s="381" t="s">
        <v>1379</v>
      </c>
    </row>
    <row r="2690" spans="1:2" x14ac:dyDescent="0.2">
      <c r="A2690" s="380">
        <v>2150000</v>
      </c>
      <c r="B2690" s="381" t="s">
        <v>1818</v>
      </c>
    </row>
    <row r="2691" spans="1:2" x14ac:dyDescent="0.2">
      <c r="A2691" s="380">
        <v>2150100</v>
      </c>
      <c r="B2691" s="381" t="s">
        <v>1819</v>
      </c>
    </row>
    <row r="2692" spans="1:2" x14ac:dyDescent="0.2">
      <c r="A2692" s="380">
        <v>2155800</v>
      </c>
      <c r="B2692" s="381" t="s">
        <v>1309</v>
      </c>
    </row>
    <row r="2693" spans="1:2" x14ac:dyDescent="0.2">
      <c r="A2693" s="380">
        <v>2156700</v>
      </c>
      <c r="B2693" s="381" t="s">
        <v>1310</v>
      </c>
    </row>
    <row r="2694" spans="1:2" x14ac:dyDescent="0.2">
      <c r="A2694" s="380">
        <v>2156800</v>
      </c>
      <c r="B2694" s="381" t="s">
        <v>1311</v>
      </c>
    </row>
    <row r="2695" spans="1:2" x14ac:dyDescent="0.2">
      <c r="A2695" s="380">
        <v>2156801</v>
      </c>
      <c r="B2695" s="381" t="s">
        <v>1312</v>
      </c>
    </row>
    <row r="2696" spans="1:2" ht="25.5" x14ac:dyDescent="0.2">
      <c r="A2696" s="380">
        <v>2156802</v>
      </c>
      <c r="B2696" s="381" t="s">
        <v>1313</v>
      </c>
    </row>
    <row r="2697" spans="1:2" x14ac:dyDescent="0.2">
      <c r="A2697" s="380">
        <v>2157100</v>
      </c>
      <c r="B2697" s="381" t="s">
        <v>1315</v>
      </c>
    </row>
    <row r="2698" spans="1:2" x14ac:dyDescent="0.2">
      <c r="A2698" s="380">
        <v>2157101</v>
      </c>
      <c r="B2698" s="381" t="s">
        <v>1316</v>
      </c>
    </row>
    <row r="2699" spans="1:2" x14ac:dyDescent="0.2">
      <c r="A2699" s="380">
        <v>2157102</v>
      </c>
      <c r="B2699" s="381" t="s">
        <v>1317</v>
      </c>
    </row>
    <row r="2700" spans="1:2" x14ac:dyDescent="0.2">
      <c r="A2700" s="380">
        <v>2157103</v>
      </c>
      <c r="B2700" s="381" t="s">
        <v>1318</v>
      </c>
    </row>
    <row r="2701" spans="1:2" x14ac:dyDescent="0.2">
      <c r="A2701" s="380">
        <v>2157200</v>
      </c>
      <c r="B2701" s="381" t="s">
        <v>1319</v>
      </c>
    </row>
    <row r="2702" spans="1:2" x14ac:dyDescent="0.2">
      <c r="A2702" s="380">
        <v>2157201</v>
      </c>
      <c r="B2702" s="381" t="s">
        <v>1320</v>
      </c>
    </row>
    <row r="2703" spans="1:2" x14ac:dyDescent="0.2">
      <c r="A2703" s="380">
        <v>2157202</v>
      </c>
      <c r="B2703" s="381" t="s">
        <v>1321</v>
      </c>
    </row>
    <row r="2704" spans="1:2" x14ac:dyDescent="0.2">
      <c r="A2704" s="380">
        <v>2157203</v>
      </c>
      <c r="B2704" s="381" t="s">
        <v>1322</v>
      </c>
    </row>
    <row r="2705" spans="1:2" x14ac:dyDescent="0.2">
      <c r="A2705" s="380">
        <v>2157600</v>
      </c>
      <c r="B2705" s="381" t="s">
        <v>1324</v>
      </c>
    </row>
    <row r="2706" spans="1:2" x14ac:dyDescent="0.2">
      <c r="A2706" s="380">
        <v>2159900</v>
      </c>
      <c r="B2706" s="381" t="s">
        <v>1327</v>
      </c>
    </row>
    <row r="2707" spans="1:2" x14ac:dyDescent="0.2">
      <c r="A2707" s="380">
        <v>2160000</v>
      </c>
      <c r="B2707" s="381" t="s">
        <v>1820</v>
      </c>
    </row>
    <row r="2708" spans="1:2" x14ac:dyDescent="0.2">
      <c r="A2708" s="380">
        <v>2166700</v>
      </c>
      <c r="B2708" s="381" t="s">
        <v>1310</v>
      </c>
    </row>
    <row r="2709" spans="1:2" x14ac:dyDescent="0.2">
      <c r="A2709" s="380">
        <v>2167100</v>
      </c>
      <c r="B2709" s="381" t="s">
        <v>1315</v>
      </c>
    </row>
    <row r="2710" spans="1:2" x14ac:dyDescent="0.2">
      <c r="A2710" s="380">
        <v>2167101</v>
      </c>
      <c r="B2710" s="381" t="s">
        <v>1316</v>
      </c>
    </row>
    <row r="2711" spans="1:2" x14ac:dyDescent="0.2">
      <c r="A2711" s="380">
        <v>2167102</v>
      </c>
      <c r="B2711" s="381" t="s">
        <v>1317</v>
      </c>
    </row>
    <row r="2712" spans="1:2" x14ac:dyDescent="0.2">
      <c r="A2712" s="380">
        <v>2167103</v>
      </c>
      <c r="B2712" s="381" t="s">
        <v>1318</v>
      </c>
    </row>
    <row r="2713" spans="1:2" x14ac:dyDescent="0.2">
      <c r="A2713" s="380">
        <v>2167200</v>
      </c>
      <c r="B2713" s="381" t="s">
        <v>1319</v>
      </c>
    </row>
    <row r="2714" spans="1:2" x14ac:dyDescent="0.2">
      <c r="A2714" s="380">
        <v>2167201</v>
      </c>
      <c r="B2714" s="381" t="s">
        <v>1320</v>
      </c>
    </row>
    <row r="2715" spans="1:2" x14ac:dyDescent="0.2">
      <c r="A2715" s="380">
        <v>2167202</v>
      </c>
      <c r="B2715" s="381" t="s">
        <v>1321</v>
      </c>
    </row>
    <row r="2716" spans="1:2" x14ac:dyDescent="0.2">
      <c r="A2716" s="380">
        <v>2167203</v>
      </c>
      <c r="B2716" s="381" t="s">
        <v>1322</v>
      </c>
    </row>
    <row r="2717" spans="1:2" x14ac:dyDescent="0.2">
      <c r="A2717" s="380">
        <v>2170000</v>
      </c>
      <c r="B2717" s="381" t="s">
        <v>1821</v>
      </c>
    </row>
    <row r="2718" spans="1:2" x14ac:dyDescent="0.2">
      <c r="A2718" s="380">
        <v>2180000</v>
      </c>
      <c r="B2718" s="381" t="s">
        <v>1822</v>
      </c>
    </row>
    <row r="2719" spans="1:2" ht="25.5" x14ac:dyDescent="0.2">
      <c r="A2719" s="380">
        <v>2180100</v>
      </c>
      <c r="B2719" s="381" t="s">
        <v>1823</v>
      </c>
    </row>
    <row r="2720" spans="1:2" ht="25.5" x14ac:dyDescent="0.2">
      <c r="A2720" s="380">
        <v>2180200</v>
      </c>
      <c r="B2720" s="381" t="s">
        <v>1824</v>
      </c>
    </row>
    <row r="2721" spans="1:2" ht="25.5" x14ac:dyDescent="0.2">
      <c r="A2721" s="380">
        <v>2180300</v>
      </c>
      <c r="B2721" s="381" t="s">
        <v>1825</v>
      </c>
    </row>
    <row r="2722" spans="1:2" x14ac:dyDescent="0.2">
      <c r="A2722" s="380">
        <v>2190000</v>
      </c>
      <c r="B2722" s="381" t="s">
        <v>1826</v>
      </c>
    </row>
    <row r="2723" spans="1:2" x14ac:dyDescent="0.2">
      <c r="A2723" s="380">
        <v>2190100</v>
      </c>
      <c r="B2723" s="381" t="s">
        <v>1827</v>
      </c>
    </row>
    <row r="2724" spans="1:2" x14ac:dyDescent="0.2">
      <c r="A2724" s="380">
        <v>2200000</v>
      </c>
      <c r="B2724" s="381" t="s">
        <v>1828</v>
      </c>
    </row>
    <row r="2725" spans="1:2" x14ac:dyDescent="0.2">
      <c r="A2725" s="380">
        <v>2200100</v>
      </c>
      <c r="B2725" s="381" t="s">
        <v>1829</v>
      </c>
    </row>
    <row r="2726" spans="1:2" x14ac:dyDescent="0.2">
      <c r="A2726" s="380">
        <v>2200200</v>
      </c>
      <c r="B2726" s="381" t="s">
        <v>1830</v>
      </c>
    </row>
    <row r="2727" spans="1:2" x14ac:dyDescent="0.2">
      <c r="A2727" s="380">
        <v>2200300</v>
      </c>
      <c r="B2727" s="381" t="s">
        <v>1831</v>
      </c>
    </row>
    <row r="2728" spans="1:2" x14ac:dyDescent="0.2">
      <c r="A2728" s="380">
        <v>2200400</v>
      </c>
      <c r="B2728" s="381" t="s">
        <v>1832</v>
      </c>
    </row>
    <row r="2729" spans="1:2" x14ac:dyDescent="0.2">
      <c r="A2729" s="380">
        <v>2200500</v>
      </c>
      <c r="B2729" s="381" t="s">
        <v>1833</v>
      </c>
    </row>
    <row r="2730" spans="1:2" x14ac:dyDescent="0.2">
      <c r="A2730" s="380">
        <v>2200600</v>
      </c>
      <c r="B2730" s="381" t="s">
        <v>1834</v>
      </c>
    </row>
    <row r="2731" spans="1:2" x14ac:dyDescent="0.2">
      <c r="A2731" s="380">
        <v>2210000</v>
      </c>
      <c r="B2731" s="381" t="s">
        <v>1835</v>
      </c>
    </row>
    <row r="2732" spans="1:2" x14ac:dyDescent="0.2">
      <c r="A2732" s="380">
        <v>2210100</v>
      </c>
      <c r="B2732" s="381" t="s">
        <v>1836</v>
      </c>
    </row>
    <row r="2733" spans="1:2" x14ac:dyDescent="0.2">
      <c r="A2733" s="380">
        <v>2219900</v>
      </c>
      <c r="B2733" s="381" t="s">
        <v>1327</v>
      </c>
    </row>
    <row r="2734" spans="1:2" ht="25.5" x14ac:dyDescent="0.2">
      <c r="A2734" s="380">
        <v>2220000</v>
      </c>
      <c r="B2734" s="381" t="s">
        <v>1837</v>
      </c>
    </row>
    <row r="2735" spans="1:2" x14ac:dyDescent="0.2">
      <c r="A2735" s="380">
        <v>2220100</v>
      </c>
      <c r="B2735" s="381" t="s">
        <v>1352</v>
      </c>
    </row>
    <row r="2736" spans="1:2" ht="25.5" x14ac:dyDescent="0.2">
      <c r="A2736" s="380">
        <v>2220200</v>
      </c>
      <c r="B2736" s="381" t="s">
        <v>1838</v>
      </c>
    </row>
    <row r="2737" spans="1:2" ht="25.5" x14ac:dyDescent="0.2">
      <c r="A2737" s="380">
        <v>2220300</v>
      </c>
      <c r="B2737" s="381" t="s">
        <v>1839</v>
      </c>
    </row>
    <row r="2738" spans="1:2" x14ac:dyDescent="0.2">
      <c r="A2738" s="380">
        <v>2230000</v>
      </c>
      <c r="B2738" s="381" t="s">
        <v>1840</v>
      </c>
    </row>
    <row r="2739" spans="1:2" x14ac:dyDescent="0.2">
      <c r="A2739" s="380">
        <v>2230100</v>
      </c>
      <c r="B2739" s="381" t="s">
        <v>1841</v>
      </c>
    </row>
    <row r="2740" spans="1:2" ht="25.5" x14ac:dyDescent="0.2">
      <c r="A2740" s="380">
        <v>2240000</v>
      </c>
      <c r="B2740" s="381" t="s">
        <v>1798</v>
      </c>
    </row>
    <row r="2741" spans="1:2" x14ac:dyDescent="0.2">
      <c r="A2741" s="380">
        <v>2240100</v>
      </c>
      <c r="B2741" s="381" t="s">
        <v>1842</v>
      </c>
    </row>
    <row r="2742" spans="1:2" x14ac:dyDescent="0.2">
      <c r="A2742" s="380">
        <v>2240200</v>
      </c>
      <c r="B2742" s="381" t="s">
        <v>1843</v>
      </c>
    </row>
    <row r="2743" spans="1:2" x14ac:dyDescent="0.2">
      <c r="A2743" s="380">
        <v>2240300</v>
      </c>
      <c r="B2743" s="381" t="s">
        <v>1844</v>
      </c>
    </row>
    <row r="2744" spans="1:2" x14ac:dyDescent="0.2">
      <c r="A2744" s="380">
        <v>2400000</v>
      </c>
      <c r="B2744" s="381" t="s">
        <v>1845</v>
      </c>
    </row>
    <row r="2745" spans="1:2" x14ac:dyDescent="0.2">
      <c r="A2745" s="380">
        <v>2400100</v>
      </c>
      <c r="B2745" s="381" t="s">
        <v>1846</v>
      </c>
    </row>
    <row r="2746" spans="1:2" x14ac:dyDescent="0.2">
      <c r="A2746" s="380">
        <v>2400101</v>
      </c>
      <c r="B2746" s="381" t="s">
        <v>1847</v>
      </c>
    </row>
    <row r="2747" spans="1:2" x14ac:dyDescent="0.2">
      <c r="A2747" s="380">
        <v>2470000</v>
      </c>
      <c r="B2747" s="381" t="s">
        <v>1848</v>
      </c>
    </row>
    <row r="2748" spans="1:2" ht="25.5" x14ac:dyDescent="0.2">
      <c r="A2748" s="380">
        <v>2470100</v>
      </c>
      <c r="B2748" s="381" t="s">
        <v>1849</v>
      </c>
    </row>
    <row r="2749" spans="1:2" x14ac:dyDescent="0.2">
      <c r="A2749" s="380">
        <v>2470200</v>
      </c>
      <c r="B2749" s="381" t="s">
        <v>1850</v>
      </c>
    </row>
    <row r="2750" spans="1:2" x14ac:dyDescent="0.2">
      <c r="A2750" s="380">
        <v>2470700</v>
      </c>
      <c r="B2750" s="381" t="s">
        <v>1422</v>
      </c>
    </row>
    <row r="2751" spans="1:2" x14ac:dyDescent="0.2">
      <c r="A2751" s="380">
        <v>2476300</v>
      </c>
      <c r="B2751" s="381" t="s">
        <v>1734</v>
      </c>
    </row>
    <row r="2752" spans="1:2" x14ac:dyDescent="0.2">
      <c r="A2752" s="380">
        <v>2476500</v>
      </c>
      <c r="B2752" s="381" t="s">
        <v>1771</v>
      </c>
    </row>
    <row r="2753" spans="1:2" x14ac:dyDescent="0.2">
      <c r="A2753" s="380">
        <v>2476600</v>
      </c>
      <c r="B2753" s="381" t="s">
        <v>1456</v>
      </c>
    </row>
    <row r="2754" spans="1:2" x14ac:dyDescent="0.2">
      <c r="A2754" s="380">
        <v>2476700</v>
      </c>
      <c r="B2754" s="381" t="s">
        <v>1310</v>
      </c>
    </row>
    <row r="2755" spans="1:2" x14ac:dyDescent="0.2">
      <c r="A2755" s="380">
        <v>2479900</v>
      </c>
      <c r="B2755" s="381" t="s">
        <v>1327</v>
      </c>
    </row>
    <row r="2756" spans="1:2" x14ac:dyDescent="0.2">
      <c r="A2756" s="380">
        <v>2480000</v>
      </c>
      <c r="B2756" s="381" t="s">
        <v>1851</v>
      </c>
    </row>
    <row r="2757" spans="1:2" x14ac:dyDescent="0.2">
      <c r="A2757" s="380">
        <v>2480100</v>
      </c>
      <c r="B2757" s="381" t="s">
        <v>1852</v>
      </c>
    </row>
    <row r="2758" spans="1:2" ht="25.5" x14ac:dyDescent="0.2">
      <c r="A2758" s="380">
        <v>2480200</v>
      </c>
      <c r="B2758" s="381" t="s">
        <v>1853</v>
      </c>
    </row>
    <row r="2759" spans="1:2" x14ac:dyDescent="0.2">
      <c r="A2759" s="380">
        <v>2480300</v>
      </c>
      <c r="B2759" s="381" t="s">
        <v>1854</v>
      </c>
    </row>
    <row r="2760" spans="1:2" ht="63.75" x14ac:dyDescent="0.2">
      <c r="A2760" s="380">
        <v>2480400</v>
      </c>
      <c r="B2760" s="381" t="s">
        <v>1855</v>
      </c>
    </row>
    <row r="2761" spans="1:2" x14ac:dyDescent="0.2">
      <c r="A2761" s="380">
        <v>2488300</v>
      </c>
      <c r="B2761" s="381" t="s">
        <v>1856</v>
      </c>
    </row>
    <row r="2762" spans="1:2" x14ac:dyDescent="0.2">
      <c r="A2762" s="380">
        <v>2490000</v>
      </c>
      <c r="B2762" s="381" t="s">
        <v>1857</v>
      </c>
    </row>
    <row r="2763" spans="1:2" ht="25.5" x14ac:dyDescent="0.2">
      <c r="A2763" s="380">
        <v>2490100</v>
      </c>
      <c r="B2763" s="381" t="s">
        <v>1858</v>
      </c>
    </row>
    <row r="2764" spans="1:2" x14ac:dyDescent="0.2">
      <c r="A2764" s="380">
        <v>2490200</v>
      </c>
      <c r="B2764" s="381" t="s">
        <v>1859</v>
      </c>
    </row>
    <row r="2765" spans="1:2" x14ac:dyDescent="0.2">
      <c r="A2765" s="380">
        <v>2500000</v>
      </c>
      <c r="B2765" s="381" t="s">
        <v>1860</v>
      </c>
    </row>
    <row r="2766" spans="1:2" x14ac:dyDescent="0.2">
      <c r="A2766" s="380">
        <v>2500100</v>
      </c>
      <c r="B2766" s="381" t="s">
        <v>1861</v>
      </c>
    </row>
    <row r="2767" spans="1:2" x14ac:dyDescent="0.2">
      <c r="A2767" s="380">
        <v>2510000</v>
      </c>
      <c r="B2767" s="381" t="s">
        <v>1862</v>
      </c>
    </row>
    <row r="2768" spans="1:2" x14ac:dyDescent="0.2">
      <c r="A2768" s="380">
        <v>2519900</v>
      </c>
      <c r="B2768" s="381" t="s">
        <v>1327</v>
      </c>
    </row>
    <row r="2769" spans="1:2" x14ac:dyDescent="0.2">
      <c r="A2769" s="380">
        <v>2520000</v>
      </c>
      <c r="B2769" s="381" t="s">
        <v>1863</v>
      </c>
    </row>
    <row r="2770" spans="1:2" x14ac:dyDescent="0.2">
      <c r="A2770" s="380">
        <v>2529900</v>
      </c>
      <c r="B2770" s="381" t="s">
        <v>1327</v>
      </c>
    </row>
    <row r="2771" spans="1:2" x14ac:dyDescent="0.2">
      <c r="A2771" s="380">
        <v>2530000</v>
      </c>
      <c r="B2771" s="381" t="s">
        <v>1864</v>
      </c>
    </row>
    <row r="2772" spans="1:2" x14ac:dyDescent="0.2">
      <c r="A2772" s="380">
        <v>2539900</v>
      </c>
      <c r="B2772" s="381" t="s">
        <v>1327</v>
      </c>
    </row>
    <row r="2773" spans="1:2" x14ac:dyDescent="0.2">
      <c r="A2773" s="380">
        <v>2540000</v>
      </c>
      <c r="B2773" s="381" t="s">
        <v>1865</v>
      </c>
    </row>
    <row r="2774" spans="1:2" ht="25.5" x14ac:dyDescent="0.2">
      <c r="A2774" s="380">
        <v>2540100</v>
      </c>
      <c r="B2774" s="381" t="s">
        <v>1866</v>
      </c>
    </row>
    <row r="2775" spans="1:2" x14ac:dyDescent="0.2">
      <c r="A2775" s="380">
        <v>2600000</v>
      </c>
      <c r="B2775" s="381" t="s">
        <v>1867</v>
      </c>
    </row>
    <row r="2776" spans="1:2" ht="63.75" x14ac:dyDescent="0.2">
      <c r="A2776" s="380">
        <v>2600100</v>
      </c>
      <c r="B2776" s="381" t="s">
        <v>1868</v>
      </c>
    </row>
    <row r="2777" spans="1:2" ht="51" x14ac:dyDescent="0.2">
      <c r="A2777" s="380">
        <v>2600200</v>
      </c>
      <c r="B2777" s="381" t="s">
        <v>1869</v>
      </c>
    </row>
    <row r="2778" spans="1:2" ht="38.25" x14ac:dyDescent="0.2">
      <c r="A2778" s="380">
        <v>2600300</v>
      </c>
      <c r="B2778" s="381" t="s">
        <v>1870</v>
      </c>
    </row>
    <row r="2779" spans="1:2" x14ac:dyDescent="0.2">
      <c r="A2779" s="380">
        <v>2600400</v>
      </c>
      <c r="B2779" s="381" t="s">
        <v>1871</v>
      </c>
    </row>
    <row r="2780" spans="1:2" ht="51" x14ac:dyDescent="0.2">
      <c r="A2780" s="380">
        <v>2600500</v>
      </c>
      <c r="B2780" s="381" t="s">
        <v>1872</v>
      </c>
    </row>
    <row r="2781" spans="1:2" x14ac:dyDescent="0.2">
      <c r="A2781" s="380">
        <v>2600600</v>
      </c>
      <c r="B2781" s="381" t="s">
        <v>1873</v>
      </c>
    </row>
    <row r="2782" spans="1:2" x14ac:dyDescent="0.2">
      <c r="A2782" s="380">
        <v>2600700</v>
      </c>
      <c r="B2782" s="381" t="s">
        <v>1874</v>
      </c>
    </row>
    <row r="2783" spans="1:2" x14ac:dyDescent="0.2">
      <c r="A2783" s="380">
        <v>2600800</v>
      </c>
      <c r="B2783" s="381" t="s">
        <v>1875</v>
      </c>
    </row>
    <row r="2784" spans="1:2" x14ac:dyDescent="0.2">
      <c r="A2784" s="380">
        <v>2600900</v>
      </c>
      <c r="B2784" s="381" t="s">
        <v>1876</v>
      </c>
    </row>
    <row r="2785" spans="1:2" x14ac:dyDescent="0.2">
      <c r="A2785" s="380">
        <v>2601000</v>
      </c>
      <c r="B2785" s="381" t="s">
        <v>1877</v>
      </c>
    </row>
    <row r="2786" spans="1:2" ht="25.5" x14ac:dyDescent="0.2">
      <c r="A2786" s="380">
        <v>2601100</v>
      </c>
      <c r="B2786" s="381" t="s">
        <v>1878</v>
      </c>
    </row>
    <row r="2787" spans="1:2" x14ac:dyDescent="0.2">
      <c r="A2787" s="380">
        <v>2601200</v>
      </c>
      <c r="B2787" s="381" t="s">
        <v>1879</v>
      </c>
    </row>
    <row r="2788" spans="1:2" x14ac:dyDescent="0.2">
      <c r="A2788" s="380">
        <v>2601300</v>
      </c>
      <c r="B2788" s="381" t="s">
        <v>1880</v>
      </c>
    </row>
    <row r="2789" spans="1:2" ht="63.75" x14ac:dyDescent="0.2">
      <c r="A2789" s="380">
        <v>2601400</v>
      </c>
      <c r="B2789" s="381" t="s">
        <v>1881</v>
      </c>
    </row>
    <row r="2790" spans="1:2" ht="63.75" x14ac:dyDescent="0.2">
      <c r="A2790" s="380">
        <v>2601500</v>
      </c>
      <c r="B2790" s="381" t="s">
        <v>1882</v>
      </c>
    </row>
    <row r="2791" spans="1:2" ht="25.5" x14ac:dyDescent="0.2">
      <c r="A2791" s="380">
        <v>2602400</v>
      </c>
      <c r="B2791" s="381" t="s">
        <v>1883</v>
      </c>
    </row>
    <row r="2792" spans="1:2" ht="25.5" x14ac:dyDescent="0.2">
      <c r="A2792" s="380">
        <v>2610000</v>
      </c>
      <c r="B2792" s="381" t="s">
        <v>1884</v>
      </c>
    </row>
    <row r="2793" spans="1:2" x14ac:dyDescent="0.2">
      <c r="A2793" s="380">
        <v>2619900</v>
      </c>
      <c r="B2793" s="381" t="s">
        <v>1327</v>
      </c>
    </row>
    <row r="2794" spans="1:2" x14ac:dyDescent="0.2">
      <c r="A2794" s="380">
        <v>2620000</v>
      </c>
      <c r="B2794" s="381" t="s">
        <v>1885</v>
      </c>
    </row>
    <row r="2795" spans="1:2" ht="25.5" x14ac:dyDescent="0.2">
      <c r="A2795" s="380">
        <v>2620100</v>
      </c>
      <c r="B2795" s="381" t="s">
        <v>1886</v>
      </c>
    </row>
    <row r="2796" spans="1:2" x14ac:dyDescent="0.2">
      <c r="A2796" s="380">
        <v>2620200</v>
      </c>
      <c r="B2796" s="381" t="s">
        <v>1887</v>
      </c>
    </row>
    <row r="2797" spans="1:2" x14ac:dyDescent="0.2">
      <c r="A2797" s="380">
        <v>2630000</v>
      </c>
      <c r="B2797" s="381" t="s">
        <v>1888</v>
      </c>
    </row>
    <row r="2798" spans="1:2" x14ac:dyDescent="0.2">
      <c r="A2798" s="380">
        <v>2639900</v>
      </c>
      <c r="B2798" s="381" t="s">
        <v>1327</v>
      </c>
    </row>
    <row r="2799" spans="1:2" x14ac:dyDescent="0.2">
      <c r="A2799" s="380">
        <v>2640000</v>
      </c>
      <c r="B2799" s="381" t="s">
        <v>1889</v>
      </c>
    </row>
    <row r="2800" spans="1:2" x14ac:dyDescent="0.2">
      <c r="A2800" s="380">
        <v>2640100</v>
      </c>
      <c r="B2800" s="381" t="s">
        <v>1890</v>
      </c>
    </row>
    <row r="2801" spans="1:2" ht="25.5" x14ac:dyDescent="0.2">
      <c r="A2801" s="380">
        <v>2640200</v>
      </c>
      <c r="B2801" s="381" t="s">
        <v>1891</v>
      </c>
    </row>
    <row r="2802" spans="1:2" x14ac:dyDescent="0.2">
      <c r="A2802" s="380">
        <v>2649900</v>
      </c>
      <c r="B2802" s="381" t="s">
        <v>1327</v>
      </c>
    </row>
    <row r="2803" spans="1:2" x14ac:dyDescent="0.2">
      <c r="A2803" s="380">
        <v>2650000</v>
      </c>
      <c r="B2803" s="381" t="s">
        <v>1892</v>
      </c>
    </row>
    <row r="2804" spans="1:2" x14ac:dyDescent="0.2">
      <c r="A2804" s="380">
        <v>2659900</v>
      </c>
      <c r="B2804" s="381" t="s">
        <v>1327</v>
      </c>
    </row>
    <row r="2805" spans="1:2" ht="25.5" x14ac:dyDescent="0.2">
      <c r="A2805" s="380">
        <v>2660000</v>
      </c>
      <c r="B2805" s="381" t="s">
        <v>1893</v>
      </c>
    </row>
    <row r="2806" spans="1:2" x14ac:dyDescent="0.2">
      <c r="A2806" s="380">
        <v>2669900</v>
      </c>
      <c r="B2806" s="381" t="s">
        <v>1327</v>
      </c>
    </row>
    <row r="2807" spans="1:2" ht="25.5" x14ac:dyDescent="0.2">
      <c r="A2807" s="380">
        <v>2670000</v>
      </c>
      <c r="B2807" s="381" t="s">
        <v>1894</v>
      </c>
    </row>
    <row r="2808" spans="1:2" x14ac:dyDescent="0.2">
      <c r="A2808" s="380">
        <v>2670100</v>
      </c>
      <c r="B2808" s="381" t="s">
        <v>1895</v>
      </c>
    </row>
    <row r="2809" spans="1:2" ht="25.5" x14ac:dyDescent="0.2">
      <c r="A2809" s="380">
        <v>2670400</v>
      </c>
      <c r="B2809" s="381" t="s">
        <v>1896</v>
      </c>
    </row>
    <row r="2810" spans="1:2" x14ac:dyDescent="0.2">
      <c r="A2810" s="380">
        <v>2670402</v>
      </c>
      <c r="B2810" s="381" t="s">
        <v>1871</v>
      </c>
    </row>
    <row r="2811" spans="1:2" x14ac:dyDescent="0.2">
      <c r="A2811" s="380">
        <v>2670403</v>
      </c>
      <c r="B2811" s="381" t="s">
        <v>1897</v>
      </c>
    </row>
    <row r="2812" spans="1:2" x14ac:dyDescent="0.2">
      <c r="A2812" s="380">
        <v>2670500</v>
      </c>
      <c r="B2812" s="381" t="s">
        <v>1898</v>
      </c>
    </row>
    <row r="2813" spans="1:2" ht="51" x14ac:dyDescent="0.2">
      <c r="A2813" s="380">
        <v>2670501</v>
      </c>
      <c r="B2813" s="381" t="s">
        <v>1899</v>
      </c>
    </row>
    <row r="2814" spans="1:2" x14ac:dyDescent="0.2">
      <c r="A2814" s="380">
        <v>2670502</v>
      </c>
      <c r="B2814" s="381" t="s">
        <v>1900</v>
      </c>
    </row>
    <row r="2815" spans="1:2" x14ac:dyDescent="0.2">
      <c r="A2815" s="380">
        <v>2670503</v>
      </c>
      <c r="B2815" s="381" t="s">
        <v>1901</v>
      </c>
    </row>
    <row r="2816" spans="1:2" ht="25.5" x14ac:dyDescent="0.2">
      <c r="A2816" s="380">
        <v>2670504</v>
      </c>
      <c r="B2816" s="381" t="s">
        <v>1902</v>
      </c>
    </row>
    <row r="2817" spans="1:2" x14ac:dyDescent="0.2">
      <c r="A2817" s="380">
        <v>2670505</v>
      </c>
      <c r="B2817" s="381" t="s">
        <v>1903</v>
      </c>
    </row>
    <row r="2818" spans="1:2" x14ac:dyDescent="0.2">
      <c r="A2818" s="380">
        <v>2670506</v>
      </c>
      <c r="B2818" s="381" t="s">
        <v>1904</v>
      </c>
    </row>
    <row r="2819" spans="1:2" ht="25.5" x14ac:dyDescent="0.2">
      <c r="A2819" s="380">
        <v>2670507</v>
      </c>
      <c r="B2819" s="381" t="s">
        <v>1905</v>
      </c>
    </row>
    <row r="2820" spans="1:2" x14ac:dyDescent="0.2">
      <c r="A2820" s="380">
        <v>2670508</v>
      </c>
      <c r="B2820" s="381" t="s">
        <v>1906</v>
      </c>
    </row>
    <row r="2821" spans="1:2" x14ac:dyDescent="0.2">
      <c r="A2821" s="380">
        <v>2670509</v>
      </c>
      <c r="B2821" s="381" t="s">
        <v>1907</v>
      </c>
    </row>
    <row r="2822" spans="1:2" ht="63.75" x14ac:dyDescent="0.2">
      <c r="A2822" s="380">
        <v>2670510</v>
      </c>
      <c r="B2822" s="381" t="s">
        <v>1908</v>
      </c>
    </row>
    <row r="2823" spans="1:2" x14ac:dyDescent="0.2">
      <c r="A2823" s="380">
        <v>2670511</v>
      </c>
      <c r="B2823" s="381" t="s">
        <v>1909</v>
      </c>
    </row>
    <row r="2824" spans="1:2" ht="63.75" x14ac:dyDescent="0.2">
      <c r="A2824" s="380">
        <v>2670513</v>
      </c>
      <c r="B2824" s="381" t="s">
        <v>1910</v>
      </c>
    </row>
    <row r="2825" spans="1:2" x14ac:dyDescent="0.2">
      <c r="A2825" s="380">
        <v>2670514</v>
      </c>
      <c r="B2825" s="381" t="s">
        <v>1911</v>
      </c>
    </row>
    <row r="2826" spans="1:2" x14ac:dyDescent="0.2">
      <c r="A2826" s="380">
        <v>2670515</v>
      </c>
      <c r="B2826" s="381" t="s">
        <v>1912</v>
      </c>
    </row>
    <row r="2827" spans="1:2" ht="25.5" x14ac:dyDescent="0.2">
      <c r="A2827" s="380">
        <v>2670600</v>
      </c>
      <c r="B2827" s="381" t="s">
        <v>1913</v>
      </c>
    </row>
    <row r="2828" spans="1:2" x14ac:dyDescent="0.2">
      <c r="A2828" s="380">
        <v>2700000</v>
      </c>
      <c r="B2828" s="381" t="s">
        <v>1914</v>
      </c>
    </row>
    <row r="2829" spans="1:2" x14ac:dyDescent="0.2">
      <c r="A2829" s="380">
        <v>2700100</v>
      </c>
      <c r="B2829" s="381" t="s">
        <v>1915</v>
      </c>
    </row>
    <row r="2830" spans="1:2" x14ac:dyDescent="0.2">
      <c r="A2830" s="380">
        <v>2700200</v>
      </c>
      <c r="B2830" s="381" t="s">
        <v>1916</v>
      </c>
    </row>
    <row r="2831" spans="1:2" x14ac:dyDescent="0.2">
      <c r="A2831" s="380">
        <v>2700300</v>
      </c>
      <c r="B2831" s="381" t="s">
        <v>1917</v>
      </c>
    </row>
    <row r="2832" spans="1:2" x14ac:dyDescent="0.2">
      <c r="A2832" s="380">
        <v>2700400</v>
      </c>
      <c r="B2832" s="381" t="s">
        <v>1918</v>
      </c>
    </row>
    <row r="2833" spans="1:2" ht="38.25" x14ac:dyDescent="0.2">
      <c r="A2833" s="380">
        <v>2700500</v>
      </c>
      <c r="B2833" s="381" t="s">
        <v>1919</v>
      </c>
    </row>
    <row r="2834" spans="1:2" ht="38.25" x14ac:dyDescent="0.2">
      <c r="A2834" s="380">
        <v>2700600</v>
      </c>
      <c r="B2834" s="381" t="s">
        <v>1920</v>
      </c>
    </row>
    <row r="2835" spans="1:2" ht="38.25" x14ac:dyDescent="0.2">
      <c r="A2835" s="380">
        <v>2700700</v>
      </c>
      <c r="B2835" s="381" t="s">
        <v>1921</v>
      </c>
    </row>
    <row r="2836" spans="1:2" x14ac:dyDescent="0.2">
      <c r="A2836" s="380">
        <v>2710000</v>
      </c>
      <c r="B2836" s="381" t="s">
        <v>1922</v>
      </c>
    </row>
    <row r="2837" spans="1:2" x14ac:dyDescent="0.2">
      <c r="A2837" s="380">
        <v>2710100</v>
      </c>
      <c r="B2837" s="381" t="s">
        <v>1923</v>
      </c>
    </row>
    <row r="2838" spans="1:2" x14ac:dyDescent="0.2">
      <c r="A2838" s="380">
        <v>2719900</v>
      </c>
      <c r="B2838" s="381" t="s">
        <v>1327</v>
      </c>
    </row>
    <row r="2839" spans="1:2" x14ac:dyDescent="0.2">
      <c r="A2839" s="380">
        <v>2800000</v>
      </c>
      <c r="B2839" s="381" t="s">
        <v>1924</v>
      </c>
    </row>
    <row r="2840" spans="1:2" x14ac:dyDescent="0.2">
      <c r="A2840" s="380">
        <v>2800100</v>
      </c>
      <c r="B2840" s="381" t="s">
        <v>1925</v>
      </c>
    </row>
    <row r="2841" spans="1:2" x14ac:dyDescent="0.2">
      <c r="A2841" s="380">
        <v>2800200</v>
      </c>
      <c r="B2841" s="381" t="s">
        <v>1926</v>
      </c>
    </row>
    <row r="2842" spans="1:2" ht="25.5" x14ac:dyDescent="0.2">
      <c r="A2842" s="380">
        <v>2800300</v>
      </c>
      <c r="B2842" s="381" t="s">
        <v>1927</v>
      </c>
    </row>
    <row r="2843" spans="1:2" x14ac:dyDescent="0.2">
      <c r="A2843" s="380">
        <v>2800400</v>
      </c>
      <c r="B2843" s="381" t="s">
        <v>1928</v>
      </c>
    </row>
    <row r="2844" spans="1:2" x14ac:dyDescent="0.2">
      <c r="A2844" s="380">
        <v>2800500</v>
      </c>
      <c r="B2844" s="381" t="s">
        <v>1929</v>
      </c>
    </row>
    <row r="2845" spans="1:2" x14ac:dyDescent="0.2">
      <c r="A2845" s="380">
        <v>2810000</v>
      </c>
      <c r="B2845" s="381" t="s">
        <v>1930</v>
      </c>
    </row>
    <row r="2846" spans="1:2" x14ac:dyDescent="0.2">
      <c r="A2846" s="380">
        <v>2819900</v>
      </c>
      <c r="B2846" s="381" t="s">
        <v>1327</v>
      </c>
    </row>
    <row r="2847" spans="1:2" x14ac:dyDescent="0.2">
      <c r="A2847" s="380">
        <v>2910000</v>
      </c>
      <c r="B2847" s="381" t="s">
        <v>1931</v>
      </c>
    </row>
    <row r="2848" spans="1:2" x14ac:dyDescent="0.2">
      <c r="A2848" s="380">
        <v>2919900</v>
      </c>
      <c r="B2848" s="381" t="s">
        <v>1327</v>
      </c>
    </row>
    <row r="2849" spans="1:2" x14ac:dyDescent="0.2">
      <c r="A2849" s="380">
        <v>2920000</v>
      </c>
      <c r="B2849" s="381" t="s">
        <v>1932</v>
      </c>
    </row>
    <row r="2850" spans="1:2" x14ac:dyDescent="0.2">
      <c r="A2850" s="380">
        <v>2920100</v>
      </c>
      <c r="B2850" s="381" t="s">
        <v>1933</v>
      </c>
    </row>
    <row r="2851" spans="1:2" x14ac:dyDescent="0.2">
      <c r="A2851" s="380">
        <v>2920200</v>
      </c>
      <c r="B2851" s="381" t="s">
        <v>1934</v>
      </c>
    </row>
    <row r="2852" spans="1:2" x14ac:dyDescent="0.2">
      <c r="A2852" s="380">
        <v>3000000</v>
      </c>
      <c r="B2852" s="381" t="s">
        <v>1935</v>
      </c>
    </row>
    <row r="2853" spans="1:2" x14ac:dyDescent="0.2">
      <c r="A2853" s="380">
        <v>3000100</v>
      </c>
      <c r="B2853" s="381" t="s">
        <v>1936</v>
      </c>
    </row>
    <row r="2854" spans="1:2" x14ac:dyDescent="0.2">
      <c r="A2854" s="380">
        <v>3000101</v>
      </c>
      <c r="B2854" s="381" t="s">
        <v>1937</v>
      </c>
    </row>
    <row r="2855" spans="1:2" x14ac:dyDescent="0.2">
      <c r="A2855" s="380">
        <v>3000102</v>
      </c>
      <c r="B2855" s="381" t="s">
        <v>1938</v>
      </c>
    </row>
    <row r="2856" spans="1:2" ht="38.25" x14ac:dyDescent="0.2">
      <c r="A2856" s="380">
        <v>3000103</v>
      </c>
      <c r="B2856" s="381" t="s">
        <v>1939</v>
      </c>
    </row>
    <row r="2857" spans="1:2" ht="25.5" x14ac:dyDescent="0.2">
      <c r="A2857" s="380">
        <v>3000104</v>
      </c>
      <c r="B2857" s="381" t="s">
        <v>1940</v>
      </c>
    </row>
    <row r="2858" spans="1:2" x14ac:dyDescent="0.2">
      <c r="A2858" s="380">
        <v>3000105</v>
      </c>
      <c r="B2858" s="381" t="s">
        <v>1941</v>
      </c>
    </row>
    <row r="2859" spans="1:2" x14ac:dyDescent="0.2">
      <c r="A2859" s="380">
        <v>3000200</v>
      </c>
      <c r="B2859" s="381" t="s">
        <v>1942</v>
      </c>
    </row>
    <row r="2860" spans="1:2" x14ac:dyDescent="0.2">
      <c r="A2860" s="380">
        <v>3000201</v>
      </c>
      <c r="B2860" s="381" t="s">
        <v>1943</v>
      </c>
    </row>
    <row r="2861" spans="1:2" x14ac:dyDescent="0.2">
      <c r="A2861" s="380">
        <v>3000202</v>
      </c>
      <c r="B2861" s="381" t="s">
        <v>1944</v>
      </c>
    </row>
    <row r="2862" spans="1:2" ht="51" x14ac:dyDescent="0.2">
      <c r="A2862" s="380">
        <v>3000203</v>
      </c>
      <c r="B2862" s="381" t="s">
        <v>1945</v>
      </c>
    </row>
    <row r="2863" spans="1:2" x14ac:dyDescent="0.2">
      <c r="A2863" s="380">
        <v>3000204</v>
      </c>
      <c r="B2863" s="381" t="s">
        <v>1946</v>
      </c>
    </row>
    <row r="2864" spans="1:2" ht="25.5" x14ac:dyDescent="0.2">
      <c r="A2864" s="380">
        <v>3000205</v>
      </c>
      <c r="B2864" s="381" t="s">
        <v>1947</v>
      </c>
    </row>
    <row r="2865" spans="1:2" ht="38.25" x14ac:dyDescent="0.2">
      <c r="A2865" s="380">
        <v>3000206</v>
      </c>
      <c r="B2865" s="381" t="s">
        <v>1948</v>
      </c>
    </row>
    <row r="2866" spans="1:2" ht="38.25" x14ac:dyDescent="0.2">
      <c r="A2866" s="380">
        <v>3000207</v>
      </c>
      <c r="B2866" s="381" t="s">
        <v>1949</v>
      </c>
    </row>
    <row r="2867" spans="1:2" ht="25.5" x14ac:dyDescent="0.2">
      <c r="A2867" s="380">
        <v>3000208</v>
      </c>
      <c r="B2867" s="381" t="s">
        <v>1950</v>
      </c>
    </row>
    <row r="2868" spans="1:2" ht="25.5" x14ac:dyDescent="0.2">
      <c r="A2868" s="380">
        <v>3000209</v>
      </c>
      <c r="B2868" s="381" t="s">
        <v>1951</v>
      </c>
    </row>
    <row r="2869" spans="1:2" ht="25.5" x14ac:dyDescent="0.2">
      <c r="A2869" s="380">
        <v>3000300</v>
      </c>
      <c r="B2869" s="381" t="s">
        <v>1952</v>
      </c>
    </row>
    <row r="2870" spans="1:2" x14ac:dyDescent="0.2">
      <c r="A2870" s="380">
        <v>3010000</v>
      </c>
      <c r="B2870" s="381" t="s">
        <v>1953</v>
      </c>
    </row>
    <row r="2871" spans="1:2" x14ac:dyDescent="0.2">
      <c r="A2871" s="380">
        <v>3010100</v>
      </c>
      <c r="B2871" s="381" t="s">
        <v>1954</v>
      </c>
    </row>
    <row r="2872" spans="1:2" x14ac:dyDescent="0.2">
      <c r="A2872" s="380">
        <v>3010101</v>
      </c>
      <c r="B2872" s="381" t="s">
        <v>1955</v>
      </c>
    </row>
    <row r="2873" spans="1:2" x14ac:dyDescent="0.2">
      <c r="A2873" s="380">
        <v>3010200</v>
      </c>
      <c r="B2873" s="381" t="s">
        <v>1956</v>
      </c>
    </row>
    <row r="2874" spans="1:2" x14ac:dyDescent="0.2">
      <c r="A2874" s="380">
        <v>3010201</v>
      </c>
      <c r="B2874" s="381" t="s">
        <v>1957</v>
      </c>
    </row>
    <row r="2875" spans="1:2" x14ac:dyDescent="0.2">
      <c r="A2875" s="380">
        <v>3010202</v>
      </c>
      <c r="B2875" s="381" t="s">
        <v>1958</v>
      </c>
    </row>
    <row r="2876" spans="1:2" x14ac:dyDescent="0.2">
      <c r="A2876" s="380">
        <v>3010300</v>
      </c>
      <c r="B2876" s="381" t="s">
        <v>1959</v>
      </c>
    </row>
    <row r="2877" spans="1:2" x14ac:dyDescent="0.2">
      <c r="A2877" s="380">
        <v>3010301</v>
      </c>
      <c r="B2877" s="381" t="s">
        <v>1960</v>
      </c>
    </row>
    <row r="2878" spans="1:2" x14ac:dyDescent="0.2">
      <c r="A2878" s="380">
        <v>3010302</v>
      </c>
      <c r="B2878" s="381" t="s">
        <v>1961</v>
      </c>
    </row>
    <row r="2879" spans="1:2" x14ac:dyDescent="0.2">
      <c r="A2879" s="380">
        <v>3010303</v>
      </c>
      <c r="B2879" s="381" t="s">
        <v>1962</v>
      </c>
    </row>
    <row r="2880" spans="1:2" ht="25.5" x14ac:dyDescent="0.2">
      <c r="A2880" s="380">
        <v>3010304</v>
      </c>
      <c r="B2880" s="381" t="s">
        <v>1963</v>
      </c>
    </row>
    <row r="2881" spans="1:2" x14ac:dyDescent="0.2">
      <c r="A2881" s="380">
        <v>3017100</v>
      </c>
      <c r="B2881" s="381" t="s">
        <v>1315</v>
      </c>
    </row>
    <row r="2882" spans="1:2" x14ac:dyDescent="0.2">
      <c r="A2882" s="380">
        <v>3017101</v>
      </c>
      <c r="B2882" s="381" t="s">
        <v>1316</v>
      </c>
    </row>
    <row r="2883" spans="1:2" x14ac:dyDescent="0.2">
      <c r="A2883" s="380">
        <v>3017102</v>
      </c>
      <c r="B2883" s="381" t="s">
        <v>1317</v>
      </c>
    </row>
    <row r="2884" spans="1:2" x14ac:dyDescent="0.2">
      <c r="A2884" s="380">
        <v>3017103</v>
      </c>
      <c r="B2884" s="381" t="s">
        <v>1318</v>
      </c>
    </row>
    <row r="2885" spans="1:2" x14ac:dyDescent="0.2">
      <c r="A2885" s="380">
        <v>3017200</v>
      </c>
      <c r="B2885" s="381" t="s">
        <v>1319</v>
      </c>
    </row>
    <row r="2886" spans="1:2" x14ac:dyDescent="0.2">
      <c r="A2886" s="380">
        <v>3017201</v>
      </c>
      <c r="B2886" s="381" t="s">
        <v>1320</v>
      </c>
    </row>
    <row r="2887" spans="1:2" x14ac:dyDescent="0.2">
      <c r="A2887" s="380">
        <v>3017202</v>
      </c>
      <c r="B2887" s="381" t="s">
        <v>1321</v>
      </c>
    </row>
    <row r="2888" spans="1:2" x14ac:dyDescent="0.2">
      <c r="A2888" s="380">
        <v>3017203</v>
      </c>
      <c r="B2888" s="381" t="s">
        <v>1322</v>
      </c>
    </row>
    <row r="2889" spans="1:2" x14ac:dyDescent="0.2">
      <c r="A2889" s="380">
        <v>3020000</v>
      </c>
      <c r="B2889" s="381" t="s">
        <v>1957</v>
      </c>
    </row>
    <row r="2890" spans="1:2" x14ac:dyDescent="0.2">
      <c r="A2890" s="380">
        <v>3020100</v>
      </c>
      <c r="B2890" s="381" t="s">
        <v>1964</v>
      </c>
    </row>
    <row r="2891" spans="1:2" x14ac:dyDescent="0.2">
      <c r="A2891" s="380">
        <v>3026800</v>
      </c>
      <c r="B2891" s="381" t="s">
        <v>1311</v>
      </c>
    </row>
    <row r="2892" spans="1:2" x14ac:dyDescent="0.2">
      <c r="A2892" s="380">
        <v>3026801</v>
      </c>
      <c r="B2892" s="381" t="s">
        <v>1312</v>
      </c>
    </row>
    <row r="2893" spans="1:2" ht="25.5" x14ac:dyDescent="0.2">
      <c r="A2893" s="380">
        <v>3026802</v>
      </c>
      <c r="B2893" s="381" t="s">
        <v>1313</v>
      </c>
    </row>
    <row r="2894" spans="1:2" x14ac:dyDescent="0.2">
      <c r="A2894" s="380">
        <v>3027100</v>
      </c>
      <c r="B2894" s="381" t="s">
        <v>1315</v>
      </c>
    </row>
    <row r="2895" spans="1:2" x14ac:dyDescent="0.2">
      <c r="A2895" s="380">
        <v>3027101</v>
      </c>
      <c r="B2895" s="381" t="s">
        <v>1316</v>
      </c>
    </row>
    <row r="2896" spans="1:2" x14ac:dyDescent="0.2">
      <c r="A2896" s="380">
        <v>3027102</v>
      </c>
      <c r="B2896" s="381" t="s">
        <v>1317</v>
      </c>
    </row>
    <row r="2897" spans="1:2" x14ac:dyDescent="0.2">
      <c r="A2897" s="380">
        <v>3027103</v>
      </c>
      <c r="B2897" s="381" t="s">
        <v>1318</v>
      </c>
    </row>
    <row r="2898" spans="1:2" x14ac:dyDescent="0.2">
      <c r="A2898" s="380">
        <v>3027200</v>
      </c>
      <c r="B2898" s="381" t="s">
        <v>1319</v>
      </c>
    </row>
    <row r="2899" spans="1:2" x14ac:dyDescent="0.2">
      <c r="A2899" s="380">
        <v>3027201</v>
      </c>
      <c r="B2899" s="381" t="s">
        <v>1320</v>
      </c>
    </row>
    <row r="2900" spans="1:2" x14ac:dyDescent="0.2">
      <c r="A2900" s="380">
        <v>3027202</v>
      </c>
      <c r="B2900" s="381" t="s">
        <v>1321</v>
      </c>
    </row>
    <row r="2901" spans="1:2" x14ac:dyDescent="0.2">
      <c r="A2901" s="380">
        <v>3027203</v>
      </c>
      <c r="B2901" s="381" t="s">
        <v>1322</v>
      </c>
    </row>
    <row r="2902" spans="1:2" x14ac:dyDescent="0.2">
      <c r="A2902" s="380">
        <v>3029900</v>
      </c>
      <c r="B2902" s="381" t="s">
        <v>1327</v>
      </c>
    </row>
    <row r="2903" spans="1:2" x14ac:dyDescent="0.2">
      <c r="A2903" s="380">
        <v>3050000</v>
      </c>
      <c r="B2903" s="381" t="s">
        <v>1965</v>
      </c>
    </row>
    <row r="2904" spans="1:2" x14ac:dyDescent="0.2">
      <c r="A2904" s="380">
        <v>3050100</v>
      </c>
      <c r="B2904" s="381" t="s">
        <v>1966</v>
      </c>
    </row>
    <row r="2905" spans="1:2" ht="25.5" x14ac:dyDescent="0.2">
      <c r="A2905" s="380">
        <v>3050101</v>
      </c>
      <c r="B2905" s="381" t="s">
        <v>1967</v>
      </c>
    </row>
    <row r="2906" spans="1:2" ht="38.25" x14ac:dyDescent="0.2">
      <c r="A2906" s="380">
        <v>3050102</v>
      </c>
      <c r="B2906" s="381" t="s">
        <v>1968</v>
      </c>
    </row>
    <row r="2907" spans="1:2" ht="38.25" x14ac:dyDescent="0.2">
      <c r="A2907" s="380">
        <v>3050103</v>
      </c>
      <c r="B2907" s="381" t="s">
        <v>1969</v>
      </c>
    </row>
    <row r="2908" spans="1:2" ht="38.25" x14ac:dyDescent="0.2">
      <c r="A2908" s="380">
        <v>3050104</v>
      </c>
      <c r="B2908" s="381" t="s">
        <v>1970</v>
      </c>
    </row>
    <row r="2909" spans="1:2" ht="63.75" x14ac:dyDescent="0.2">
      <c r="A2909" s="380">
        <v>3050105</v>
      </c>
      <c r="B2909" s="381" t="s">
        <v>1971</v>
      </c>
    </row>
    <row r="2910" spans="1:2" ht="25.5" x14ac:dyDescent="0.2">
      <c r="A2910" s="380">
        <v>3050106</v>
      </c>
      <c r="B2910" s="381" t="s">
        <v>1972</v>
      </c>
    </row>
    <row r="2911" spans="1:2" ht="51" x14ac:dyDescent="0.2">
      <c r="A2911" s="380">
        <v>3050107</v>
      </c>
      <c r="B2911" s="381" t="s">
        <v>1973</v>
      </c>
    </row>
    <row r="2912" spans="1:2" ht="63.75" x14ac:dyDescent="0.2">
      <c r="A2912" s="380">
        <v>3050108</v>
      </c>
      <c r="B2912" s="381" t="s">
        <v>1974</v>
      </c>
    </row>
    <row r="2913" spans="1:2" ht="38.25" x14ac:dyDescent="0.2">
      <c r="A2913" s="380">
        <v>3050112</v>
      </c>
      <c r="B2913" s="381" t="s">
        <v>1975</v>
      </c>
    </row>
    <row r="2914" spans="1:2" ht="51" x14ac:dyDescent="0.2">
      <c r="A2914" s="380">
        <v>3050113</v>
      </c>
      <c r="B2914" s="381" t="s">
        <v>1976</v>
      </c>
    </row>
    <row r="2915" spans="1:2" x14ac:dyDescent="0.2">
      <c r="A2915" s="380">
        <v>3060000</v>
      </c>
      <c r="B2915" s="381" t="s">
        <v>1977</v>
      </c>
    </row>
    <row r="2916" spans="1:2" ht="25.5" x14ac:dyDescent="0.2">
      <c r="A2916" s="380">
        <v>3060100</v>
      </c>
      <c r="B2916" s="381" t="s">
        <v>1978</v>
      </c>
    </row>
    <row r="2917" spans="1:2" ht="25.5" x14ac:dyDescent="0.2">
      <c r="A2917" s="380">
        <v>3060200</v>
      </c>
      <c r="B2917" s="381" t="s">
        <v>1979</v>
      </c>
    </row>
    <row r="2918" spans="1:2" ht="25.5" x14ac:dyDescent="0.2">
      <c r="A2918" s="380">
        <v>3060300</v>
      </c>
      <c r="B2918" s="381" t="s">
        <v>1980</v>
      </c>
    </row>
    <row r="2919" spans="1:2" ht="25.5" x14ac:dyDescent="0.2">
      <c r="A2919" s="380">
        <v>3060400</v>
      </c>
      <c r="B2919" s="381" t="s">
        <v>1981</v>
      </c>
    </row>
    <row r="2920" spans="1:2" x14ac:dyDescent="0.2">
      <c r="A2920" s="380">
        <v>3100000</v>
      </c>
      <c r="B2920" s="381" t="s">
        <v>1982</v>
      </c>
    </row>
    <row r="2921" spans="1:2" x14ac:dyDescent="0.2">
      <c r="A2921" s="380">
        <v>3100100</v>
      </c>
      <c r="B2921" s="381" t="s">
        <v>1983</v>
      </c>
    </row>
    <row r="2922" spans="1:2" x14ac:dyDescent="0.2">
      <c r="A2922" s="380">
        <v>3100101</v>
      </c>
      <c r="B2922" s="381" t="s">
        <v>1984</v>
      </c>
    </row>
    <row r="2923" spans="1:2" x14ac:dyDescent="0.2">
      <c r="A2923" s="380">
        <v>3150000</v>
      </c>
      <c r="B2923" s="381" t="s">
        <v>239</v>
      </c>
    </row>
    <row r="2924" spans="1:2" x14ac:dyDescent="0.2">
      <c r="A2924" s="380">
        <v>3150100</v>
      </c>
      <c r="B2924" s="381" t="s">
        <v>1985</v>
      </c>
    </row>
    <row r="2925" spans="1:2" x14ac:dyDescent="0.2">
      <c r="A2925" s="380">
        <v>3150101</v>
      </c>
      <c r="B2925" s="381" t="s">
        <v>1986</v>
      </c>
    </row>
    <row r="2926" spans="1:2" x14ac:dyDescent="0.2">
      <c r="A2926" s="380">
        <v>3150102</v>
      </c>
      <c r="B2926" s="381" t="s">
        <v>1987</v>
      </c>
    </row>
    <row r="2927" spans="1:2" x14ac:dyDescent="0.2">
      <c r="A2927" s="380">
        <v>3150200</v>
      </c>
      <c r="B2927" s="381" t="s">
        <v>1988</v>
      </c>
    </row>
    <row r="2928" spans="1:2" ht="25.5" x14ac:dyDescent="0.2">
      <c r="A2928" s="380">
        <v>3150201</v>
      </c>
      <c r="B2928" s="381" t="s">
        <v>1989</v>
      </c>
    </row>
    <row r="2929" spans="1:2" x14ac:dyDescent="0.2">
      <c r="A2929" s="380">
        <v>3150202</v>
      </c>
      <c r="B2929" s="381" t="s">
        <v>1990</v>
      </c>
    </row>
    <row r="2930" spans="1:2" x14ac:dyDescent="0.2">
      <c r="A2930" s="380">
        <v>3150203</v>
      </c>
      <c r="B2930" s="381" t="s">
        <v>1991</v>
      </c>
    </row>
    <row r="2931" spans="1:2" ht="25.5" x14ac:dyDescent="0.2">
      <c r="A2931" s="380">
        <v>3150204</v>
      </c>
      <c r="B2931" s="381" t="s">
        <v>1992</v>
      </c>
    </row>
    <row r="2932" spans="1:2" ht="25.5" x14ac:dyDescent="0.2">
      <c r="A2932" s="380">
        <v>3150205</v>
      </c>
      <c r="B2932" s="381" t="s">
        <v>1993</v>
      </c>
    </row>
    <row r="2933" spans="1:2" ht="25.5" x14ac:dyDescent="0.2">
      <c r="A2933" s="380">
        <v>3150206</v>
      </c>
      <c r="B2933" s="381" t="s">
        <v>1994</v>
      </c>
    </row>
    <row r="2934" spans="1:2" x14ac:dyDescent="0.2">
      <c r="A2934" s="380">
        <v>3150300</v>
      </c>
      <c r="B2934" s="381" t="s">
        <v>1995</v>
      </c>
    </row>
    <row r="2935" spans="1:2" ht="25.5" x14ac:dyDescent="0.2">
      <c r="A2935" s="380">
        <v>3150301</v>
      </c>
      <c r="B2935" s="381" t="s">
        <v>1996</v>
      </c>
    </row>
    <row r="2936" spans="1:2" ht="25.5" x14ac:dyDescent="0.2">
      <c r="A2936" s="380">
        <v>3150302</v>
      </c>
      <c r="B2936" s="381" t="s">
        <v>1997</v>
      </c>
    </row>
    <row r="2937" spans="1:2" x14ac:dyDescent="0.2">
      <c r="A2937" s="380">
        <v>3170000</v>
      </c>
      <c r="B2937" s="381" t="s">
        <v>1998</v>
      </c>
    </row>
    <row r="2938" spans="1:2" x14ac:dyDescent="0.2">
      <c r="A2938" s="380">
        <v>3170100</v>
      </c>
      <c r="B2938" s="381" t="s">
        <v>1999</v>
      </c>
    </row>
    <row r="2939" spans="1:2" ht="25.5" x14ac:dyDescent="0.2">
      <c r="A2939" s="380">
        <v>3170101</v>
      </c>
      <c r="B2939" s="381" t="s">
        <v>2000</v>
      </c>
    </row>
    <row r="2940" spans="1:2" ht="25.5" x14ac:dyDescent="0.2">
      <c r="A2940" s="380">
        <v>3170110</v>
      </c>
      <c r="B2940" s="381" t="s">
        <v>2001</v>
      </c>
    </row>
    <row r="2941" spans="1:2" x14ac:dyDescent="0.2">
      <c r="A2941" s="380">
        <v>3300000</v>
      </c>
      <c r="B2941" s="381" t="s">
        <v>2002</v>
      </c>
    </row>
    <row r="2942" spans="1:2" x14ac:dyDescent="0.2">
      <c r="A2942" s="380">
        <v>3300100</v>
      </c>
      <c r="B2942" s="381" t="s">
        <v>2003</v>
      </c>
    </row>
    <row r="2943" spans="1:2" ht="25.5" x14ac:dyDescent="0.2">
      <c r="A2943" s="380">
        <v>3300101</v>
      </c>
      <c r="B2943" s="381" t="s">
        <v>2004</v>
      </c>
    </row>
    <row r="2944" spans="1:2" ht="25.5" x14ac:dyDescent="0.2">
      <c r="A2944" s="380">
        <v>3300102</v>
      </c>
      <c r="B2944" s="381" t="s">
        <v>2005</v>
      </c>
    </row>
    <row r="2945" spans="1:2" x14ac:dyDescent="0.2">
      <c r="A2945" s="380">
        <v>3300200</v>
      </c>
      <c r="B2945" s="381" t="s">
        <v>2006</v>
      </c>
    </row>
    <row r="2946" spans="1:2" x14ac:dyDescent="0.2">
      <c r="A2946" s="380">
        <v>3300201</v>
      </c>
      <c r="B2946" s="381" t="s">
        <v>2007</v>
      </c>
    </row>
    <row r="2947" spans="1:2" ht="25.5" x14ac:dyDescent="0.2">
      <c r="A2947" s="380">
        <v>3300202</v>
      </c>
      <c r="B2947" s="381" t="s">
        <v>2008</v>
      </c>
    </row>
    <row r="2948" spans="1:2" ht="25.5" x14ac:dyDescent="0.2">
      <c r="A2948" s="380">
        <v>3300203</v>
      </c>
      <c r="B2948" s="381" t="s">
        <v>2009</v>
      </c>
    </row>
    <row r="2949" spans="1:2" x14ac:dyDescent="0.2">
      <c r="A2949" s="380">
        <v>3300204</v>
      </c>
      <c r="B2949" s="381" t="s">
        <v>2010</v>
      </c>
    </row>
    <row r="2950" spans="1:2" x14ac:dyDescent="0.2">
      <c r="A2950" s="380">
        <v>3300205</v>
      </c>
      <c r="B2950" s="381" t="s">
        <v>2011</v>
      </c>
    </row>
    <row r="2951" spans="1:2" x14ac:dyDescent="0.2">
      <c r="A2951" s="380">
        <v>3300206</v>
      </c>
      <c r="B2951" s="381" t="s">
        <v>2012</v>
      </c>
    </row>
    <row r="2952" spans="1:2" x14ac:dyDescent="0.2">
      <c r="A2952" s="380">
        <v>3300207</v>
      </c>
      <c r="B2952" s="381" t="s">
        <v>1422</v>
      </c>
    </row>
    <row r="2953" spans="1:2" ht="25.5" x14ac:dyDescent="0.2">
      <c r="A2953" s="380">
        <v>3300208</v>
      </c>
      <c r="B2953" s="381" t="s">
        <v>2013</v>
      </c>
    </row>
    <row r="2954" spans="1:2" x14ac:dyDescent="0.2">
      <c r="A2954" s="380">
        <v>3300300</v>
      </c>
      <c r="B2954" s="381" t="s">
        <v>2014</v>
      </c>
    </row>
    <row r="2955" spans="1:2" x14ac:dyDescent="0.2">
      <c r="A2955" s="380">
        <v>3300301</v>
      </c>
      <c r="B2955" s="381" t="s">
        <v>2015</v>
      </c>
    </row>
    <row r="2956" spans="1:2" x14ac:dyDescent="0.2">
      <c r="A2956" s="380">
        <v>3300400</v>
      </c>
      <c r="B2956" s="381" t="s">
        <v>2016</v>
      </c>
    </row>
    <row r="2957" spans="1:2" x14ac:dyDescent="0.2">
      <c r="A2957" s="380">
        <v>3300401</v>
      </c>
      <c r="B2957" s="381" t="s">
        <v>2017</v>
      </c>
    </row>
    <row r="2958" spans="1:2" ht="38.25" x14ac:dyDescent="0.2">
      <c r="A2958" s="380">
        <v>3300402</v>
      </c>
      <c r="B2958" s="381" t="s">
        <v>2018</v>
      </c>
    </row>
    <row r="2959" spans="1:2" x14ac:dyDescent="0.2">
      <c r="A2959" s="380">
        <v>3300600</v>
      </c>
      <c r="B2959" s="381" t="s">
        <v>2019</v>
      </c>
    </row>
    <row r="2960" spans="1:2" ht="25.5" x14ac:dyDescent="0.2">
      <c r="A2960" s="380">
        <v>3300700</v>
      </c>
      <c r="B2960" s="381" t="s">
        <v>2020</v>
      </c>
    </row>
    <row r="2961" spans="1:2" x14ac:dyDescent="0.2">
      <c r="A2961" s="380">
        <v>3308200</v>
      </c>
      <c r="B2961" s="381" t="s">
        <v>1326</v>
      </c>
    </row>
    <row r="2962" spans="1:2" x14ac:dyDescent="0.2">
      <c r="A2962" s="380">
        <v>3309900</v>
      </c>
      <c r="B2962" s="381" t="s">
        <v>1327</v>
      </c>
    </row>
    <row r="2963" spans="1:2" ht="25.5" x14ac:dyDescent="0.2">
      <c r="A2963" s="380">
        <v>3350000</v>
      </c>
      <c r="B2963" s="381" t="s">
        <v>2021</v>
      </c>
    </row>
    <row r="2964" spans="1:2" ht="25.5" x14ac:dyDescent="0.2">
      <c r="A2964" s="380">
        <v>3350100</v>
      </c>
      <c r="B2964" s="381" t="s">
        <v>2022</v>
      </c>
    </row>
    <row r="2965" spans="1:2" x14ac:dyDescent="0.2">
      <c r="A2965" s="380">
        <v>3350200</v>
      </c>
      <c r="B2965" s="381" t="s">
        <v>1841</v>
      </c>
    </row>
    <row r="2966" spans="1:2" x14ac:dyDescent="0.2">
      <c r="A2966" s="380">
        <v>3350300</v>
      </c>
      <c r="B2966" s="381" t="s">
        <v>2023</v>
      </c>
    </row>
    <row r="2967" spans="1:2" x14ac:dyDescent="0.2">
      <c r="A2967" s="380">
        <v>3360000</v>
      </c>
      <c r="B2967" s="381" t="s">
        <v>2024</v>
      </c>
    </row>
    <row r="2968" spans="1:2" ht="25.5" x14ac:dyDescent="0.2">
      <c r="A2968" s="380">
        <v>3360100</v>
      </c>
      <c r="B2968" s="381" t="s">
        <v>2025</v>
      </c>
    </row>
    <row r="2969" spans="1:2" x14ac:dyDescent="0.2">
      <c r="A2969" s="380">
        <v>3370000</v>
      </c>
      <c r="B2969" s="381" t="s">
        <v>2026</v>
      </c>
    </row>
    <row r="2970" spans="1:2" x14ac:dyDescent="0.2">
      <c r="A2970" s="380">
        <v>3379900</v>
      </c>
      <c r="B2970" s="381" t="s">
        <v>1327</v>
      </c>
    </row>
    <row r="2971" spans="1:2" x14ac:dyDescent="0.2">
      <c r="A2971" s="380">
        <v>3390000</v>
      </c>
      <c r="B2971" s="381" t="s">
        <v>2027</v>
      </c>
    </row>
    <row r="2972" spans="1:2" x14ac:dyDescent="0.2">
      <c r="A2972" s="380">
        <v>3399900</v>
      </c>
      <c r="B2972" s="381" t="s">
        <v>1327</v>
      </c>
    </row>
    <row r="2973" spans="1:2" x14ac:dyDescent="0.2">
      <c r="A2973" s="380">
        <v>3400000</v>
      </c>
      <c r="B2973" s="381" t="s">
        <v>2028</v>
      </c>
    </row>
    <row r="2974" spans="1:2" x14ac:dyDescent="0.2">
      <c r="A2974" s="380">
        <v>3400100</v>
      </c>
      <c r="B2974" s="381" t="s">
        <v>2029</v>
      </c>
    </row>
    <row r="2975" spans="1:2" x14ac:dyDescent="0.2">
      <c r="A2975" s="380">
        <v>3400101</v>
      </c>
      <c r="B2975" s="381" t="s">
        <v>2030</v>
      </c>
    </row>
    <row r="2976" spans="1:2" x14ac:dyDescent="0.2">
      <c r="A2976" s="380">
        <v>3400102</v>
      </c>
      <c r="B2976" s="381" t="s">
        <v>2031</v>
      </c>
    </row>
    <row r="2977" spans="1:2" x14ac:dyDescent="0.2">
      <c r="A2977" s="380">
        <v>3400103</v>
      </c>
      <c r="B2977" s="381" t="s">
        <v>2032</v>
      </c>
    </row>
    <row r="2978" spans="1:2" x14ac:dyDescent="0.2">
      <c r="A2978" s="380">
        <v>3400104</v>
      </c>
      <c r="B2978" s="381" t="s">
        <v>2033</v>
      </c>
    </row>
    <row r="2979" spans="1:2" ht="25.5" x14ac:dyDescent="0.2">
      <c r="A2979" s="380">
        <v>3400105</v>
      </c>
      <c r="B2979" s="381" t="s">
        <v>2034</v>
      </c>
    </row>
    <row r="2980" spans="1:2" x14ac:dyDescent="0.2">
      <c r="A2980" s="380">
        <v>3400106</v>
      </c>
      <c r="B2980" s="381" t="s">
        <v>2035</v>
      </c>
    </row>
    <row r="2981" spans="1:2" x14ac:dyDescent="0.2">
      <c r="A2981" s="380">
        <v>3400200</v>
      </c>
      <c r="B2981" s="381" t="s">
        <v>1419</v>
      </c>
    </row>
    <row r="2982" spans="1:2" x14ac:dyDescent="0.2">
      <c r="A2982" s="380">
        <v>3400300</v>
      </c>
      <c r="B2982" s="381" t="s">
        <v>682</v>
      </c>
    </row>
    <row r="2983" spans="1:2" x14ac:dyDescent="0.2">
      <c r="A2983" s="380">
        <v>3400400</v>
      </c>
      <c r="B2983" s="381" t="s">
        <v>2036</v>
      </c>
    </row>
    <row r="2984" spans="1:2" ht="25.5" x14ac:dyDescent="0.2">
      <c r="A2984" s="380">
        <v>3400500</v>
      </c>
      <c r="B2984" s="381" t="s">
        <v>2037</v>
      </c>
    </row>
    <row r="2985" spans="1:2" x14ac:dyDescent="0.2">
      <c r="A2985" s="380">
        <v>3400600</v>
      </c>
      <c r="B2985" s="381" t="s">
        <v>2038</v>
      </c>
    </row>
    <row r="2986" spans="1:2" x14ac:dyDescent="0.2">
      <c r="A2986" s="380">
        <v>3400700</v>
      </c>
      <c r="B2986" s="381" t="s">
        <v>2039</v>
      </c>
    </row>
    <row r="2987" spans="1:2" x14ac:dyDescent="0.2">
      <c r="A2987" s="380">
        <v>3400701</v>
      </c>
      <c r="B2987" s="381" t="s">
        <v>2040</v>
      </c>
    </row>
    <row r="2988" spans="1:2" x14ac:dyDescent="0.2">
      <c r="A2988" s="380">
        <v>3400702</v>
      </c>
      <c r="B2988" s="381" t="s">
        <v>2041</v>
      </c>
    </row>
    <row r="2989" spans="1:2" ht="25.5" x14ac:dyDescent="0.2">
      <c r="A2989" s="380">
        <v>3400800</v>
      </c>
      <c r="B2989" s="381" t="s">
        <v>2042</v>
      </c>
    </row>
    <row r="2990" spans="1:2" ht="38.25" x14ac:dyDescent="0.2">
      <c r="A2990" s="380">
        <v>3400900</v>
      </c>
      <c r="B2990" s="381" t="s">
        <v>2043</v>
      </c>
    </row>
    <row r="2991" spans="1:2" ht="25.5" x14ac:dyDescent="0.2">
      <c r="A2991" s="380">
        <v>3401000</v>
      </c>
      <c r="B2991" s="381" t="s">
        <v>2044</v>
      </c>
    </row>
    <row r="2992" spans="1:2" ht="25.5" x14ac:dyDescent="0.2">
      <c r="A2992" s="380">
        <v>3401100</v>
      </c>
      <c r="B2992" s="381" t="s">
        <v>2045</v>
      </c>
    </row>
    <row r="2993" spans="1:2" x14ac:dyDescent="0.2">
      <c r="A2993" s="380">
        <v>3401200</v>
      </c>
      <c r="B2993" s="381" t="s">
        <v>2046</v>
      </c>
    </row>
    <row r="2994" spans="1:2" ht="25.5" x14ac:dyDescent="0.2">
      <c r="A2994" s="380">
        <v>3401500</v>
      </c>
      <c r="B2994" s="381" t="s">
        <v>2047</v>
      </c>
    </row>
    <row r="2995" spans="1:2" ht="25.5" x14ac:dyDescent="0.2">
      <c r="A2995" s="380">
        <v>3401600</v>
      </c>
      <c r="B2995" s="381" t="s">
        <v>2048</v>
      </c>
    </row>
    <row r="2996" spans="1:2" ht="25.5" x14ac:dyDescent="0.2">
      <c r="A2996" s="380">
        <v>3401700</v>
      </c>
      <c r="B2996" s="381" t="s">
        <v>2049</v>
      </c>
    </row>
    <row r="2997" spans="1:2" ht="25.5" x14ac:dyDescent="0.2">
      <c r="A2997" s="380">
        <v>3401800</v>
      </c>
      <c r="B2997" s="381" t="s">
        <v>2050</v>
      </c>
    </row>
    <row r="2998" spans="1:2" ht="25.5" x14ac:dyDescent="0.2">
      <c r="A2998" s="380">
        <v>3408000</v>
      </c>
      <c r="B2998" s="381" t="s">
        <v>2042</v>
      </c>
    </row>
    <row r="2999" spans="1:2" x14ac:dyDescent="0.2">
      <c r="A2999" s="380">
        <v>3408300</v>
      </c>
      <c r="B2999" s="381" t="s">
        <v>1856</v>
      </c>
    </row>
    <row r="3000" spans="1:2" ht="38.25" x14ac:dyDescent="0.2">
      <c r="A3000" s="380">
        <v>3408301</v>
      </c>
      <c r="B3000" s="381" t="s">
        <v>2051</v>
      </c>
    </row>
    <row r="3001" spans="1:2" ht="51" x14ac:dyDescent="0.2">
      <c r="A3001" s="380">
        <v>3408302</v>
      </c>
      <c r="B3001" s="381" t="s">
        <v>2052</v>
      </c>
    </row>
    <row r="3002" spans="1:2" ht="51" x14ac:dyDescent="0.2">
      <c r="A3002" s="380">
        <v>3408303</v>
      </c>
      <c r="B3002" s="381" t="s">
        <v>2053</v>
      </c>
    </row>
    <row r="3003" spans="1:2" ht="38.25" x14ac:dyDescent="0.2">
      <c r="A3003" s="380">
        <v>3408304</v>
      </c>
      <c r="B3003" s="381" t="s">
        <v>2054</v>
      </c>
    </row>
    <row r="3004" spans="1:2" ht="38.25" x14ac:dyDescent="0.2">
      <c r="A3004" s="380">
        <v>3408305</v>
      </c>
      <c r="B3004" s="381" t="s">
        <v>2055</v>
      </c>
    </row>
    <row r="3005" spans="1:2" ht="76.5" x14ac:dyDescent="0.2">
      <c r="A3005" s="380">
        <v>3408306</v>
      </c>
      <c r="B3005" s="381" t="s">
        <v>2056</v>
      </c>
    </row>
    <row r="3006" spans="1:2" ht="38.25" x14ac:dyDescent="0.2">
      <c r="A3006" s="380">
        <v>3408307</v>
      </c>
      <c r="B3006" s="381" t="s">
        <v>2057</v>
      </c>
    </row>
    <row r="3007" spans="1:2" ht="63.75" x14ac:dyDescent="0.2">
      <c r="A3007" s="380">
        <v>3408308</v>
      </c>
      <c r="B3007" s="381" t="s">
        <v>2058</v>
      </c>
    </row>
    <row r="3008" spans="1:2" ht="51" x14ac:dyDescent="0.2">
      <c r="A3008" s="380">
        <v>3408309</v>
      </c>
      <c r="B3008" s="381" t="s">
        <v>2059</v>
      </c>
    </row>
    <row r="3009" spans="1:2" ht="25.5" x14ac:dyDescent="0.2">
      <c r="A3009" s="380">
        <v>3408310</v>
      </c>
      <c r="B3009" s="381" t="s">
        <v>2060</v>
      </c>
    </row>
    <row r="3010" spans="1:2" ht="63.75" x14ac:dyDescent="0.2">
      <c r="A3010" s="380">
        <v>3408311</v>
      </c>
      <c r="B3010" s="381" t="s">
        <v>2061</v>
      </c>
    </row>
    <row r="3011" spans="1:2" ht="51" x14ac:dyDescent="0.2">
      <c r="A3011" s="380">
        <v>3408313</v>
      </c>
      <c r="B3011" s="381" t="s">
        <v>2062</v>
      </c>
    </row>
    <row r="3012" spans="1:2" ht="63.75" x14ac:dyDescent="0.2">
      <c r="A3012" s="380">
        <v>3408314</v>
      </c>
      <c r="B3012" s="381" t="s">
        <v>2063</v>
      </c>
    </row>
    <row r="3013" spans="1:2" ht="51" x14ac:dyDescent="0.2">
      <c r="A3013" s="380">
        <v>3408315</v>
      </c>
      <c r="B3013" s="381" t="s">
        <v>2064</v>
      </c>
    </row>
    <row r="3014" spans="1:2" ht="38.25" x14ac:dyDescent="0.2">
      <c r="A3014" s="380">
        <v>3408316</v>
      </c>
      <c r="B3014" s="381" t="s">
        <v>2065</v>
      </c>
    </row>
    <row r="3015" spans="1:2" ht="38.25" x14ac:dyDescent="0.2">
      <c r="A3015" s="380">
        <v>3408317</v>
      </c>
      <c r="B3015" s="381" t="s">
        <v>2066</v>
      </c>
    </row>
    <row r="3016" spans="1:2" ht="38.25" x14ac:dyDescent="0.2">
      <c r="A3016" s="380">
        <v>3408318</v>
      </c>
      <c r="B3016" s="381" t="s">
        <v>2067</v>
      </c>
    </row>
    <row r="3017" spans="1:2" ht="63.75" x14ac:dyDescent="0.2">
      <c r="A3017" s="380">
        <v>3408319</v>
      </c>
      <c r="B3017" s="381" t="s">
        <v>2068</v>
      </c>
    </row>
    <row r="3018" spans="1:2" ht="38.25" x14ac:dyDescent="0.2">
      <c r="A3018" s="380">
        <v>3408320</v>
      </c>
      <c r="B3018" s="381" t="s">
        <v>2069</v>
      </c>
    </row>
    <row r="3019" spans="1:2" ht="63.75" x14ac:dyDescent="0.2">
      <c r="A3019" s="380">
        <v>3408321</v>
      </c>
      <c r="B3019" s="381" t="s">
        <v>2070</v>
      </c>
    </row>
    <row r="3020" spans="1:2" ht="25.5" x14ac:dyDescent="0.2">
      <c r="A3020" s="380">
        <v>3408322</v>
      </c>
      <c r="B3020" s="381" t="s">
        <v>2071</v>
      </c>
    </row>
    <row r="3021" spans="1:2" x14ac:dyDescent="0.2">
      <c r="A3021" s="380">
        <v>3410000</v>
      </c>
      <c r="B3021" s="381" t="s">
        <v>2072</v>
      </c>
    </row>
    <row r="3022" spans="1:2" x14ac:dyDescent="0.2">
      <c r="A3022" s="380">
        <v>3419900</v>
      </c>
      <c r="B3022" s="381" t="s">
        <v>1327</v>
      </c>
    </row>
    <row r="3023" spans="1:2" x14ac:dyDescent="0.2">
      <c r="A3023" s="380">
        <v>3450000</v>
      </c>
      <c r="B3023" s="381" t="s">
        <v>2073</v>
      </c>
    </row>
    <row r="3024" spans="1:2" ht="25.5" x14ac:dyDescent="0.2">
      <c r="A3024" s="380">
        <v>3450100</v>
      </c>
      <c r="B3024" s="381" t="s">
        <v>2074</v>
      </c>
    </row>
    <row r="3025" spans="1:2" x14ac:dyDescent="0.2">
      <c r="A3025" s="380">
        <v>3500000</v>
      </c>
      <c r="B3025" s="381" t="s">
        <v>2075</v>
      </c>
    </row>
    <row r="3026" spans="1:2" ht="25.5" x14ac:dyDescent="0.2">
      <c r="A3026" s="380">
        <v>3500100</v>
      </c>
      <c r="B3026" s="381" t="s">
        <v>2076</v>
      </c>
    </row>
    <row r="3027" spans="1:2" x14ac:dyDescent="0.2">
      <c r="A3027" s="380">
        <v>3500200</v>
      </c>
      <c r="B3027" s="381" t="s">
        <v>2077</v>
      </c>
    </row>
    <row r="3028" spans="1:2" ht="25.5" x14ac:dyDescent="0.2">
      <c r="A3028" s="380">
        <v>3500300</v>
      </c>
      <c r="B3028" s="381" t="s">
        <v>2078</v>
      </c>
    </row>
    <row r="3029" spans="1:2" ht="25.5" x14ac:dyDescent="0.2">
      <c r="A3029" s="380">
        <v>3500301</v>
      </c>
      <c r="B3029" s="381" t="s">
        <v>2079</v>
      </c>
    </row>
    <row r="3030" spans="1:2" x14ac:dyDescent="0.2">
      <c r="A3030" s="380">
        <v>3510000</v>
      </c>
      <c r="B3030" s="381" t="s">
        <v>2080</v>
      </c>
    </row>
    <row r="3031" spans="1:2" ht="25.5" x14ac:dyDescent="0.2">
      <c r="A3031" s="380">
        <v>3510100</v>
      </c>
      <c r="B3031" s="381" t="s">
        <v>2081</v>
      </c>
    </row>
    <row r="3032" spans="1:2" ht="25.5" x14ac:dyDescent="0.2">
      <c r="A3032" s="380">
        <v>3510200</v>
      </c>
      <c r="B3032" s="381" t="s">
        <v>2082</v>
      </c>
    </row>
    <row r="3033" spans="1:2" ht="25.5" x14ac:dyDescent="0.2">
      <c r="A3033" s="380">
        <v>3510300</v>
      </c>
      <c r="B3033" s="381" t="s">
        <v>2083</v>
      </c>
    </row>
    <row r="3034" spans="1:2" x14ac:dyDescent="0.2">
      <c r="A3034" s="380">
        <v>3510500</v>
      </c>
      <c r="B3034" s="381" t="s">
        <v>2084</v>
      </c>
    </row>
    <row r="3035" spans="1:2" ht="25.5" x14ac:dyDescent="0.2">
      <c r="A3035" s="380">
        <v>3510600</v>
      </c>
      <c r="B3035" s="381" t="s">
        <v>2085</v>
      </c>
    </row>
    <row r="3036" spans="1:2" ht="25.5" x14ac:dyDescent="0.2">
      <c r="A3036" s="380">
        <v>3510700</v>
      </c>
      <c r="B3036" s="381" t="s">
        <v>2086</v>
      </c>
    </row>
    <row r="3037" spans="1:2" ht="25.5" x14ac:dyDescent="0.2">
      <c r="A3037" s="380">
        <v>3510800</v>
      </c>
      <c r="B3037" s="381" t="s">
        <v>2087</v>
      </c>
    </row>
    <row r="3038" spans="1:2" x14ac:dyDescent="0.2">
      <c r="A3038" s="380">
        <v>3510900</v>
      </c>
      <c r="B3038" s="381" t="s">
        <v>2088</v>
      </c>
    </row>
    <row r="3039" spans="1:2" ht="25.5" x14ac:dyDescent="0.2">
      <c r="A3039" s="380">
        <v>3511000</v>
      </c>
      <c r="B3039" s="381" t="s">
        <v>2089</v>
      </c>
    </row>
    <row r="3040" spans="1:2" ht="25.5" x14ac:dyDescent="0.2">
      <c r="A3040" s="380">
        <v>3602600</v>
      </c>
      <c r="B3040" s="381" t="s">
        <v>2090</v>
      </c>
    </row>
    <row r="3041" spans="1:2" ht="25.5" x14ac:dyDescent="0.2">
      <c r="A3041" s="380">
        <v>3610000</v>
      </c>
      <c r="B3041" s="381" t="s">
        <v>2091</v>
      </c>
    </row>
    <row r="3042" spans="1:2" x14ac:dyDescent="0.2">
      <c r="A3042" s="380">
        <v>3610100</v>
      </c>
      <c r="B3042" s="381" t="s">
        <v>2092</v>
      </c>
    </row>
    <row r="3043" spans="1:2" x14ac:dyDescent="0.2">
      <c r="A3043" s="380">
        <v>3610101</v>
      </c>
      <c r="B3043" s="381" t="s">
        <v>2093</v>
      </c>
    </row>
    <row r="3044" spans="1:2" x14ac:dyDescent="0.2">
      <c r="A3044" s="380">
        <v>3610103</v>
      </c>
      <c r="B3044" s="381" t="s">
        <v>2094</v>
      </c>
    </row>
    <row r="3045" spans="1:2" ht="25.5" x14ac:dyDescent="0.2">
      <c r="A3045" s="380">
        <v>3610105</v>
      </c>
      <c r="B3045" s="381" t="s">
        <v>2095</v>
      </c>
    </row>
    <row r="3046" spans="1:2" ht="25.5" x14ac:dyDescent="0.2">
      <c r="A3046" s="380">
        <v>3610106</v>
      </c>
      <c r="B3046" s="381" t="s">
        <v>2096</v>
      </c>
    </row>
    <row r="3047" spans="1:2" ht="38.25" x14ac:dyDescent="0.2">
      <c r="A3047" s="380">
        <v>3610107</v>
      </c>
      <c r="B3047" s="381" t="s">
        <v>2097</v>
      </c>
    </row>
    <row r="3048" spans="1:2" x14ac:dyDescent="0.2">
      <c r="A3048" s="380">
        <v>3610300</v>
      </c>
      <c r="B3048" s="381" t="s">
        <v>2098</v>
      </c>
    </row>
    <row r="3049" spans="1:2" x14ac:dyDescent="0.2">
      <c r="A3049" s="380">
        <v>3610301</v>
      </c>
      <c r="B3049" s="381" t="s">
        <v>2099</v>
      </c>
    </row>
    <row r="3050" spans="1:2" x14ac:dyDescent="0.2">
      <c r="A3050" s="380">
        <v>3610302</v>
      </c>
      <c r="B3050" s="381" t="s">
        <v>2100</v>
      </c>
    </row>
    <row r="3051" spans="1:2" x14ac:dyDescent="0.2">
      <c r="A3051" s="380">
        <v>3610303</v>
      </c>
      <c r="B3051" s="381" t="s">
        <v>2101</v>
      </c>
    </row>
    <row r="3052" spans="1:2" x14ac:dyDescent="0.2">
      <c r="A3052" s="380">
        <v>3610304</v>
      </c>
      <c r="B3052" s="381" t="s">
        <v>2102</v>
      </c>
    </row>
    <row r="3053" spans="1:2" x14ac:dyDescent="0.2">
      <c r="A3053" s="380">
        <v>3610305</v>
      </c>
      <c r="B3053" s="381" t="s">
        <v>2103</v>
      </c>
    </row>
    <row r="3054" spans="1:2" x14ac:dyDescent="0.2">
      <c r="A3054" s="380">
        <v>3610400</v>
      </c>
      <c r="B3054" s="381" t="s">
        <v>2104</v>
      </c>
    </row>
    <row r="3055" spans="1:2" ht="25.5" x14ac:dyDescent="0.2">
      <c r="A3055" s="380">
        <v>3610403</v>
      </c>
      <c r="B3055" s="381" t="s">
        <v>2105</v>
      </c>
    </row>
    <row r="3056" spans="1:2" x14ac:dyDescent="0.2">
      <c r="A3056" s="380">
        <v>3610500</v>
      </c>
      <c r="B3056" s="381" t="s">
        <v>2106</v>
      </c>
    </row>
    <row r="3057" spans="1:2" x14ac:dyDescent="0.2">
      <c r="A3057" s="380">
        <v>3610502</v>
      </c>
      <c r="B3057" s="381" t="s">
        <v>2107</v>
      </c>
    </row>
    <row r="3058" spans="1:2" ht="25.5" x14ac:dyDescent="0.2">
      <c r="A3058" s="380">
        <v>3610600</v>
      </c>
      <c r="B3058" s="381" t="s">
        <v>2108</v>
      </c>
    </row>
    <row r="3059" spans="1:2" x14ac:dyDescent="0.2">
      <c r="A3059" s="380">
        <v>4100000</v>
      </c>
      <c r="B3059" s="381" t="s">
        <v>2109</v>
      </c>
    </row>
    <row r="3060" spans="1:2" x14ac:dyDescent="0.2">
      <c r="A3060" s="380">
        <v>4100100</v>
      </c>
      <c r="B3060" s="381" t="s">
        <v>2110</v>
      </c>
    </row>
    <row r="3061" spans="1:2" x14ac:dyDescent="0.2">
      <c r="A3061" s="380">
        <v>4110000</v>
      </c>
      <c r="B3061" s="381" t="s">
        <v>2111</v>
      </c>
    </row>
    <row r="3062" spans="1:2" x14ac:dyDescent="0.2">
      <c r="A3062" s="380">
        <v>4119900</v>
      </c>
      <c r="B3062" s="381" t="s">
        <v>1327</v>
      </c>
    </row>
    <row r="3063" spans="1:2" x14ac:dyDescent="0.2">
      <c r="A3063" s="380">
        <v>4130000</v>
      </c>
      <c r="B3063" s="381" t="s">
        <v>2112</v>
      </c>
    </row>
    <row r="3064" spans="1:2" x14ac:dyDescent="0.2">
      <c r="A3064" s="380">
        <v>4200000</v>
      </c>
      <c r="B3064" s="381" t="s">
        <v>2113</v>
      </c>
    </row>
    <row r="3065" spans="1:2" ht="25.5" x14ac:dyDescent="0.2">
      <c r="A3065" s="380">
        <v>4200100</v>
      </c>
      <c r="B3065" s="381" t="s">
        <v>2114</v>
      </c>
    </row>
    <row r="3066" spans="1:2" x14ac:dyDescent="0.2">
      <c r="A3066" s="380">
        <v>4207100</v>
      </c>
      <c r="B3066" s="381" t="s">
        <v>1315</v>
      </c>
    </row>
    <row r="3067" spans="1:2" x14ac:dyDescent="0.2">
      <c r="A3067" s="380">
        <v>4207101</v>
      </c>
      <c r="B3067" s="381" t="s">
        <v>1316</v>
      </c>
    </row>
    <row r="3068" spans="1:2" x14ac:dyDescent="0.2">
      <c r="A3068" s="380">
        <v>4207102</v>
      </c>
      <c r="B3068" s="381" t="s">
        <v>1317</v>
      </c>
    </row>
    <row r="3069" spans="1:2" x14ac:dyDescent="0.2">
      <c r="A3069" s="380">
        <v>4207103</v>
      </c>
      <c r="B3069" s="381" t="s">
        <v>1318</v>
      </c>
    </row>
    <row r="3070" spans="1:2" x14ac:dyDescent="0.2">
      <c r="A3070" s="380">
        <v>4209900</v>
      </c>
      <c r="B3070" s="381" t="s">
        <v>1327</v>
      </c>
    </row>
    <row r="3071" spans="1:2" x14ac:dyDescent="0.2">
      <c r="A3071" s="380">
        <v>4210000</v>
      </c>
      <c r="B3071" s="381" t="s">
        <v>2115</v>
      </c>
    </row>
    <row r="3072" spans="1:2" ht="25.5" x14ac:dyDescent="0.2">
      <c r="A3072" s="380">
        <v>4215600</v>
      </c>
      <c r="B3072" s="381" t="s">
        <v>1381</v>
      </c>
    </row>
    <row r="3073" spans="1:2" x14ac:dyDescent="0.2">
      <c r="A3073" s="380">
        <v>4215800</v>
      </c>
      <c r="B3073" s="381" t="s">
        <v>1309</v>
      </c>
    </row>
    <row r="3074" spans="1:2" x14ac:dyDescent="0.2">
      <c r="A3074" s="380">
        <v>4216800</v>
      </c>
      <c r="B3074" s="381" t="s">
        <v>1311</v>
      </c>
    </row>
    <row r="3075" spans="1:2" x14ac:dyDescent="0.2">
      <c r="A3075" s="380">
        <v>4216801</v>
      </c>
      <c r="B3075" s="381" t="s">
        <v>1312</v>
      </c>
    </row>
    <row r="3076" spans="1:2" ht="25.5" x14ac:dyDescent="0.2">
      <c r="A3076" s="380">
        <v>4216802</v>
      </c>
      <c r="B3076" s="381" t="s">
        <v>1313</v>
      </c>
    </row>
    <row r="3077" spans="1:2" x14ac:dyDescent="0.2">
      <c r="A3077" s="380">
        <v>4217100</v>
      </c>
      <c r="B3077" s="381" t="s">
        <v>1315</v>
      </c>
    </row>
    <row r="3078" spans="1:2" x14ac:dyDescent="0.2">
      <c r="A3078" s="380">
        <v>4217101</v>
      </c>
      <c r="B3078" s="381" t="s">
        <v>1316</v>
      </c>
    </row>
    <row r="3079" spans="1:2" x14ac:dyDescent="0.2">
      <c r="A3079" s="380">
        <v>4217102</v>
      </c>
      <c r="B3079" s="381" t="s">
        <v>1317</v>
      </c>
    </row>
    <row r="3080" spans="1:2" x14ac:dyDescent="0.2">
      <c r="A3080" s="380">
        <v>4217103</v>
      </c>
      <c r="B3080" s="381" t="s">
        <v>1318</v>
      </c>
    </row>
    <row r="3081" spans="1:2" x14ac:dyDescent="0.2">
      <c r="A3081" s="380">
        <v>4217200</v>
      </c>
      <c r="B3081" s="381" t="s">
        <v>1319</v>
      </c>
    </row>
    <row r="3082" spans="1:2" x14ac:dyDescent="0.2">
      <c r="A3082" s="380">
        <v>4217201</v>
      </c>
      <c r="B3082" s="381" t="s">
        <v>1320</v>
      </c>
    </row>
    <row r="3083" spans="1:2" x14ac:dyDescent="0.2">
      <c r="A3083" s="380">
        <v>4217202</v>
      </c>
      <c r="B3083" s="381" t="s">
        <v>1321</v>
      </c>
    </row>
    <row r="3084" spans="1:2" x14ac:dyDescent="0.2">
      <c r="A3084" s="380">
        <v>4217203</v>
      </c>
      <c r="B3084" s="381" t="s">
        <v>1322</v>
      </c>
    </row>
    <row r="3085" spans="1:2" x14ac:dyDescent="0.2">
      <c r="A3085" s="380">
        <v>4219900</v>
      </c>
      <c r="B3085" s="381" t="s">
        <v>1327</v>
      </c>
    </row>
    <row r="3086" spans="1:2" x14ac:dyDescent="0.2">
      <c r="A3086" s="380">
        <v>4220000</v>
      </c>
      <c r="B3086" s="381" t="s">
        <v>2116</v>
      </c>
    </row>
    <row r="3087" spans="1:2" x14ac:dyDescent="0.2">
      <c r="A3087" s="380">
        <v>4229900</v>
      </c>
      <c r="B3087" s="381" t="s">
        <v>1327</v>
      </c>
    </row>
    <row r="3088" spans="1:2" x14ac:dyDescent="0.2">
      <c r="A3088" s="380">
        <v>4230000</v>
      </c>
      <c r="B3088" s="381" t="s">
        <v>2117</v>
      </c>
    </row>
    <row r="3089" spans="1:2" x14ac:dyDescent="0.2">
      <c r="A3089" s="380">
        <v>4231200</v>
      </c>
      <c r="B3089" s="381" t="s">
        <v>2118</v>
      </c>
    </row>
    <row r="3090" spans="1:2" ht="25.5" x14ac:dyDescent="0.2">
      <c r="A3090" s="380">
        <v>4235600</v>
      </c>
      <c r="B3090" s="381" t="s">
        <v>1381</v>
      </c>
    </row>
    <row r="3091" spans="1:2" x14ac:dyDescent="0.2">
      <c r="A3091" s="380">
        <v>4239900</v>
      </c>
      <c r="B3091" s="381" t="s">
        <v>1327</v>
      </c>
    </row>
    <row r="3092" spans="1:2" x14ac:dyDescent="0.2">
      <c r="A3092" s="380">
        <v>4240000</v>
      </c>
      <c r="B3092" s="381" t="s">
        <v>2119</v>
      </c>
    </row>
    <row r="3093" spans="1:2" ht="25.5" x14ac:dyDescent="0.2">
      <c r="A3093" s="380">
        <v>4240200</v>
      </c>
      <c r="B3093" s="381" t="s">
        <v>2120</v>
      </c>
    </row>
    <row r="3094" spans="1:2" x14ac:dyDescent="0.2">
      <c r="A3094" s="380">
        <v>4249900</v>
      </c>
      <c r="B3094" s="381" t="s">
        <v>1327</v>
      </c>
    </row>
    <row r="3095" spans="1:2" x14ac:dyDescent="0.2">
      <c r="A3095" s="380">
        <v>4250000</v>
      </c>
      <c r="B3095" s="381" t="s">
        <v>2121</v>
      </c>
    </row>
    <row r="3096" spans="1:2" x14ac:dyDescent="0.2">
      <c r="A3096" s="380">
        <v>4259900</v>
      </c>
      <c r="B3096" s="381" t="s">
        <v>1327</v>
      </c>
    </row>
    <row r="3097" spans="1:2" x14ac:dyDescent="0.2">
      <c r="A3097" s="380">
        <v>4260000</v>
      </c>
      <c r="B3097" s="381" t="s">
        <v>2122</v>
      </c>
    </row>
    <row r="3098" spans="1:2" x14ac:dyDescent="0.2">
      <c r="A3098" s="380">
        <v>4265800</v>
      </c>
      <c r="B3098" s="381" t="s">
        <v>1309</v>
      </c>
    </row>
    <row r="3099" spans="1:2" x14ac:dyDescent="0.2">
      <c r="A3099" s="380">
        <v>4269900</v>
      </c>
      <c r="B3099" s="381" t="s">
        <v>1327</v>
      </c>
    </row>
    <row r="3100" spans="1:2" x14ac:dyDescent="0.2">
      <c r="A3100" s="380">
        <v>4270000</v>
      </c>
      <c r="B3100" s="381" t="s">
        <v>2123</v>
      </c>
    </row>
    <row r="3101" spans="1:2" x14ac:dyDescent="0.2">
      <c r="A3101" s="380">
        <v>4275800</v>
      </c>
      <c r="B3101" s="381" t="s">
        <v>1309</v>
      </c>
    </row>
    <row r="3102" spans="1:2" x14ac:dyDescent="0.2">
      <c r="A3102" s="380">
        <v>4276800</v>
      </c>
      <c r="B3102" s="381" t="s">
        <v>1311</v>
      </c>
    </row>
    <row r="3103" spans="1:2" x14ac:dyDescent="0.2">
      <c r="A3103" s="380">
        <v>4276801</v>
      </c>
      <c r="B3103" s="381" t="s">
        <v>1312</v>
      </c>
    </row>
    <row r="3104" spans="1:2" ht="25.5" x14ac:dyDescent="0.2">
      <c r="A3104" s="380">
        <v>4276802</v>
      </c>
      <c r="B3104" s="381" t="s">
        <v>1313</v>
      </c>
    </row>
    <row r="3105" spans="1:2" x14ac:dyDescent="0.2">
      <c r="A3105" s="380">
        <v>4277100</v>
      </c>
      <c r="B3105" s="381" t="s">
        <v>1315</v>
      </c>
    </row>
    <row r="3106" spans="1:2" x14ac:dyDescent="0.2">
      <c r="A3106" s="380">
        <v>4277101</v>
      </c>
      <c r="B3106" s="381" t="s">
        <v>1316</v>
      </c>
    </row>
    <row r="3107" spans="1:2" x14ac:dyDescent="0.2">
      <c r="A3107" s="380">
        <v>4277102</v>
      </c>
      <c r="B3107" s="381" t="s">
        <v>1317</v>
      </c>
    </row>
    <row r="3108" spans="1:2" x14ac:dyDescent="0.2">
      <c r="A3108" s="380">
        <v>4277103</v>
      </c>
      <c r="B3108" s="381" t="s">
        <v>1318</v>
      </c>
    </row>
    <row r="3109" spans="1:2" x14ac:dyDescent="0.2">
      <c r="A3109" s="380">
        <v>4277200</v>
      </c>
      <c r="B3109" s="381" t="s">
        <v>1319</v>
      </c>
    </row>
    <row r="3110" spans="1:2" x14ac:dyDescent="0.2">
      <c r="A3110" s="380">
        <v>4277201</v>
      </c>
      <c r="B3110" s="381" t="s">
        <v>1320</v>
      </c>
    </row>
    <row r="3111" spans="1:2" x14ac:dyDescent="0.2">
      <c r="A3111" s="380">
        <v>4277202</v>
      </c>
      <c r="B3111" s="381" t="s">
        <v>1321</v>
      </c>
    </row>
    <row r="3112" spans="1:2" x14ac:dyDescent="0.2">
      <c r="A3112" s="380">
        <v>4277203</v>
      </c>
      <c r="B3112" s="381" t="s">
        <v>1322</v>
      </c>
    </row>
    <row r="3113" spans="1:2" x14ac:dyDescent="0.2">
      <c r="A3113" s="380">
        <v>4277600</v>
      </c>
      <c r="B3113" s="381" t="s">
        <v>2124</v>
      </c>
    </row>
    <row r="3114" spans="1:2" x14ac:dyDescent="0.2">
      <c r="A3114" s="380">
        <v>4279900</v>
      </c>
      <c r="B3114" s="381" t="s">
        <v>1327</v>
      </c>
    </row>
    <row r="3115" spans="1:2" x14ac:dyDescent="0.2">
      <c r="A3115" s="380">
        <v>4280000</v>
      </c>
      <c r="B3115" s="381" t="s">
        <v>2125</v>
      </c>
    </row>
    <row r="3116" spans="1:2" x14ac:dyDescent="0.2">
      <c r="A3116" s="380">
        <v>4280100</v>
      </c>
      <c r="B3116" s="381" t="s">
        <v>2126</v>
      </c>
    </row>
    <row r="3117" spans="1:2" x14ac:dyDescent="0.2">
      <c r="A3117" s="380">
        <v>4285800</v>
      </c>
      <c r="B3117" s="381" t="s">
        <v>1309</v>
      </c>
    </row>
    <row r="3118" spans="1:2" x14ac:dyDescent="0.2">
      <c r="A3118" s="380">
        <v>4286800</v>
      </c>
      <c r="B3118" s="381" t="s">
        <v>1311</v>
      </c>
    </row>
    <row r="3119" spans="1:2" x14ac:dyDescent="0.2">
      <c r="A3119" s="380">
        <v>4286801</v>
      </c>
      <c r="B3119" s="381" t="s">
        <v>1312</v>
      </c>
    </row>
    <row r="3120" spans="1:2" ht="25.5" x14ac:dyDescent="0.2">
      <c r="A3120" s="380">
        <v>4286802</v>
      </c>
      <c r="B3120" s="381" t="s">
        <v>1313</v>
      </c>
    </row>
    <row r="3121" spans="1:2" x14ac:dyDescent="0.2">
      <c r="A3121" s="380">
        <v>4287100</v>
      </c>
      <c r="B3121" s="381" t="s">
        <v>1315</v>
      </c>
    </row>
    <row r="3122" spans="1:2" x14ac:dyDescent="0.2">
      <c r="A3122" s="380">
        <v>4287101</v>
      </c>
      <c r="B3122" s="381" t="s">
        <v>1316</v>
      </c>
    </row>
    <row r="3123" spans="1:2" x14ac:dyDescent="0.2">
      <c r="A3123" s="380">
        <v>4287102</v>
      </c>
      <c r="B3123" s="381" t="s">
        <v>1317</v>
      </c>
    </row>
    <row r="3124" spans="1:2" x14ac:dyDescent="0.2">
      <c r="A3124" s="380">
        <v>4287103</v>
      </c>
      <c r="B3124" s="381" t="s">
        <v>1318</v>
      </c>
    </row>
    <row r="3125" spans="1:2" x14ac:dyDescent="0.2">
      <c r="A3125" s="380">
        <v>4287200</v>
      </c>
      <c r="B3125" s="381" t="s">
        <v>1319</v>
      </c>
    </row>
    <row r="3126" spans="1:2" x14ac:dyDescent="0.2">
      <c r="A3126" s="380">
        <v>4287201</v>
      </c>
      <c r="B3126" s="381" t="s">
        <v>1320</v>
      </c>
    </row>
    <row r="3127" spans="1:2" x14ac:dyDescent="0.2">
      <c r="A3127" s="380">
        <v>4287202</v>
      </c>
      <c r="B3127" s="381" t="s">
        <v>1321</v>
      </c>
    </row>
    <row r="3128" spans="1:2" x14ac:dyDescent="0.2">
      <c r="A3128" s="380">
        <v>4287203</v>
      </c>
      <c r="B3128" s="381" t="s">
        <v>1322</v>
      </c>
    </row>
    <row r="3129" spans="1:2" x14ac:dyDescent="0.2">
      <c r="A3129" s="380">
        <v>4287300</v>
      </c>
      <c r="B3129" s="381" t="s">
        <v>2127</v>
      </c>
    </row>
    <row r="3130" spans="1:2" x14ac:dyDescent="0.2">
      <c r="A3130" s="380">
        <v>4287600</v>
      </c>
      <c r="B3130" s="381" t="s">
        <v>1324</v>
      </c>
    </row>
    <row r="3131" spans="1:2" x14ac:dyDescent="0.2">
      <c r="A3131" s="380">
        <v>4287800</v>
      </c>
      <c r="B3131" s="381" t="s">
        <v>2128</v>
      </c>
    </row>
    <row r="3132" spans="1:2" x14ac:dyDescent="0.2">
      <c r="A3132" s="380">
        <v>4289900</v>
      </c>
      <c r="B3132" s="381" t="s">
        <v>1327</v>
      </c>
    </row>
    <row r="3133" spans="1:2" x14ac:dyDescent="0.2">
      <c r="A3133" s="380">
        <v>4290000</v>
      </c>
      <c r="B3133" s="381" t="s">
        <v>2129</v>
      </c>
    </row>
    <row r="3134" spans="1:2" x14ac:dyDescent="0.2">
      <c r="A3134" s="380">
        <v>4297800</v>
      </c>
      <c r="B3134" s="381" t="s">
        <v>2128</v>
      </c>
    </row>
    <row r="3135" spans="1:2" x14ac:dyDescent="0.2">
      <c r="A3135" s="380">
        <v>4299900</v>
      </c>
      <c r="B3135" s="381" t="s">
        <v>1327</v>
      </c>
    </row>
    <row r="3136" spans="1:2" x14ac:dyDescent="0.2">
      <c r="A3136" s="380">
        <v>4300000</v>
      </c>
      <c r="B3136" s="381" t="s">
        <v>2130</v>
      </c>
    </row>
    <row r="3137" spans="1:2" x14ac:dyDescent="0.2">
      <c r="A3137" s="380">
        <v>4300100</v>
      </c>
      <c r="B3137" s="381" t="s">
        <v>2131</v>
      </c>
    </row>
    <row r="3138" spans="1:2" x14ac:dyDescent="0.2">
      <c r="A3138" s="380">
        <v>4300200</v>
      </c>
      <c r="B3138" s="381" t="s">
        <v>2132</v>
      </c>
    </row>
    <row r="3139" spans="1:2" x14ac:dyDescent="0.2">
      <c r="A3139" s="380">
        <v>4300201</v>
      </c>
      <c r="B3139" s="381" t="s">
        <v>2133</v>
      </c>
    </row>
    <row r="3140" spans="1:2" ht="38.25" x14ac:dyDescent="0.2">
      <c r="A3140" s="380">
        <v>4300202</v>
      </c>
      <c r="B3140" s="381" t="s">
        <v>2134</v>
      </c>
    </row>
    <row r="3141" spans="1:2" x14ac:dyDescent="0.2">
      <c r="A3141" s="380">
        <v>4300300</v>
      </c>
      <c r="B3141" s="381" t="s">
        <v>2135</v>
      </c>
    </row>
    <row r="3142" spans="1:2" ht="25.5" x14ac:dyDescent="0.2">
      <c r="A3142" s="380">
        <v>4300400</v>
      </c>
      <c r="B3142" s="381" t="s">
        <v>2136</v>
      </c>
    </row>
    <row r="3143" spans="1:2" ht="38.25" x14ac:dyDescent="0.2">
      <c r="A3143" s="380">
        <v>4300500</v>
      </c>
      <c r="B3143" s="381" t="s">
        <v>2137</v>
      </c>
    </row>
    <row r="3144" spans="1:2" ht="25.5" x14ac:dyDescent="0.2">
      <c r="A3144" s="380">
        <v>4305600</v>
      </c>
      <c r="B3144" s="381" t="s">
        <v>1381</v>
      </c>
    </row>
    <row r="3145" spans="1:2" x14ac:dyDescent="0.2">
      <c r="A3145" s="380">
        <v>4305800</v>
      </c>
      <c r="B3145" s="381" t="s">
        <v>1309</v>
      </c>
    </row>
    <row r="3146" spans="1:2" x14ac:dyDescent="0.2">
      <c r="A3146" s="380">
        <v>4306200</v>
      </c>
      <c r="B3146" s="381" t="s">
        <v>1800</v>
      </c>
    </row>
    <row r="3147" spans="1:2" x14ac:dyDescent="0.2">
      <c r="A3147" s="380">
        <v>4306800</v>
      </c>
      <c r="B3147" s="381" t="s">
        <v>1311</v>
      </c>
    </row>
    <row r="3148" spans="1:2" x14ac:dyDescent="0.2">
      <c r="A3148" s="380">
        <v>4306801</v>
      </c>
      <c r="B3148" s="381" t="s">
        <v>1312</v>
      </c>
    </row>
    <row r="3149" spans="1:2" ht="25.5" x14ac:dyDescent="0.2">
      <c r="A3149" s="380">
        <v>4306802</v>
      </c>
      <c r="B3149" s="381" t="s">
        <v>1313</v>
      </c>
    </row>
    <row r="3150" spans="1:2" x14ac:dyDescent="0.2">
      <c r="A3150" s="380">
        <v>4307100</v>
      </c>
      <c r="B3150" s="381" t="s">
        <v>1315</v>
      </c>
    </row>
    <row r="3151" spans="1:2" x14ac:dyDescent="0.2">
      <c r="A3151" s="380">
        <v>4307101</v>
      </c>
      <c r="B3151" s="381" t="s">
        <v>1316</v>
      </c>
    </row>
    <row r="3152" spans="1:2" x14ac:dyDescent="0.2">
      <c r="A3152" s="380">
        <v>4307102</v>
      </c>
      <c r="B3152" s="381" t="s">
        <v>1317</v>
      </c>
    </row>
    <row r="3153" spans="1:2" x14ac:dyDescent="0.2">
      <c r="A3153" s="380">
        <v>4307103</v>
      </c>
      <c r="B3153" s="381" t="s">
        <v>1318</v>
      </c>
    </row>
    <row r="3154" spans="1:2" x14ac:dyDescent="0.2">
      <c r="A3154" s="380">
        <v>4307200</v>
      </c>
      <c r="B3154" s="381" t="s">
        <v>1319</v>
      </c>
    </row>
    <row r="3155" spans="1:2" x14ac:dyDescent="0.2">
      <c r="A3155" s="380">
        <v>4307201</v>
      </c>
      <c r="B3155" s="381" t="s">
        <v>1320</v>
      </c>
    </row>
    <row r="3156" spans="1:2" x14ac:dyDescent="0.2">
      <c r="A3156" s="380">
        <v>4307202</v>
      </c>
      <c r="B3156" s="381" t="s">
        <v>1321</v>
      </c>
    </row>
    <row r="3157" spans="1:2" x14ac:dyDescent="0.2">
      <c r="A3157" s="380">
        <v>4307203</v>
      </c>
      <c r="B3157" s="381" t="s">
        <v>1322</v>
      </c>
    </row>
    <row r="3158" spans="1:2" x14ac:dyDescent="0.2">
      <c r="A3158" s="380">
        <v>4307300</v>
      </c>
      <c r="B3158" s="381" t="s">
        <v>2127</v>
      </c>
    </row>
    <row r="3159" spans="1:2" x14ac:dyDescent="0.2">
      <c r="A3159" s="380">
        <v>4307600</v>
      </c>
      <c r="B3159" s="381" t="s">
        <v>1324</v>
      </c>
    </row>
    <row r="3160" spans="1:2" x14ac:dyDescent="0.2">
      <c r="A3160" s="380">
        <v>4309200</v>
      </c>
      <c r="B3160" s="381" t="s">
        <v>1377</v>
      </c>
    </row>
    <row r="3161" spans="1:2" x14ac:dyDescent="0.2">
      <c r="A3161" s="380">
        <v>4309900</v>
      </c>
      <c r="B3161" s="381" t="s">
        <v>1327</v>
      </c>
    </row>
    <row r="3162" spans="1:2" x14ac:dyDescent="0.2">
      <c r="A3162" s="380">
        <v>4310000</v>
      </c>
      <c r="B3162" s="381" t="s">
        <v>2138</v>
      </c>
    </row>
    <row r="3163" spans="1:2" x14ac:dyDescent="0.2">
      <c r="A3163" s="380">
        <v>4310100</v>
      </c>
      <c r="B3163" s="381" t="s">
        <v>2139</v>
      </c>
    </row>
    <row r="3164" spans="1:2" x14ac:dyDescent="0.2">
      <c r="A3164" s="380">
        <v>4310102</v>
      </c>
      <c r="B3164" s="381" t="s">
        <v>2140</v>
      </c>
    </row>
    <row r="3165" spans="1:2" x14ac:dyDescent="0.2">
      <c r="A3165" s="380">
        <v>4310104</v>
      </c>
      <c r="B3165" s="381" t="s">
        <v>2139</v>
      </c>
    </row>
    <row r="3166" spans="1:2" ht="25.5" x14ac:dyDescent="0.2">
      <c r="A3166" s="380">
        <v>4310200</v>
      </c>
      <c r="B3166" s="381" t="s">
        <v>2141</v>
      </c>
    </row>
    <row r="3167" spans="1:2" x14ac:dyDescent="0.2">
      <c r="A3167" s="380">
        <v>4319400</v>
      </c>
      <c r="B3167" s="381" t="s">
        <v>1379</v>
      </c>
    </row>
    <row r="3168" spans="1:2" x14ac:dyDescent="0.2">
      <c r="A3168" s="380">
        <v>4319900</v>
      </c>
      <c r="B3168" s="381" t="s">
        <v>1327</v>
      </c>
    </row>
    <row r="3169" spans="1:2" x14ac:dyDescent="0.2">
      <c r="A3169" s="380">
        <v>4320000</v>
      </c>
      <c r="B3169" s="381" t="s">
        <v>2142</v>
      </c>
    </row>
    <row r="3170" spans="1:2" x14ac:dyDescent="0.2">
      <c r="A3170" s="380">
        <v>4320100</v>
      </c>
      <c r="B3170" s="381" t="s">
        <v>2143</v>
      </c>
    </row>
    <row r="3171" spans="1:2" x14ac:dyDescent="0.2">
      <c r="A3171" s="380">
        <v>4320200</v>
      </c>
      <c r="B3171" s="381" t="s">
        <v>2144</v>
      </c>
    </row>
    <row r="3172" spans="1:2" x14ac:dyDescent="0.2">
      <c r="A3172" s="380">
        <v>4320201</v>
      </c>
      <c r="B3172" s="381" t="s">
        <v>2145</v>
      </c>
    </row>
    <row r="3173" spans="1:2" x14ac:dyDescent="0.2">
      <c r="A3173" s="380">
        <v>4320202</v>
      </c>
      <c r="B3173" s="381" t="s">
        <v>2146</v>
      </c>
    </row>
    <row r="3174" spans="1:2" x14ac:dyDescent="0.2">
      <c r="A3174" s="380">
        <v>4320203</v>
      </c>
      <c r="B3174" s="381" t="s">
        <v>2147</v>
      </c>
    </row>
    <row r="3175" spans="1:2" x14ac:dyDescent="0.2">
      <c r="A3175" s="380">
        <v>4325800</v>
      </c>
      <c r="B3175" s="381" t="s">
        <v>1309</v>
      </c>
    </row>
    <row r="3176" spans="1:2" x14ac:dyDescent="0.2">
      <c r="A3176" s="380">
        <v>4326200</v>
      </c>
      <c r="B3176" s="381" t="s">
        <v>1800</v>
      </c>
    </row>
    <row r="3177" spans="1:2" x14ac:dyDescent="0.2">
      <c r="A3177" s="380">
        <v>4326800</v>
      </c>
      <c r="B3177" s="381" t="s">
        <v>1311</v>
      </c>
    </row>
    <row r="3178" spans="1:2" x14ac:dyDescent="0.2">
      <c r="A3178" s="380">
        <v>4326801</v>
      </c>
      <c r="B3178" s="381" t="s">
        <v>1312</v>
      </c>
    </row>
    <row r="3179" spans="1:2" ht="25.5" x14ac:dyDescent="0.2">
      <c r="A3179" s="380">
        <v>4326802</v>
      </c>
      <c r="B3179" s="381" t="s">
        <v>1313</v>
      </c>
    </row>
    <row r="3180" spans="1:2" x14ac:dyDescent="0.2">
      <c r="A3180" s="380">
        <v>4327100</v>
      </c>
      <c r="B3180" s="381" t="s">
        <v>1315</v>
      </c>
    </row>
    <row r="3181" spans="1:2" x14ac:dyDescent="0.2">
      <c r="A3181" s="380">
        <v>4327101</v>
      </c>
      <c r="B3181" s="381" t="s">
        <v>1316</v>
      </c>
    </row>
    <row r="3182" spans="1:2" x14ac:dyDescent="0.2">
      <c r="A3182" s="380">
        <v>4327102</v>
      </c>
      <c r="B3182" s="381" t="s">
        <v>1317</v>
      </c>
    </row>
    <row r="3183" spans="1:2" x14ac:dyDescent="0.2">
      <c r="A3183" s="380">
        <v>4327103</v>
      </c>
      <c r="B3183" s="381" t="s">
        <v>1318</v>
      </c>
    </row>
    <row r="3184" spans="1:2" x14ac:dyDescent="0.2">
      <c r="A3184" s="380">
        <v>4327200</v>
      </c>
      <c r="B3184" s="381" t="s">
        <v>1319</v>
      </c>
    </row>
    <row r="3185" spans="1:2" x14ac:dyDescent="0.2">
      <c r="A3185" s="380">
        <v>4327201</v>
      </c>
      <c r="B3185" s="381" t="s">
        <v>1320</v>
      </c>
    </row>
    <row r="3186" spans="1:2" x14ac:dyDescent="0.2">
      <c r="A3186" s="380">
        <v>4327202</v>
      </c>
      <c r="B3186" s="381" t="s">
        <v>1321</v>
      </c>
    </row>
    <row r="3187" spans="1:2" x14ac:dyDescent="0.2">
      <c r="A3187" s="380">
        <v>4327203</v>
      </c>
      <c r="B3187" s="381" t="s">
        <v>1322</v>
      </c>
    </row>
    <row r="3188" spans="1:2" x14ac:dyDescent="0.2">
      <c r="A3188" s="380">
        <v>4329900</v>
      </c>
      <c r="B3188" s="381" t="s">
        <v>1327</v>
      </c>
    </row>
    <row r="3189" spans="1:2" x14ac:dyDescent="0.2">
      <c r="A3189" s="380">
        <v>4350000</v>
      </c>
      <c r="B3189" s="381" t="s">
        <v>2148</v>
      </c>
    </row>
    <row r="3190" spans="1:2" x14ac:dyDescent="0.2">
      <c r="A3190" s="380">
        <v>4359900</v>
      </c>
      <c r="B3190" s="381" t="s">
        <v>1327</v>
      </c>
    </row>
    <row r="3191" spans="1:2" x14ac:dyDescent="0.2">
      <c r="A3191" s="380">
        <v>4360000</v>
      </c>
      <c r="B3191" s="381" t="s">
        <v>2149</v>
      </c>
    </row>
    <row r="3192" spans="1:2" x14ac:dyDescent="0.2">
      <c r="A3192" s="380">
        <v>4360100</v>
      </c>
      <c r="B3192" s="381" t="s">
        <v>752</v>
      </c>
    </row>
    <row r="3193" spans="1:2" x14ac:dyDescent="0.2">
      <c r="A3193" s="380">
        <v>4360200</v>
      </c>
      <c r="B3193" s="381" t="s">
        <v>2150</v>
      </c>
    </row>
    <row r="3194" spans="1:2" x14ac:dyDescent="0.2">
      <c r="A3194" s="380">
        <v>4360300</v>
      </c>
      <c r="B3194" s="381" t="s">
        <v>2151</v>
      </c>
    </row>
    <row r="3195" spans="1:2" x14ac:dyDescent="0.2">
      <c r="A3195" s="380">
        <v>4360400</v>
      </c>
      <c r="B3195" s="381" t="s">
        <v>2152</v>
      </c>
    </row>
    <row r="3196" spans="1:2" x14ac:dyDescent="0.2">
      <c r="A3196" s="380">
        <v>4360500</v>
      </c>
      <c r="B3196" s="381" t="s">
        <v>2153</v>
      </c>
    </row>
    <row r="3197" spans="1:2" x14ac:dyDescent="0.2">
      <c r="A3197" s="380">
        <v>4360600</v>
      </c>
      <c r="B3197" s="381" t="s">
        <v>2154</v>
      </c>
    </row>
    <row r="3198" spans="1:2" x14ac:dyDescent="0.2">
      <c r="A3198" s="380">
        <v>4360700</v>
      </c>
      <c r="B3198" s="381" t="s">
        <v>2155</v>
      </c>
    </row>
    <row r="3199" spans="1:2" ht="25.5" x14ac:dyDescent="0.2">
      <c r="A3199" s="380">
        <v>4360800</v>
      </c>
      <c r="B3199" s="381" t="s">
        <v>2156</v>
      </c>
    </row>
    <row r="3200" spans="1:2" x14ac:dyDescent="0.2">
      <c r="A3200" s="380">
        <v>4360900</v>
      </c>
      <c r="B3200" s="381" t="s">
        <v>2139</v>
      </c>
    </row>
    <row r="3201" spans="1:2" x14ac:dyDescent="0.2">
      <c r="A3201" s="380">
        <v>4361000</v>
      </c>
      <c r="B3201" s="381" t="s">
        <v>1323</v>
      </c>
    </row>
    <row r="3202" spans="1:2" x14ac:dyDescent="0.2">
      <c r="A3202" s="380">
        <v>4361100</v>
      </c>
      <c r="B3202" s="381" t="s">
        <v>2157</v>
      </c>
    </row>
    <row r="3203" spans="1:2" x14ac:dyDescent="0.2">
      <c r="A3203" s="380">
        <v>4361200</v>
      </c>
      <c r="B3203" s="381" t="s">
        <v>2118</v>
      </c>
    </row>
    <row r="3204" spans="1:2" x14ac:dyDescent="0.2">
      <c r="A3204" s="380">
        <v>4361400</v>
      </c>
      <c r="B3204" s="381" t="s">
        <v>2158</v>
      </c>
    </row>
    <row r="3205" spans="1:2" ht="25.5" x14ac:dyDescent="0.2">
      <c r="A3205" s="380">
        <v>4361500</v>
      </c>
      <c r="B3205" s="381" t="s">
        <v>2159</v>
      </c>
    </row>
    <row r="3206" spans="1:2" x14ac:dyDescent="0.2">
      <c r="A3206" s="380">
        <v>4361600</v>
      </c>
      <c r="B3206" s="381" t="s">
        <v>2160</v>
      </c>
    </row>
    <row r="3207" spans="1:2" x14ac:dyDescent="0.2">
      <c r="A3207" s="380">
        <v>4361700</v>
      </c>
      <c r="B3207" s="381" t="s">
        <v>2161</v>
      </c>
    </row>
    <row r="3208" spans="1:2" x14ac:dyDescent="0.2">
      <c r="A3208" s="380">
        <v>4361800</v>
      </c>
      <c r="B3208" s="381" t="s">
        <v>2162</v>
      </c>
    </row>
    <row r="3209" spans="1:2" x14ac:dyDescent="0.2">
      <c r="A3209" s="380">
        <v>4361900</v>
      </c>
      <c r="B3209" s="381" t="s">
        <v>2163</v>
      </c>
    </row>
    <row r="3210" spans="1:2" ht="25.5" x14ac:dyDescent="0.2">
      <c r="A3210" s="380">
        <v>4361901</v>
      </c>
      <c r="B3210" s="381" t="s">
        <v>2164</v>
      </c>
    </row>
    <row r="3211" spans="1:2" ht="25.5" x14ac:dyDescent="0.2">
      <c r="A3211" s="380">
        <v>4361902</v>
      </c>
      <c r="B3211" s="381" t="s">
        <v>2165</v>
      </c>
    </row>
    <row r="3212" spans="1:2" x14ac:dyDescent="0.2">
      <c r="A3212" s="380">
        <v>4362000</v>
      </c>
      <c r="B3212" s="381" t="s">
        <v>2166</v>
      </c>
    </row>
    <row r="3213" spans="1:2" x14ac:dyDescent="0.2">
      <c r="A3213" s="380">
        <v>4362100</v>
      </c>
      <c r="B3213" s="381" t="s">
        <v>2167</v>
      </c>
    </row>
    <row r="3214" spans="1:2" ht="25.5" x14ac:dyDescent="0.2">
      <c r="A3214" s="380">
        <v>4369300</v>
      </c>
      <c r="B3214" s="381" t="s">
        <v>1378</v>
      </c>
    </row>
    <row r="3215" spans="1:2" x14ac:dyDescent="0.2">
      <c r="A3215" s="380">
        <v>4369400</v>
      </c>
      <c r="B3215" s="381" t="s">
        <v>1379</v>
      </c>
    </row>
    <row r="3216" spans="1:2" x14ac:dyDescent="0.2">
      <c r="A3216" s="380">
        <v>4400000</v>
      </c>
      <c r="B3216" s="381" t="s">
        <v>2168</v>
      </c>
    </row>
    <row r="3217" spans="1:2" x14ac:dyDescent="0.2">
      <c r="A3217" s="380">
        <v>4400100</v>
      </c>
      <c r="B3217" s="381" t="s">
        <v>2169</v>
      </c>
    </row>
    <row r="3218" spans="1:2" x14ac:dyDescent="0.2">
      <c r="A3218" s="380">
        <v>4400200</v>
      </c>
      <c r="B3218" s="381" t="s">
        <v>2170</v>
      </c>
    </row>
    <row r="3219" spans="1:2" ht="25.5" x14ac:dyDescent="0.2">
      <c r="A3219" s="380">
        <v>4400300</v>
      </c>
      <c r="B3219" s="381" t="s">
        <v>2171</v>
      </c>
    </row>
    <row r="3220" spans="1:2" x14ac:dyDescent="0.2">
      <c r="A3220" s="380">
        <v>4400400</v>
      </c>
      <c r="B3220" s="381" t="s">
        <v>2172</v>
      </c>
    </row>
    <row r="3221" spans="1:2" x14ac:dyDescent="0.2">
      <c r="A3221" s="380">
        <v>4400500</v>
      </c>
      <c r="B3221" s="381" t="s">
        <v>2173</v>
      </c>
    </row>
    <row r="3222" spans="1:2" x14ac:dyDescent="0.2">
      <c r="A3222" s="380">
        <v>4400600</v>
      </c>
      <c r="B3222" s="381" t="s">
        <v>2174</v>
      </c>
    </row>
    <row r="3223" spans="1:2" x14ac:dyDescent="0.2">
      <c r="A3223" s="380">
        <v>4400700</v>
      </c>
      <c r="B3223" s="381" t="s">
        <v>2175</v>
      </c>
    </row>
    <row r="3224" spans="1:2" ht="25.5" x14ac:dyDescent="0.2">
      <c r="A3224" s="380">
        <v>4400800</v>
      </c>
      <c r="B3224" s="381" t="s">
        <v>2176</v>
      </c>
    </row>
    <row r="3225" spans="1:2" x14ac:dyDescent="0.2">
      <c r="A3225" s="380">
        <v>4400900</v>
      </c>
      <c r="B3225" s="381" t="s">
        <v>2177</v>
      </c>
    </row>
    <row r="3226" spans="1:2" x14ac:dyDescent="0.2">
      <c r="A3226" s="380">
        <v>4405800</v>
      </c>
      <c r="B3226" s="381" t="s">
        <v>1309</v>
      </c>
    </row>
    <row r="3227" spans="1:2" x14ac:dyDescent="0.2">
      <c r="A3227" s="380">
        <v>4409200</v>
      </c>
      <c r="B3227" s="381" t="s">
        <v>1377</v>
      </c>
    </row>
    <row r="3228" spans="1:2" x14ac:dyDescent="0.2">
      <c r="A3228" s="380">
        <v>4409400</v>
      </c>
      <c r="B3228" s="381" t="s">
        <v>1379</v>
      </c>
    </row>
    <row r="3229" spans="1:2" x14ac:dyDescent="0.2">
      <c r="A3229" s="380">
        <v>4409900</v>
      </c>
      <c r="B3229" s="381" t="s">
        <v>1327</v>
      </c>
    </row>
    <row r="3230" spans="1:2" x14ac:dyDescent="0.2">
      <c r="A3230" s="380">
        <v>4410000</v>
      </c>
      <c r="B3230" s="381" t="s">
        <v>2178</v>
      </c>
    </row>
    <row r="3231" spans="1:2" x14ac:dyDescent="0.2">
      <c r="A3231" s="380">
        <v>4415800</v>
      </c>
      <c r="B3231" s="381" t="s">
        <v>1309</v>
      </c>
    </row>
    <row r="3232" spans="1:2" x14ac:dyDescent="0.2">
      <c r="A3232" s="380">
        <v>4417100</v>
      </c>
      <c r="B3232" s="381" t="s">
        <v>1315</v>
      </c>
    </row>
    <row r="3233" spans="1:2" x14ac:dyDescent="0.2">
      <c r="A3233" s="380">
        <v>4417101</v>
      </c>
      <c r="B3233" s="381" t="s">
        <v>1316</v>
      </c>
    </row>
    <row r="3234" spans="1:2" x14ac:dyDescent="0.2">
      <c r="A3234" s="380">
        <v>4417102</v>
      </c>
      <c r="B3234" s="381" t="s">
        <v>1317</v>
      </c>
    </row>
    <row r="3235" spans="1:2" x14ac:dyDescent="0.2">
      <c r="A3235" s="380">
        <v>4417103</v>
      </c>
      <c r="B3235" s="381" t="s">
        <v>1318</v>
      </c>
    </row>
    <row r="3236" spans="1:2" x14ac:dyDescent="0.2">
      <c r="A3236" s="380">
        <v>4417200</v>
      </c>
      <c r="B3236" s="381" t="s">
        <v>1319</v>
      </c>
    </row>
    <row r="3237" spans="1:2" x14ac:dyDescent="0.2">
      <c r="A3237" s="380">
        <v>4417201</v>
      </c>
      <c r="B3237" s="381" t="s">
        <v>1320</v>
      </c>
    </row>
    <row r="3238" spans="1:2" x14ac:dyDescent="0.2">
      <c r="A3238" s="380">
        <v>4417202</v>
      </c>
      <c r="B3238" s="381" t="s">
        <v>1321</v>
      </c>
    </row>
    <row r="3239" spans="1:2" x14ac:dyDescent="0.2">
      <c r="A3239" s="380">
        <v>4417203</v>
      </c>
      <c r="B3239" s="381" t="s">
        <v>1322</v>
      </c>
    </row>
    <row r="3240" spans="1:2" x14ac:dyDescent="0.2">
      <c r="A3240" s="380">
        <v>4419200</v>
      </c>
      <c r="B3240" s="381" t="s">
        <v>1377</v>
      </c>
    </row>
    <row r="3241" spans="1:2" x14ac:dyDescent="0.2">
      <c r="A3241" s="380">
        <v>4419900</v>
      </c>
      <c r="B3241" s="381" t="s">
        <v>1327</v>
      </c>
    </row>
    <row r="3242" spans="1:2" x14ac:dyDescent="0.2">
      <c r="A3242" s="380">
        <v>4420000</v>
      </c>
      <c r="B3242" s="381" t="s">
        <v>2179</v>
      </c>
    </row>
    <row r="3243" spans="1:2" x14ac:dyDescent="0.2">
      <c r="A3243" s="380">
        <v>4420100</v>
      </c>
      <c r="B3243" s="381" t="s">
        <v>2180</v>
      </c>
    </row>
    <row r="3244" spans="1:2" x14ac:dyDescent="0.2">
      <c r="A3244" s="380">
        <v>4429200</v>
      </c>
      <c r="B3244" s="381" t="s">
        <v>1377</v>
      </c>
    </row>
    <row r="3245" spans="1:2" x14ac:dyDescent="0.2">
      <c r="A3245" s="380">
        <v>4429900</v>
      </c>
      <c r="B3245" s="381" t="s">
        <v>1327</v>
      </c>
    </row>
    <row r="3246" spans="1:2" x14ac:dyDescent="0.2">
      <c r="A3246" s="380">
        <v>4430000</v>
      </c>
      <c r="B3246" s="381" t="s">
        <v>2181</v>
      </c>
    </row>
    <row r="3247" spans="1:2" x14ac:dyDescent="0.2">
      <c r="A3247" s="380">
        <v>4430100</v>
      </c>
      <c r="B3247" s="381" t="s">
        <v>2182</v>
      </c>
    </row>
    <row r="3248" spans="1:2" x14ac:dyDescent="0.2">
      <c r="A3248" s="380">
        <v>4438500</v>
      </c>
      <c r="B3248" s="381" t="s">
        <v>2183</v>
      </c>
    </row>
    <row r="3249" spans="1:2" x14ac:dyDescent="0.2">
      <c r="A3249" s="380">
        <v>4439200</v>
      </c>
      <c r="B3249" s="381" t="s">
        <v>1377</v>
      </c>
    </row>
    <row r="3250" spans="1:2" x14ac:dyDescent="0.2">
      <c r="A3250" s="380">
        <v>4439900</v>
      </c>
      <c r="B3250" s="381" t="s">
        <v>1327</v>
      </c>
    </row>
    <row r="3251" spans="1:2" x14ac:dyDescent="0.2">
      <c r="A3251" s="380">
        <v>4440000</v>
      </c>
      <c r="B3251" s="381" t="s">
        <v>2184</v>
      </c>
    </row>
    <row r="3252" spans="1:2" x14ac:dyDescent="0.2">
      <c r="A3252" s="380">
        <v>4440100</v>
      </c>
      <c r="B3252" s="381" t="s">
        <v>2185</v>
      </c>
    </row>
    <row r="3253" spans="1:2" x14ac:dyDescent="0.2">
      <c r="A3253" s="380">
        <v>4440200</v>
      </c>
      <c r="B3253" s="381" t="s">
        <v>2186</v>
      </c>
    </row>
    <row r="3254" spans="1:2" x14ac:dyDescent="0.2">
      <c r="A3254" s="380">
        <v>4500000</v>
      </c>
      <c r="B3254" s="381" t="s">
        <v>2187</v>
      </c>
    </row>
    <row r="3255" spans="1:2" x14ac:dyDescent="0.2">
      <c r="A3255" s="380">
        <v>4500100</v>
      </c>
      <c r="B3255" s="381" t="s">
        <v>2173</v>
      </c>
    </row>
    <row r="3256" spans="1:2" x14ac:dyDescent="0.2">
      <c r="A3256" s="380">
        <v>4500200</v>
      </c>
      <c r="B3256" s="381" t="s">
        <v>2174</v>
      </c>
    </row>
    <row r="3257" spans="1:2" x14ac:dyDescent="0.2">
      <c r="A3257" s="380">
        <v>4500300</v>
      </c>
      <c r="B3257" s="381" t="s">
        <v>2175</v>
      </c>
    </row>
    <row r="3258" spans="1:2" x14ac:dyDescent="0.2">
      <c r="A3258" s="380">
        <v>4500500</v>
      </c>
      <c r="B3258" s="381" t="s">
        <v>2188</v>
      </c>
    </row>
    <row r="3259" spans="1:2" x14ac:dyDescent="0.2">
      <c r="A3259" s="380">
        <v>4500600</v>
      </c>
      <c r="B3259" s="381" t="s">
        <v>2170</v>
      </c>
    </row>
    <row r="3260" spans="1:2" ht="25.5" x14ac:dyDescent="0.2">
      <c r="A3260" s="380">
        <v>4500700</v>
      </c>
      <c r="B3260" s="381" t="s">
        <v>2189</v>
      </c>
    </row>
    <row r="3261" spans="1:2" x14ac:dyDescent="0.2">
      <c r="A3261" s="380">
        <v>4505800</v>
      </c>
      <c r="B3261" s="381" t="s">
        <v>1309</v>
      </c>
    </row>
    <row r="3262" spans="1:2" x14ac:dyDescent="0.2">
      <c r="A3262" s="380">
        <v>4506700</v>
      </c>
      <c r="B3262" s="381" t="s">
        <v>1310</v>
      </c>
    </row>
    <row r="3263" spans="1:2" x14ac:dyDescent="0.2">
      <c r="A3263" s="380">
        <v>4508500</v>
      </c>
      <c r="B3263" s="381" t="s">
        <v>2183</v>
      </c>
    </row>
    <row r="3264" spans="1:2" x14ac:dyDescent="0.2">
      <c r="A3264" s="380">
        <v>4509000</v>
      </c>
      <c r="B3264" s="381" t="s">
        <v>1382</v>
      </c>
    </row>
    <row r="3265" spans="1:2" ht="25.5" x14ac:dyDescent="0.2">
      <c r="A3265" s="380">
        <v>4509300</v>
      </c>
      <c r="B3265" s="381" t="s">
        <v>1378</v>
      </c>
    </row>
    <row r="3266" spans="1:2" x14ac:dyDescent="0.2">
      <c r="A3266" s="380">
        <v>4509400</v>
      </c>
      <c r="B3266" s="381" t="s">
        <v>1379</v>
      </c>
    </row>
    <row r="3267" spans="1:2" x14ac:dyDescent="0.2">
      <c r="A3267" s="380">
        <v>4510000</v>
      </c>
      <c r="B3267" s="381" t="s">
        <v>2190</v>
      </c>
    </row>
    <row r="3268" spans="1:2" x14ac:dyDescent="0.2">
      <c r="A3268" s="380">
        <v>4510100</v>
      </c>
      <c r="B3268" s="381" t="s">
        <v>2191</v>
      </c>
    </row>
    <row r="3269" spans="1:2" ht="76.5" x14ac:dyDescent="0.2">
      <c r="A3269" s="380">
        <v>4510102</v>
      </c>
      <c r="B3269" s="381" t="s">
        <v>2192</v>
      </c>
    </row>
    <row r="3270" spans="1:2" ht="63.75" x14ac:dyDescent="0.2">
      <c r="A3270" s="380">
        <v>4510103</v>
      </c>
      <c r="B3270" s="381" t="s">
        <v>2193</v>
      </c>
    </row>
    <row r="3271" spans="1:2" x14ac:dyDescent="0.2">
      <c r="A3271" s="380">
        <v>4518500</v>
      </c>
      <c r="B3271" s="381" t="s">
        <v>2183</v>
      </c>
    </row>
    <row r="3272" spans="1:2" ht="25.5" x14ac:dyDescent="0.2">
      <c r="A3272" s="380">
        <v>4520000</v>
      </c>
      <c r="B3272" s="381" t="s">
        <v>2194</v>
      </c>
    </row>
    <row r="3273" spans="1:2" x14ac:dyDescent="0.2">
      <c r="A3273" s="380">
        <v>4529900</v>
      </c>
      <c r="B3273" s="381" t="s">
        <v>1327</v>
      </c>
    </row>
    <row r="3274" spans="1:2" x14ac:dyDescent="0.2">
      <c r="A3274" s="380">
        <v>4530000</v>
      </c>
      <c r="B3274" s="381" t="s">
        <v>2195</v>
      </c>
    </row>
    <row r="3275" spans="1:2" x14ac:dyDescent="0.2">
      <c r="A3275" s="380">
        <v>4530100</v>
      </c>
      <c r="B3275" s="381" t="s">
        <v>2196</v>
      </c>
    </row>
    <row r="3276" spans="1:2" ht="38.25" x14ac:dyDescent="0.2">
      <c r="A3276" s="380">
        <v>4530101</v>
      </c>
      <c r="B3276" s="381" t="s">
        <v>2197</v>
      </c>
    </row>
    <row r="3277" spans="1:2" ht="63.75" x14ac:dyDescent="0.2">
      <c r="A3277" s="380">
        <v>4530102</v>
      </c>
      <c r="B3277" s="381" t="s">
        <v>2198</v>
      </c>
    </row>
    <row r="3278" spans="1:2" ht="63.75" x14ac:dyDescent="0.2">
      <c r="A3278" s="380">
        <v>4530103</v>
      </c>
      <c r="B3278" s="381" t="s">
        <v>2199</v>
      </c>
    </row>
    <row r="3279" spans="1:2" ht="51" x14ac:dyDescent="0.2">
      <c r="A3279" s="380">
        <v>4530104</v>
      </c>
      <c r="B3279" s="381" t="s">
        <v>2200</v>
      </c>
    </row>
    <row r="3280" spans="1:2" ht="25.5" x14ac:dyDescent="0.2">
      <c r="A3280" s="380">
        <v>4530105</v>
      </c>
      <c r="B3280" s="381" t="s">
        <v>2201</v>
      </c>
    </row>
    <row r="3281" spans="1:2" ht="38.25" x14ac:dyDescent="0.2">
      <c r="A3281" s="380">
        <v>4530106</v>
      </c>
      <c r="B3281" s="381" t="s">
        <v>2202</v>
      </c>
    </row>
    <row r="3282" spans="1:2" ht="51" x14ac:dyDescent="0.2">
      <c r="A3282" s="380">
        <v>4530107</v>
      </c>
      <c r="B3282" s="381" t="s">
        <v>2203</v>
      </c>
    </row>
    <row r="3283" spans="1:2" ht="25.5" x14ac:dyDescent="0.2">
      <c r="A3283" s="380">
        <v>4530109</v>
      </c>
      <c r="B3283" s="381" t="s">
        <v>2204</v>
      </c>
    </row>
    <row r="3284" spans="1:2" ht="25.5" x14ac:dyDescent="0.2">
      <c r="A3284" s="380">
        <v>4530111</v>
      </c>
      <c r="B3284" s="381" t="s">
        <v>2205</v>
      </c>
    </row>
    <row r="3285" spans="1:2" x14ac:dyDescent="0.2">
      <c r="A3285" s="380">
        <v>4538500</v>
      </c>
      <c r="B3285" s="381" t="s">
        <v>2183</v>
      </c>
    </row>
    <row r="3286" spans="1:2" x14ac:dyDescent="0.2">
      <c r="A3286" s="380">
        <v>4539400</v>
      </c>
      <c r="B3286" s="381" t="s">
        <v>1379</v>
      </c>
    </row>
    <row r="3287" spans="1:2" x14ac:dyDescent="0.2">
      <c r="A3287" s="380">
        <v>4539900</v>
      </c>
      <c r="B3287" s="381" t="s">
        <v>1327</v>
      </c>
    </row>
    <row r="3288" spans="1:2" x14ac:dyDescent="0.2">
      <c r="A3288" s="380">
        <v>4550000</v>
      </c>
      <c r="B3288" s="381" t="s">
        <v>2206</v>
      </c>
    </row>
    <row r="3289" spans="1:2" ht="25.5" x14ac:dyDescent="0.2">
      <c r="A3289" s="380">
        <v>4550100</v>
      </c>
      <c r="B3289" s="381" t="s">
        <v>2207</v>
      </c>
    </row>
    <row r="3290" spans="1:2" ht="25.5" x14ac:dyDescent="0.2">
      <c r="A3290" s="380">
        <v>4550101</v>
      </c>
      <c r="B3290" s="381" t="s">
        <v>2208</v>
      </c>
    </row>
    <row r="3291" spans="1:2" ht="25.5" x14ac:dyDescent="0.2">
      <c r="A3291" s="380">
        <v>4550102</v>
      </c>
      <c r="B3291" s="381" t="s">
        <v>2209</v>
      </c>
    </row>
    <row r="3292" spans="1:2" x14ac:dyDescent="0.2">
      <c r="A3292" s="380">
        <v>4555800</v>
      </c>
      <c r="B3292" s="381" t="s">
        <v>1309</v>
      </c>
    </row>
    <row r="3293" spans="1:2" x14ac:dyDescent="0.2">
      <c r="A3293" s="380">
        <v>4556800</v>
      </c>
      <c r="B3293" s="381" t="s">
        <v>1311</v>
      </c>
    </row>
    <row r="3294" spans="1:2" x14ac:dyDescent="0.2">
      <c r="A3294" s="380">
        <v>4556801</v>
      </c>
      <c r="B3294" s="381" t="s">
        <v>1312</v>
      </c>
    </row>
    <row r="3295" spans="1:2" ht="13.5" customHeight="1" x14ac:dyDescent="0.2">
      <c r="A3295" s="380">
        <v>4556802</v>
      </c>
      <c r="B3295" s="381" t="s">
        <v>1313</v>
      </c>
    </row>
    <row r="3296" spans="1:2" x14ac:dyDescent="0.2">
      <c r="A3296" s="380">
        <v>4557100</v>
      </c>
      <c r="B3296" s="381" t="s">
        <v>1315</v>
      </c>
    </row>
    <row r="3297" spans="1:2" x14ac:dyDescent="0.2">
      <c r="A3297" s="380">
        <v>4557101</v>
      </c>
      <c r="B3297" s="381" t="s">
        <v>1316</v>
      </c>
    </row>
    <row r="3298" spans="1:2" x14ac:dyDescent="0.2">
      <c r="A3298" s="380">
        <v>4557102</v>
      </c>
      <c r="B3298" s="381" t="s">
        <v>1317</v>
      </c>
    </row>
    <row r="3299" spans="1:2" x14ac:dyDescent="0.2">
      <c r="A3299" s="380">
        <v>4557103</v>
      </c>
      <c r="B3299" s="381" t="s">
        <v>1318</v>
      </c>
    </row>
    <row r="3300" spans="1:2" x14ac:dyDescent="0.2">
      <c r="A3300" s="380">
        <v>4557200</v>
      </c>
      <c r="B3300" s="381" t="s">
        <v>1319</v>
      </c>
    </row>
    <row r="3301" spans="1:2" x14ac:dyDescent="0.2">
      <c r="A3301" s="380">
        <v>4557201</v>
      </c>
      <c r="B3301" s="381" t="s">
        <v>1320</v>
      </c>
    </row>
    <row r="3302" spans="1:2" x14ac:dyDescent="0.2">
      <c r="A3302" s="380">
        <v>4557202</v>
      </c>
      <c r="B3302" s="381" t="s">
        <v>1321</v>
      </c>
    </row>
    <row r="3303" spans="1:2" x14ac:dyDescent="0.2">
      <c r="A3303" s="380">
        <v>4557203</v>
      </c>
      <c r="B3303" s="381" t="s">
        <v>1322</v>
      </c>
    </row>
    <row r="3304" spans="1:2" x14ac:dyDescent="0.2">
      <c r="A3304" s="380">
        <v>4558500</v>
      </c>
      <c r="B3304" s="381" t="s">
        <v>2183</v>
      </c>
    </row>
    <row r="3305" spans="1:2" x14ac:dyDescent="0.2">
      <c r="A3305" s="380">
        <v>4559900</v>
      </c>
      <c r="B3305" s="381" t="s">
        <v>1327</v>
      </c>
    </row>
    <row r="3306" spans="1:2" x14ac:dyDescent="0.2">
      <c r="A3306" s="380">
        <v>4560000</v>
      </c>
      <c r="B3306" s="381" t="s">
        <v>2210</v>
      </c>
    </row>
    <row r="3307" spans="1:2" ht="25.5" x14ac:dyDescent="0.2">
      <c r="A3307" s="380">
        <v>4560100</v>
      </c>
      <c r="B3307" s="381" t="s">
        <v>2211</v>
      </c>
    </row>
    <row r="3308" spans="1:2" x14ac:dyDescent="0.2">
      <c r="A3308" s="380">
        <v>4560101</v>
      </c>
      <c r="B3308" s="381" t="s">
        <v>2212</v>
      </c>
    </row>
    <row r="3309" spans="1:2" x14ac:dyDescent="0.2">
      <c r="A3309" s="380">
        <v>4560102</v>
      </c>
      <c r="B3309" s="381" t="s">
        <v>2213</v>
      </c>
    </row>
    <row r="3310" spans="1:2" x14ac:dyDescent="0.2">
      <c r="A3310" s="380">
        <v>4568500</v>
      </c>
      <c r="B3310" s="381" t="s">
        <v>2183</v>
      </c>
    </row>
    <row r="3311" spans="1:2" x14ac:dyDescent="0.2">
      <c r="A3311" s="380">
        <v>4570000</v>
      </c>
      <c r="B3311" s="381" t="s">
        <v>2214</v>
      </c>
    </row>
    <row r="3312" spans="1:2" ht="25.5" x14ac:dyDescent="0.2">
      <c r="A3312" s="380">
        <v>4570100</v>
      </c>
      <c r="B3312" s="381" t="s">
        <v>2215</v>
      </c>
    </row>
    <row r="3313" spans="1:2" x14ac:dyDescent="0.2">
      <c r="A3313" s="380">
        <v>4575800</v>
      </c>
      <c r="B3313" s="381" t="s">
        <v>1309</v>
      </c>
    </row>
    <row r="3314" spans="1:2" x14ac:dyDescent="0.2">
      <c r="A3314" s="380">
        <v>4577100</v>
      </c>
      <c r="B3314" s="381" t="s">
        <v>1315</v>
      </c>
    </row>
    <row r="3315" spans="1:2" x14ac:dyDescent="0.2">
      <c r="A3315" s="380">
        <v>4577101</v>
      </c>
      <c r="B3315" s="381" t="s">
        <v>1316</v>
      </c>
    </row>
    <row r="3316" spans="1:2" x14ac:dyDescent="0.2">
      <c r="A3316" s="380">
        <v>4577102</v>
      </c>
      <c r="B3316" s="381" t="s">
        <v>1317</v>
      </c>
    </row>
    <row r="3317" spans="1:2" x14ac:dyDescent="0.2">
      <c r="A3317" s="380">
        <v>4577103</v>
      </c>
      <c r="B3317" s="381" t="s">
        <v>1318</v>
      </c>
    </row>
    <row r="3318" spans="1:2" x14ac:dyDescent="0.2">
      <c r="A3318" s="380">
        <v>4577200</v>
      </c>
      <c r="B3318" s="381" t="s">
        <v>1319</v>
      </c>
    </row>
    <row r="3319" spans="1:2" x14ac:dyDescent="0.2">
      <c r="A3319" s="380">
        <v>4577201</v>
      </c>
      <c r="B3319" s="381" t="s">
        <v>1320</v>
      </c>
    </row>
    <row r="3320" spans="1:2" x14ac:dyDescent="0.2">
      <c r="A3320" s="380">
        <v>4577202</v>
      </c>
      <c r="B3320" s="381" t="s">
        <v>1321</v>
      </c>
    </row>
    <row r="3321" spans="1:2" x14ac:dyDescent="0.2">
      <c r="A3321" s="380">
        <v>4577203</v>
      </c>
      <c r="B3321" s="381" t="s">
        <v>1322</v>
      </c>
    </row>
    <row r="3322" spans="1:2" x14ac:dyDescent="0.2">
      <c r="A3322" s="380">
        <v>4577600</v>
      </c>
      <c r="B3322" s="381" t="s">
        <v>1324</v>
      </c>
    </row>
    <row r="3323" spans="1:2" x14ac:dyDescent="0.2">
      <c r="A3323" s="380">
        <v>4578500</v>
      </c>
      <c r="B3323" s="381" t="s">
        <v>2183</v>
      </c>
    </row>
    <row r="3324" spans="1:2" x14ac:dyDescent="0.2">
      <c r="A3324" s="380">
        <v>4579900</v>
      </c>
      <c r="B3324" s="381" t="s">
        <v>1327</v>
      </c>
    </row>
    <row r="3325" spans="1:2" x14ac:dyDescent="0.2">
      <c r="A3325" s="380">
        <v>4680000</v>
      </c>
      <c r="B3325" s="381" t="s">
        <v>2216</v>
      </c>
    </row>
    <row r="3326" spans="1:2" x14ac:dyDescent="0.2">
      <c r="A3326" s="380">
        <v>4689900</v>
      </c>
      <c r="B3326" s="381" t="s">
        <v>1327</v>
      </c>
    </row>
    <row r="3327" spans="1:2" x14ac:dyDescent="0.2">
      <c r="A3327" s="380">
        <v>4690000</v>
      </c>
      <c r="B3327" s="381" t="s">
        <v>2217</v>
      </c>
    </row>
    <row r="3328" spans="1:2" x14ac:dyDescent="0.2">
      <c r="A3328" s="380">
        <v>4695800</v>
      </c>
      <c r="B3328" s="381" t="s">
        <v>1309</v>
      </c>
    </row>
    <row r="3329" spans="1:2" x14ac:dyDescent="0.2">
      <c r="A3329" s="380">
        <v>4697100</v>
      </c>
      <c r="B3329" s="381" t="s">
        <v>1315</v>
      </c>
    </row>
    <row r="3330" spans="1:2" x14ac:dyDescent="0.2">
      <c r="A3330" s="380">
        <v>4697101</v>
      </c>
      <c r="B3330" s="381" t="s">
        <v>1316</v>
      </c>
    </row>
    <row r="3331" spans="1:2" x14ac:dyDescent="0.2">
      <c r="A3331" s="380">
        <v>4697102</v>
      </c>
      <c r="B3331" s="381" t="s">
        <v>1317</v>
      </c>
    </row>
    <row r="3332" spans="1:2" x14ac:dyDescent="0.2">
      <c r="A3332" s="380">
        <v>4697103</v>
      </c>
      <c r="B3332" s="381" t="s">
        <v>1318</v>
      </c>
    </row>
    <row r="3333" spans="1:2" x14ac:dyDescent="0.2">
      <c r="A3333" s="380">
        <v>4697200</v>
      </c>
      <c r="B3333" s="381" t="s">
        <v>1319</v>
      </c>
    </row>
    <row r="3334" spans="1:2" x14ac:dyDescent="0.2">
      <c r="A3334" s="380">
        <v>4697201</v>
      </c>
      <c r="B3334" s="381" t="s">
        <v>1320</v>
      </c>
    </row>
    <row r="3335" spans="1:2" x14ac:dyDescent="0.2">
      <c r="A3335" s="380">
        <v>4697202</v>
      </c>
      <c r="B3335" s="381" t="s">
        <v>1321</v>
      </c>
    </row>
    <row r="3336" spans="1:2" x14ac:dyDescent="0.2">
      <c r="A3336" s="380">
        <v>4697203</v>
      </c>
      <c r="B3336" s="381" t="s">
        <v>1322</v>
      </c>
    </row>
    <row r="3337" spans="1:2" x14ac:dyDescent="0.2">
      <c r="A3337" s="380">
        <v>4699900</v>
      </c>
      <c r="B3337" s="381" t="s">
        <v>1327</v>
      </c>
    </row>
    <row r="3338" spans="1:2" x14ac:dyDescent="0.2">
      <c r="A3338" s="380">
        <v>4700000</v>
      </c>
      <c r="B3338" s="381" t="s">
        <v>2218</v>
      </c>
    </row>
    <row r="3339" spans="1:2" ht="51" x14ac:dyDescent="0.2">
      <c r="A3339" s="380">
        <v>4700100</v>
      </c>
      <c r="B3339" s="381" t="s">
        <v>2219</v>
      </c>
    </row>
    <row r="3340" spans="1:2" x14ac:dyDescent="0.2">
      <c r="A3340" s="380">
        <v>4700200</v>
      </c>
      <c r="B3340" s="381" t="s">
        <v>2220</v>
      </c>
    </row>
    <row r="3341" spans="1:2" ht="38.25" x14ac:dyDescent="0.2">
      <c r="A3341" s="380">
        <v>4700300</v>
      </c>
      <c r="B3341" s="381" t="s">
        <v>2221</v>
      </c>
    </row>
    <row r="3342" spans="1:2" x14ac:dyDescent="0.2">
      <c r="A3342" s="380">
        <v>4705800</v>
      </c>
      <c r="B3342" s="381" t="s">
        <v>1309</v>
      </c>
    </row>
    <row r="3343" spans="1:2" x14ac:dyDescent="0.2">
      <c r="A3343" s="380">
        <v>4706200</v>
      </c>
      <c r="B3343" s="381" t="s">
        <v>1800</v>
      </c>
    </row>
    <row r="3344" spans="1:2" x14ac:dyDescent="0.2">
      <c r="A3344" s="380">
        <v>4706800</v>
      </c>
      <c r="B3344" s="381" t="s">
        <v>1311</v>
      </c>
    </row>
    <row r="3345" spans="1:2" x14ac:dyDescent="0.2">
      <c r="A3345" s="380">
        <v>4706801</v>
      </c>
      <c r="B3345" s="381" t="s">
        <v>1312</v>
      </c>
    </row>
    <row r="3346" spans="1:2" ht="25.5" x14ac:dyDescent="0.2">
      <c r="A3346" s="380">
        <v>4706802</v>
      </c>
      <c r="B3346" s="381" t="s">
        <v>1313</v>
      </c>
    </row>
    <row r="3347" spans="1:2" x14ac:dyDescent="0.2">
      <c r="A3347" s="380">
        <v>4707100</v>
      </c>
      <c r="B3347" s="381" t="s">
        <v>1315</v>
      </c>
    </row>
    <row r="3348" spans="1:2" x14ac:dyDescent="0.2">
      <c r="A3348" s="380">
        <v>4707101</v>
      </c>
      <c r="B3348" s="381" t="s">
        <v>1316</v>
      </c>
    </row>
    <row r="3349" spans="1:2" x14ac:dyDescent="0.2">
      <c r="A3349" s="380">
        <v>4707102</v>
      </c>
      <c r="B3349" s="381" t="s">
        <v>1317</v>
      </c>
    </row>
    <row r="3350" spans="1:2" x14ac:dyDescent="0.2">
      <c r="A3350" s="380">
        <v>4707103</v>
      </c>
      <c r="B3350" s="381" t="s">
        <v>1318</v>
      </c>
    </row>
    <row r="3351" spans="1:2" x14ac:dyDescent="0.2">
      <c r="A3351" s="380">
        <v>4707200</v>
      </c>
      <c r="B3351" s="381" t="s">
        <v>1319</v>
      </c>
    </row>
    <row r="3352" spans="1:2" x14ac:dyDescent="0.2">
      <c r="A3352" s="380">
        <v>4707201</v>
      </c>
      <c r="B3352" s="381" t="s">
        <v>1320</v>
      </c>
    </row>
    <row r="3353" spans="1:2" x14ac:dyDescent="0.2">
      <c r="A3353" s="380">
        <v>4707202</v>
      </c>
      <c r="B3353" s="381" t="s">
        <v>1321</v>
      </c>
    </row>
    <row r="3354" spans="1:2" x14ac:dyDescent="0.2">
      <c r="A3354" s="380">
        <v>4707203</v>
      </c>
      <c r="B3354" s="381" t="s">
        <v>1322</v>
      </c>
    </row>
    <row r="3355" spans="1:2" x14ac:dyDescent="0.2">
      <c r="A3355" s="380">
        <v>4707600</v>
      </c>
      <c r="B3355" s="381" t="s">
        <v>1324</v>
      </c>
    </row>
    <row r="3356" spans="1:2" x14ac:dyDescent="0.2">
      <c r="A3356" s="380">
        <v>4709900</v>
      </c>
      <c r="B3356" s="381" t="s">
        <v>1327</v>
      </c>
    </row>
    <row r="3357" spans="1:2" x14ac:dyDescent="0.2">
      <c r="A3357" s="380">
        <v>4710000</v>
      </c>
      <c r="B3357" s="381" t="s">
        <v>2222</v>
      </c>
    </row>
    <row r="3358" spans="1:2" x14ac:dyDescent="0.2">
      <c r="A3358" s="380">
        <v>4715800</v>
      </c>
      <c r="B3358" s="381" t="s">
        <v>1309</v>
      </c>
    </row>
    <row r="3359" spans="1:2" x14ac:dyDescent="0.2">
      <c r="A3359" s="380">
        <v>4716200</v>
      </c>
      <c r="B3359" s="381" t="s">
        <v>1800</v>
      </c>
    </row>
    <row r="3360" spans="1:2" x14ac:dyDescent="0.2">
      <c r="A3360" s="380">
        <v>4716800</v>
      </c>
      <c r="B3360" s="381" t="s">
        <v>1401</v>
      </c>
    </row>
    <row r="3361" spans="1:2" x14ac:dyDescent="0.2">
      <c r="A3361" s="380">
        <v>4716801</v>
      </c>
      <c r="B3361" s="381" t="s">
        <v>1312</v>
      </c>
    </row>
    <row r="3362" spans="1:2" ht="25.5" x14ac:dyDescent="0.2">
      <c r="A3362" s="380">
        <v>4716802</v>
      </c>
      <c r="B3362" s="381" t="s">
        <v>1313</v>
      </c>
    </row>
    <row r="3363" spans="1:2" x14ac:dyDescent="0.2">
      <c r="A3363" s="380">
        <v>4717100</v>
      </c>
      <c r="B3363" s="381" t="s">
        <v>1315</v>
      </c>
    </row>
    <row r="3364" spans="1:2" x14ac:dyDescent="0.2">
      <c r="A3364" s="380">
        <v>4717101</v>
      </c>
      <c r="B3364" s="381" t="s">
        <v>1316</v>
      </c>
    </row>
    <row r="3365" spans="1:2" x14ac:dyDescent="0.2">
      <c r="A3365" s="380">
        <v>4717102</v>
      </c>
      <c r="B3365" s="381" t="s">
        <v>1317</v>
      </c>
    </row>
    <row r="3366" spans="1:2" x14ac:dyDescent="0.2">
      <c r="A3366" s="380">
        <v>4717103</v>
      </c>
      <c r="B3366" s="381" t="s">
        <v>1318</v>
      </c>
    </row>
    <row r="3367" spans="1:2" x14ac:dyDescent="0.2">
      <c r="A3367" s="380">
        <v>4717200</v>
      </c>
      <c r="B3367" s="381" t="s">
        <v>1319</v>
      </c>
    </row>
    <row r="3368" spans="1:2" x14ac:dyDescent="0.2">
      <c r="A3368" s="380">
        <v>4717201</v>
      </c>
      <c r="B3368" s="381" t="s">
        <v>1320</v>
      </c>
    </row>
    <row r="3369" spans="1:2" x14ac:dyDescent="0.2">
      <c r="A3369" s="380">
        <v>4717202</v>
      </c>
      <c r="B3369" s="381" t="s">
        <v>1321</v>
      </c>
    </row>
    <row r="3370" spans="1:2" x14ac:dyDescent="0.2">
      <c r="A3370" s="380">
        <v>4717203</v>
      </c>
      <c r="B3370" s="381" t="s">
        <v>1322</v>
      </c>
    </row>
    <row r="3371" spans="1:2" x14ac:dyDescent="0.2">
      <c r="A3371" s="380">
        <v>4717600</v>
      </c>
      <c r="B3371" s="381" t="s">
        <v>2124</v>
      </c>
    </row>
    <row r="3372" spans="1:2" x14ac:dyDescent="0.2">
      <c r="A3372" s="380">
        <v>4719900</v>
      </c>
      <c r="B3372" s="381" t="s">
        <v>1327</v>
      </c>
    </row>
    <row r="3373" spans="1:2" x14ac:dyDescent="0.2">
      <c r="A3373" s="380">
        <v>4720000</v>
      </c>
      <c r="B3373" s="381" t="s">
        <v>2223</v>
      </c>
    </row>
    <row r="3374" spans="1:2" x14ac:dyDescent="0.2">
      <c r="A3374" s="380">
        <v>4729900</v>
      </c>
      <c r="B3374" s="381" t="s">
        <v>1327</v>
      </c>
    </row>
    <row r="3375" spans="1:2" x14ac:dyDescent="0.2">
      <c r="A3375" s="380">
        <v>4730000</v>
      </c>
      <c r="B3375" s="381" t="s">
        <v>2224</v>
      </c>
    </row>
    <row r="3376" spans="1:2" x14ac:dyDescent="0.2">
      <c r="A3376" s="380">
        <v>4739900</v>
      </c>
      <c r="B3376" s="381" t="s">
        <v>1327</v>
      </c>
    </row>
    <row r="3377" spans="1:2" x14ac:dyDescent="0.2">
      <c r="A3377" s="380">
        <v>4740000</v>
      </c>
      <c r="B3377" s="381" t="s">
        <v>2225</v>
      </c>
    </row>
    <row r="3378" spans="1:2" x14ac:dyDescent="0.2">
      <c r="A3378" s="380">
        <v>4749900</v>
      </c>
      <c r="B3378" s="381" t="s">
        <v>1327</v>
      </c>
    </row>
    <row r="3379" spans="1:2" x14ac:dyDescent="0.2">
      <c r="A3379" s="380">
        <v>4750000</v>
      </c>
      <c r="B3379" s="381" t="s">
        <v>2226</v>
      </c>
    </row>
    <row r="3380" spans="1:2" x14ac:dyDescent="0.2">
      <c r="A3380" s="380">
        <v>4755800</v>
      </c>
      <c r="B3380" s="381" t="s">
        <v>1309</v>
      </c>
    </row>
    <row r="3381" spans="1:2" x14ac:dyDescent="0.2">
      <c r="A3381" s="380">
        <v>4756800</v>
      </c>
      <c r="B3381" s="381" t="s">
        <v>1311</v>
      </c>
    </row>
    <row r="3382" spans="1:2" x14ac:dyDescent="0.2">
      <c r="A3382" s="380">
        <v>4756801</v>
      </c>
      <c r="B3382" s="381" t="s">
        <v>1312</v>
      </c>
    </row>
    <row r="3383" spans="1:2" ht="25.5" x14ac:dyDescent="0.2">
      <c r="A3383" s="380">
        <v>4756802</v>
      </c>
      <c r="B3383" s="381" t="s">
        <v>1313</v>
      </c>
    </row>
    <row r="3384" spans="1:2" x14ac:dyDescent="0.2">
      <c r="A3384" s="380">
        <v>4757100</v>
      </c>
      <c r="B3384" s="381" t="s">
        <v>1315</v>
      </c>
    </row>
    <row r="3385" spans="1:2" x14ac:dyDescent="0.2">
      <c r="A3385" s="380">
        <v>4757101</v>
      </c>
      <c r="B3385" s="381" t="s">
        <v>1316</v>
      </c>
    </row>
    <row r="3386" spans="1:2" x14ac:dyDescent="0.2">
      <c r="A3386" s="380">
        <v>4757102</v>
      </c>
      <c r="B3386" s="381" t="s">
        <v>1317</v>
      </c>
    </row>
    <row r="3387" spans="1:2" x14ac:dyDescent="0.2">
      <c r="A3387" s="380">
        <v>4757103</v>
      </c>
      <c r="B3387" s="381" t="s">
        <v>1318</v>
      </c>
    </row>
    <row r="3388" spans="1:2" x14ac:dyDescent="0.2">
      <c r="A3388" s="380">
        <v>4757200</v>
      </c>
      <c r="B3388" s="381" t="s">
        <v>1319</v>
      </c>
    </row>
    <row r="3389" spans="1:2" x14ac:dyDescent="0.2">
      <c r="A3389" s="380">
        <v>4757201</v>
      </c>
      <c r="B3389" s="381" t="s">
        <v>1320</v>
      </c>
    </row>
    <row r="3390" spans="1:2" x14ac:dyDescent="0.2">
      <c r="A3390" s="380">
        <v>4757202</v>
      </c>
      <c r="B3390" s="381" t="s">
        <v>1321</v>
      </c>
    </row>
    <row r="3391" spans="1:2" x14ac:dyDescent="0.2">
      <c r="A3391" s="380">
        <v>4757203</v>
      </c>
      <c r="B3391" s="381" t="s">
        <v>1322</v>
      </c>
    </row>
    <row r="3392" spans="1:2" x14ac:dyDescent="0.2">
      <c r="A3392" s="380">
        <v>4757600</v>
      </c>
      <c r="B3392" s="381" t="s">
        <v>1324</v>
      </c>
    </row>
    <row r="3393" spans="1:2" x14ac:dyDescent="0.2">
      <c r="A3393" s="380">
        <v>4759900</v>
      </c>
      <c r="B3393" s="381" t="s">
        <v>1327</v>
      </c>
    </row>
    <row r="3394" spans="1:2" x14ac:dyDescent="0.2">
      <c r="A3394" s="380">
        <v>4790000</v>
      </c>
      <c r="B3394" s="381" t="s">
        <v>2227</v>
      </c>
    </row>
    <row r="3395" spans="1:2" x14ac:dyDescent="0.2">
      <c r="A3395" s="380">
        <v>4799900</v>
      </c>
      <c r="B3395" s="381" t="s">
        <v>1327</v>
      </c>
    </row>
    <row r="3396" spans="1:2" x14ac:dyDescent="0.2">
      <c r="A3396" s="380">
        <v>4800000</v>
      </c>
      <c r="B3396" s="381" t="s">
        <v>2228</v>
      </c>
    </row>
    <row r="3397" spans="1:2" x14ac:dyDescent="0.2">
      <c r="A3397" s="380">
        <v>4805800</v>
      </c>
      <c r="B3397" s="381" t="s">
        <v>1309</v>
      </c>
    </row>
    <row r="3398" spans="1:2" x14ac:dyDescent="0.2">
      <c r="A3398" s="380">
        <v>4806800</v>
      </c>
      <c r="B3398" s="381" t="s">
        <v>1401</v>
      </c>
    </row>
    <row r="3399" spans="1:2" x14ac:dyDescent="0.2">
      <c r="A3399" s="380">
        <v>4806801</v>
      </c>
      <c r="B3399" s="381" t="s">
        <v>1312</v>
      </c>
    </row>
    <row r="3400" spans="1:2" ht="25.5" x14ac:dyDescent="0.2">
      <c r="A3400" s="380">
        <v>4806802</v>
      </c>
      <c r="B3400" s="381" t="s">
        <v>1313</v>
      </c>
    </row>
    <row r="3401" spans="1:2" x14ac:dyDescent="0.2">
      <c r="A3401" s="380">
        <v>4807100</v>
      </c>
      <c r="B3401" s="381" t="s">
        <v>1315</v>
      </c>
    </row>
    <row r="3402" spans="1:2" x14ac:dyDescent="0.2">
      <c r="A3402" s="380">
        <v>4807101</v>
      </c>
      <c r="B3402" s="381" t="s">
        <v>1316</v>
      </c>
    </row>
    <row r="3403" spans="1:2" x14ac:dyDescent="0.2">
      <c r="A3403" s="380">
        <v>4807102</v>
      </c>
      <c r="B3403" s="381" t="s">
        <v>1317</v>
      </c>
    </row>
    <row r="3404" spans="1:2" x14ac:dyDescent="0.2">
      <c r="A3404" s="380">
        <v>4807103</v>
      </c>
      <c r="B3404" s="381" t="s">
        <v>1318</v>
      </c>
    </row>
    <row r="3405" spans="1:2" x14ac:dyDescent="0.2">
      <c r="A3405" s="380">
        <v>4807200</v>
      </c>
      <c r="B3405" s="381" t="s">
        <v>1319</v>
      </c>
    </row>
    <row r="3406" spans="1:2" x14ac:dyDescent="0.2">
      <c r="A3406" s="380">
        <v>4807201</v>
      </c>
      <c r="B3406" s="381" t="s">
        <v>1320</v>
      </c>
    </row>
    <row r="3407" spans="1:2" x14ac:dyDescent="0.2">
      <c r="A3407" s="380">
        <v>4807202</v>
      </c>
      <c r="B3407" s="381" t="s">
        <v>1321</v>
      </c>
    </row>
    <row r="3408" spans="1:2" x14ac:dyDescent="0.2">
      <c r="A3408" s="380">
        <v>4807203</v>
      </c>
      <c r="B3408" s="381" t="s">
        <v>1322</v>
      </c>
    </row>
    <row r="3409" spans="1:2" x14ac:dyDescent="0.2">
      <c r="A3409" s="380">
        <v>4807600</v>
      </c>
      <c r="B3409" s="381" t="s">
        <v>1324</v>
      </c>
    </row>
    <row r="3410" spans="1:2" x14ac:dyDescent="0.2">
      <c r="A3410" s="380">
        <v>4809900</v>
      </c>
      <c r="B3410" s="381" t="s">
        <v>1327</v>
      </c>
    </row>
    <row r="3411" spans="1:2" x14ac:dyDescent="0.2">
      <c r="A3411" s="380">
        <v>4810000</v>
      </c>
      <c r="B3411" s="381" t="s">
        <v>2229</v>
      </c>
    </row>
    <row r="3412" spans="1:2" x14ac:dyDescent="0.2">
      <c r="A3412" s="380">
        <v>4810100</v>
      </c>
      <c r="B3412" s="381" t="s">
        <v>1403</v>
      </c>
    </row>
    <row r="3413" spans="1:2" x14ac:dyDescent="0.2">
      <c r="A3413" s="380">
        <v>4810200</v>
      </c>
      <c r="B3413" s="381" t="s">
        <v>2230</v>
      </c>
    </row>
    <row r="3414" spans="1:2" ht="25.5" x14ac:dyDescent="0.2">
      <c r="A3414" s="380">
        <v>4810300</v>
      </c>
      <c r="B3414" s="381" t="s">
        <v>2231</v>
      </c>
    </row>
    <row r="3415" spans="1:2" ht="25.5" x14ac:dyDescent="0.2">
      <c r="A3415" s="380">
        <v>4810400</v>
      </c>
      <c r="B3415" s="381" t="s">
        <v>2232</v>
      </c>
    </row>
    <row r="3416" spans="1:2" x14ac:dyDescent="0.2">
      <c r="A3416" s="380">
        <v>4817700</v>
      </c>
      <c r="B3416" s="381" t="s">
        <v>2233</v>
      </c>
    </row>
    <row r="3417" spans="1:2" x14ac:dyDescent="0.2">
      <c r="A3417" s="380">
        <v>4820000</v>
      </c>
      <c r="B3417" s="381" t="s">
        <v>2234</v>
      </c>
    </row>
    <row r="3418" spans="1:2" x14ac:dyDescent="0.2">
      <c r="A3418" s="380">
        <v>4825800</v>
      </c>
      <c r="B3418" s="381" t="s">
        <v>1309</v>
      </c>
    </row>
    <row r="3419" spans="1:2" x14ac:dyDescent="0.2">
      <c r="A3419" s="380">
        <v>4827100</v>
      </c>
      <c r="B3419" s="381" t="s">
        <v>1315</v>
      </c>
    </row>
    <row r="3420" spans="1:2" x14ac:dyDescent="0.2">
      <c r="A3420" s="380">
        <v>4827101</v>
      </c>
      <c r="B3420" s="381" t="s">
        <v>1316</v>
      </c>
    </row>
    <row r="3421" spans="1:2" x14ac:dyDescent="0.2">
      <c r="A3421" s="380">
        <v>4827102</v>
      </c>
      <c r="B3421" s="381" t="s">
        <v>1317</v>
      </c>
    </row>
    <row r="3422" spans="1:2" x14ac:dyDescent="0.2">
      <c r="A3422" s="380">
        <v>4827103</v>
      </c>
      <c r="B3422" s="381" t="s">
        <v>1318</v>
      </c>
    </row>
    <row r="3423" spans="1:2" x14ac:dyDescent="0.2">
      <c r="A3423" s="380">
        <v>4827200</v>
      </c>
      <c r="B3423" s="381" t="s">
        <v>1319</v>
      </c>
    </row>
    <row r="3424" spans="1:2" x14ac:dyDescent="0.2">
      <c r="A3424" s="380">
        <v>4827201</v>
      </c>
      <c r="B3424" s="381" t="s">
        <v>1320</v>
      </c>
    </row>
    <row r="3425" spans="1:2" x14ac:dyDescent="0.2">
      <c r="A3425" s="380">
        <v>4827202</v>
      </c>
      <c r="B3425" s="381" t="s">
        <v>1321</v>
      </c>
    </row>
    <row r="3426" spans="1:2" x14ac:dyDescent="0.2">
      <c r="A3426" s="380">
        <v>4827203</v>
      </c>
      <c r="B3426" s="381" t="s">
        <v>1322</v>
      </c>
    </row>
    <row r="3427" spans="1:2" x14ac:dyDescent="0.2">
      <c r="A3427" s="380">
        <v>4829900</v>
      </c>
      <c r="B3427" s="381" t="s">
        <v>1327</v>
      </c>
    </row>
    <row r="3428" spans="1:2" x14ac:dyDescent="0.2">
      <c r="A3428" s="380">
        <v>4830000</v>
      </c>
      <c r="B3428" s="381" t="s">
        <v>2235</v>
      </c>
    </row>
    <row r="3429" spans="1:2" x14ac:dyDescent="0.2">
      <c r="A3429" s="380">
        <v>4839900</v>
      </c>
      <c r="B3429" s="381" t="s">
        <v>1327</v>
      </c>
    </row>
    <row r="3430" spans="1:2" x14ac:dyDescent="0.2">
      <c r="A3430" s="380">
        <v>4840000</v>
      </c>
      <c r="B3430" s="381" t="s">
        <v>2236</v>
      </c>
    </row>
    <row r="3431" spans="1:2" x14ac:dyDescent="0.2">
      <c r="A3431" s="380">
        <v>4849900</v>
      </c>
      <c r="B3431" s="381" t="s">
        <v>1327</v>
      </c>
    </row>
    <row r="3432" spans="1:2" x14ac:dyDescent="0.2">
      <c r="A3432" s="380">
        <v>4850000</v>
      </c>
      <c r="B3432" s="381" t="s">
        <v>2237</v>
      </c>
    </row>
    <row r="3433" spans="1:2" x14ac:dyDescent="0.2">
      <c r="A3433" s="380">
        <v>4850100</v>
      </c>
      <c r="B3433" s="381" t="s">
        <v>2238</v>
      </c>
    </row>
    <row r="3434" spans="1:2" x14ac:dyDescent="0.2">
      <c r="A3434" s="380">
        <v>4850200</v>
      </c>
      <c r="B3434" s="381" t="s">
        <v>2239</v>
      </c>
    </row>
    <row r="3435" spans="1:2" ht="38.25" x14ac:dyDescent="0.2">
      <c r="A3435" s="380">
        <v>4850300</v>
      </c>
      <c r="B3435" s="381" t="s">
        <v>2240</v>
      </c>
    </row>
    <row r="3436" spans="1:2" ht="25.5" x14ac:dyDescent="0.2">
      <c r="A3436" s="380">
        <v>4850400</v>
      </c>
      <c r="B3436" s="381" t="s">
        <v>2241</v>
      </c>
    </row>
    <row r="3437" spans="1:2" x14ac:dyDescent="0.2">
      <c r="A3437" s="380">
        <v>4850500</v>
      </c>
      <c r="B3437" s="381" t="s">
        <v>2242</v>
      </c>
    </row>
    <row r="3438" spans="1:2" x14ac:dyDescent="0.2">
      <c r="A3438" s="380">
        <v>4850600</v>
      </c>
      <c r="B3438" s="381" t="s">
        <v>2243</v>
      </c>
    </row>
    <row r="3439" spans="1:2" x14ac:dyDescent="0.2">
      <c r="A3439" s="380">
        <v>4850700</v>
      </c>
      <c r="B3439" s="381" t="s">
        <v>1323</v>
      </c>
    </row>
    <row r="3440" spans="1:2" x14ac:dyDescent="0.2">
      <c r="A3440" s="380">
        <v>4850800</v>
      </c>
      <c r="B3440" s="381" t="s">
        <v>2244</v>
      </c>
    </row>
    <row r="3441" spans="1:2" x14ac:dyDescent="0.2">
      <c r="A3441" s="380">
        <v>4850900</v>
      </c>
      <c r="B3441" s="381" t="s">
        <v>2245</v>
      </c>
    </row>
    <row r="3442" spans="1:2" ht="38.25" x14ac:dyDescent="0.2">
      <c r="A3442" s="380">
        <v>4851000</v>
      </c>
      <c r="B3442" s="381" t="s">
        <v>2246</v>
      </c>
    </row>
    <row r="3443" spans="1:2" x14ac:dyDescent="0.2">
      <c r="A3443" s="380">
        <v>4851300</v>
      </c>
      <c r="B3443" s="381" t="s">
        <v>2247</v>
      </c>
    </row>
    <row r="3444" spans="1:2" ht="51" x14ac:dyDescent="0.2">
      <c r="A3444" s="380">
        <v>4851400</v>
      </c>
      <c r="B3444" s="381" t="s">
        <v>2248</v>
      </c>
    </row>
    <row r="3445" spans="1:2" x14ac:dyDescent="0.2">
      <c r="A3445" s="380">
        <v>4851600</v>
      </c>
      <c r="B3445" s="381" t="s">
        <v>2249</v>
      </c>
    </row>
    <row r="3446" spans="1:2" ht="25.5" x14ac:dyDescent="0.2">
      <c r="A3446" s="380">
        <v>4851700</v>
      </c>
      <c r="B3446" s="381" t="s">
        <v>2250</v>
      </c>
    </row>
    <row r="3447" spans="1:2" x14ac:dyDescent="0.2">
      <c r="A3447" s="380">
        <v>4851800</v>
      </c>
      <c r="B3447" s="381" t="s">
        <v>2251</v>
      </c>
    </row>
    <row r="3448" spans="1:2" ht="25.5" x14ac:dyDescent="0.2">
      <c r="A3448" s="380">
        <v>4851900</v>
      </c>
      <c r="B3448" s="381" t="s">
        <v>2252</v>
      </c>
    </row>
    <row r="3449" spans="1:2" x14ac:dyDescent="0.2">
      <c r="A3449" s="380">
        <v>4852000</v>
      </c>
      <c r="B3449" s="381" t="s">
        <v>2253</v>
      </c>
    </row>
    <row r="3450" spans="1:2" x14ac:dyDescent="0.2">
      <c r="A3450" s="380">
        <v>4852300</v>
      </c>
      <c r="B3450" s="381" t="s">
        <v>2254</v>
      </c>
    </row>
    <row r="3451" spans="1:2" x14ac:dyDescent="0.2">
      <c r="A3451" s="380">
        <v>4852400</v>
      </c>
      <c r="B3451" s="381" t="s">
        <v>2255</v>
      </c>
    </row>
    <row r="3452" spans="1:2" x14ac:dyDescent="0.2">
      <c r="A3452" s="380">
        <v>4852500</v>
      </c>
      <c r="B3452" s="381" t="s">
        <v>2256</v>
      </c>
    </row>
    <row r="3453" spans="1:2" x14ac:dyDescent="0.2">
      <c r="A3453" s="380">
        <v>4857700</v>
      </c>
      <c r="B3453" s="381" t="s">
        <v>2257</v>
      </c>
    </row>
    <row r="3454" spans="1:2" x14ac:dyDescent="0.2">
      <c r="A3454" s="380">
        <v>4859700</v>
      </c>
      <c r="B3454" s="381" t="s">
        <v>1361</v>
      </c>
    </row>
    <row r="3455" spans="1:2" x14ac:dyDescent="0.2">
      <c r="A3455" s="380">
        <v>4870000</v>
      </c>
      <c r="B3455" s="381" t="s">
        <v>2258</v>
      </c>
    </row>
    <row r="3456" spans="1:2" x14ac:dyDescent="0.2">
      <c r="A3456" s="380">
        <v>4870100</v>
      </c>
      <c r="B3456" s="381" t="s">
        <v>2238</v>
      </c>
    </row>
    <row r="3457" spans="1:2" ht="25.5" x14ac:dyDescent="0.2">
      <c r="A3457" s="380">
        <v>4870200</v>
      </c>
      <c r="B3457" s="381" t="s">
        <v>2259</v>
      </c>
    </row>
    <row r="3458" spans="1:2" x14ac:dyDescent="0.2">
      <c r="A3458" s="380">
        <v>4880000</v>
      </c>
      <c r="B3458" s="381" t="s">
        <v>2260</v>
      </c>
    </row>
    <row r="3459" spans="1:2" x14ac:dyDescent="0.2">
      <c r="A3459" s="380">
        <v>4900000</v>
      </c>
      <c r="B3459" s="381" t="s">
        <v>2261</v>
      </c>
    </row>
    <row r="3460" spans="1:2" ht="38.25" x14ac:dyDescent="0.2">
      <c r="A3460" s="380">
        <v>4900100</v>
      </c>
      <c r="B3460" s="381" t="s">
        <v>2262</v>
      </c>
    </row>
    <row r="3461" spans="1:2" ht="25.5" x14ac:dyDescent="0.2">
      <c r="A3461" s="380">
        <v>4900101</v>
      </c>
      <c r="B3461" s="381" t="s">
        <v>2263</v>
      </c>
    </row>
    <row r="3462" spans="1:2" ht="38.25" x14ac:dyDescent="0.2">
      <c r="A3462" s="380">
        <v>4900200</v>
      </c>
      <c r="B3462" s="381" t="s">
        <v>2264</v>
      </c>
    </row>
    <row r="3463" spans="1:2" x14ac:dyDescent="0.2">
      <c r="A3463" s="380">
        <v>4900201</v>
      </c>
      <c r="B3463" s="381" t="s">
        <v>2265</v>
      </c>
    </row>
    <row r="3464" spans="1:2" ht="25.5" x14ac:dyDescent="0.2">
      <c r="A3464" s="380">
        <v>4900300</v>
      </c>
      <c r="B3464" s="381" t="s">
        <v>2266</v>
      </c>
    </row>
    <row r="3465" spans="1:2" x14ac:dyDescent="0.2">
      <c r="A3465" s="380">
        <v>4900301</v>
      </c>
      <c r="B3465" s="381" t="s">
        <v>2267</v>
      </c>
    </row>
    <row r="3466" spans="1:2" x14ac:dyDescent="0.2">
      <c r="A3466" s="380">
        <v>4900400</v>
      </c>
      <c r="B3466" s="381" t="s">
        <v>2268</v>
      </c>
    </row>
    <row r="3467" spans="1:2" ht="56.25" customHeight="1" x14ac:dyDescent="0.2">
      <c r="A3467" s="380">
        <v>4900500</v>
      </c>
      <c r="B3467" s="381" t="s">
        <v>2269</v>
      </c>
    </row>
    <row r="3468" spans="1:2" x14ac:dyDescent="0.2">
      <c r="A3468" s="380">
        <v>4900501</v>
      </c>
      <c r="B3468" s="381" t="s">
        <v>2270</v>
      </c>
    </row>
    <row r="3469" spans="1:2" x14ac:dyDescent="0.2">
      <c r="A3469" s="380">
        <v>4910000</v>
      </c>
      <c r="B3469" s="381" t="s">
        <v>2271</v>
      </c>
    </row>
    <row r="3470" spans="1:2" x14ac:dyDescent="0.2">
      <c r="A3470" s="380">
        <v>4910100</v>
      </c>
      <c r="B3470" s="381" t="s">
        <v>2272</v>
      </c>
    </row>
    <row r="3471" spans="1:2" x14ac:dyDescent="0.2">
      <c r="A3471" s="380">
        <v>5000000</v>
      </c>
      <c r="B3471" s="381" t="s">
        <v>2273</v>
      </c>
    </row>
    <row r="3472" spans="1:2" x14ac:dyDescent="0.2">
      <c r="A3472" s="380">
        <v>5009900</v>
      </c>
      <c r="B3472" s="381" t="s">
        <v>1327</v>
      </c>
    </row>
    <row r="3473" spans="1:2" x14ac:dyDescent="0.2">
      <c r="A3473" s="380">
        <v>5010000</v>
      </c>
      <c r="B3473" s="381" t="s">
        <v>2274</v>
      </c>
    </row>
    <row r="3474" spans="1:2" x14ac:dyDescent="0.2">
      <c r="A3474" s="380">
        <v>5019900</v>
      </c>
      <c r="B3474" s="381" t="s">
        <v>1327</v>
      </c>
    </row>
    <row r="3475" spans="1:2" x14ac:dyDescent="0.2">
      <c r="A3475" s="380">
        <v>5020000</v>
      </c>
      <c r="B3475" s="381" t="s">
        <v>2275</v>
      </c>
    </row>
    <row r="3476" spans="1:2" x14ac:dyDescent="0.2">
      <c r="A3476" s="380">
        <v>5029900</v>
      </c>
      <c r="B3476" s="381" t="s">
        <v>1327</v>
      </c>
    </row>
    <row r="3477" spans="1:2" x14ac:dyDescent="0.2">
      <c r="A3477" s="380">
        <v>5050000</v>
      </c>
      <c r="B3477" s="381" t="s">
        <v>2276</v>
      </c>
    </row>
    <row r="3478" spans="1:2" ht="25.5" x14ac:dyDescent="0.2">
      <c r="A3478" s="380">
        <v>5050100</v>
      </c>
      <c r="B3478" s="381" t="s">
        <v>2277</v>
      </c>
    </row>
    <row r="3479" spans="1:2" ht="25.5" x14ac:dyDescent="0.2">
      <c r="A3479" s="380">
        <v>5050101</v>
      </c>
      <c r="B3479" s="381" t="s">
        <v>2278</v>
      </c>
    </row>
    <row r="3480" spans="1:2" ht="25.5" x14ac:dyDescent="0.2">
      <c r="A3480" s="380">
        <v>5050102</v>
      </c>
      <c r="B3480" s="381" t="s">
        <v>2279</v>
      </c>
    </row>
    <row r="3481" spans="1:2" x14ac:dyDescent="0.2">
      <c r="A3481" s="380">
        <v>5050103</v>
      </c>
      <c r="B3481" s="381" t="s">
        <v>2280</v>
      </c>
    </row>
    <row r="3482" spans="1:2" x14ac:dyDescent="0.2">
      <c r="A3482" s="380">
        <v>5050104</v>
      </c>
      <c r="B3482" s="381" t="s">
        <v>2281</v>
      </c>
    </row>
    <row r="3483" spans="1:2" x14ac:dyDescent="0.2">
      <c r="A3483" s="380">
        <v>5050105</v>
      </c>
      <c r="B3483" s="381" t="s">
        <v>2282</v>
      </c>
    </row>
    <row r="3484" spans="1:2" x14ac:dyDescent="0.2">
      <c r="A3484" s="380">
        <v>5050200</v>
      </c>
      <c r="B3484" s="381" t="s">
        <v>2283</v>
      </c>
    </row>
    <row r="3485" spans="1:2" ht="25.5" x14ac:dyDescent="0.2">
      <c r="A3485" s="380">
        <v>5050201</v>
      </c>
      <c r="B3485" s="381" t="s">
        <v>2284</v>
      </c>
    </row>
    <row r="3486" spans="1:2" x14ac:dyDescent="0.2">
      <c r="A3486" s="380">
        <v>5050202</v>
      </c>
      <c r="B3486" s="381" t="s">
        <v>2285</v>
      </c>
    </row>
    <row r="3487" spans="1:2" x14ac:dyDescent="0.2">
      <c r="A3487" s="380">
        <v>5050300</v>
      </c>
      <c r="B3487" s="381" t="s">
        <v>2286</v>
      </c>
    </row>
    <row r="3488" spans="1:2" ht="25.5" x14ac:dyDescent="0.2">
      <c r="A3488" s="380">
        <v>5050301</v>
      </c>
      <c r="B3488" s="381" t="s">
        <v>2287</v>
      </c>
    </row>
    <row r="3489" spans="1:2" ht="38.25" x14ac:dyDescent="0.2">
      <c r="A3489" s="380">
        <v>5050302</v>
      </c>
      <c r="B3489" s="381" t="s">
        <v>2288</v>
      </c>
    </row>
    <row r="3490" spans="1:2" ht="25.5" x14ac:dyDescent="0.2">
      <c r="A3490" s="380">
        <v>5050303</v>
      </c>
      <c r="B3490" s="381" t="s">
        <v>2289</v>
      </c>
    </row>
    <row r="3491" spans="1:2" x14ac:dyDescent="0.2">
      <c r="A3491" s="380">
        <v>5050304</v>
      </c>
      <c r="B3491" s="381" t="s">
        <v>2290</v>
      </c>
    </row>
    <row r="3492" spans="1:2" x14ac:dyDescent="0.2">
      <c r="A3492" s="380">
        <v>5050400</v>
      </c>
      <c r="B3492" s="381" t="s">
        <v>2291</v>
      </c>
    </row>
    <row r="3493" spans="1:2" x14ac:dyDescent="0.2">
      <c r="A3493" s="380">
        <v>5050401</v>
      </c>
      <c r="B3493" s="381" t="s">
        <v>2292</v>
      </c>
    </row>
    <row r="3494" spans="1:2" x14ac:dyDescent="0.2">
      <c r="A3494" s="380">
        <v>5050500</v>
      </c>
      <c r="B3494" s="381" t="s">
        <v>2293</v>
      </c>
    </row>
    <row r="3495" spans="1:2" ht="25.5" x14ac:dyDescent="0.2">
      <c r="A3495" s="380">
        <v>5050501</v>
      </c>
      <c r="B3495" s="381" t="s">
        <v>2294</v>
      </c>
    </row>
    <row r="3496" spans="1:2" x14ac:dyDescent="0.2">
      <c r="A3496" s="380">
        <v>5050502</v>
      </c>
      <c r="B3496" s="381" t="s">
        <v>2295</v>
      </c>
    </row>
    <row r="3497" spans="1:2" ht="25.5" x14ac:dyDescent="0.2">
      <c r="A3497" s="380">
        <v>5050503</v>
      </c>
      <c r="B3497" s="381" t="s">
        <v>2296</v>
      </c>
    </row>
    <row r="3498" spans="1:2" ht="25.5" x14ac:dyDescent="0.2">
      <c r="A3498" s="380">
        <v>5050504</v>
      </c>
      <c r="B3498" s="381" t="s">
        <v>2297</v>
      </c>
    </row>
    <row r="3499" spans="1:2" ht="38.25" x14ac:dyDescent="0.2">
      <c r="A3499" s="380">
        <v>5050505</v>
      </c>
      <c r="B3499" s="381" t="s">
        <v>2298</v>
      </c>
    </row>
    <row r="3500" spans="1:2" x14ac:dyDescent="0.2">
      <c r="A3500" s="380">
        <v>5050506</v>
      </c>
      <c r="B3500" s="381" t="s">
        <v>2299</v>
      </c>
    </row>
    <row r="3501" spans="1:2" ht="25.5" x14ac:dyDescent="0.2">
      <c r="A3501" s="380">
        <v>5050507</v>
      </c>
      <c r="B3501" s="381" t="s">
        <v>2300</v>
      </c>
    </row>
    <row r="3502" spans="1:2" ht="38.25" x14ac:dyDescent="0.2">
      <c r="A3502" s="380">
        <v>5050508</v>
      </c>
      <c r="B3502" s="381" t="s">
        <v>2301</v>
      </c>
    </row>
    <row r="3503" spans="1:2" ht="25.5" x14ac:dyDescent="0.2">
      <c r="A3503" s="380">
        <v>5050509</v>
      </c>
      <c r="B3503" s="381" t="s">
        <v>2302</v>
      </c>
    </row>
    <row r="3504" spans="1:2" ht="25.5" x14ac:dyDescent="0.2">
      <c r="A3504" s="380">
        <v>5050600</v>
      </c>
      <c r="B3504" s="381" t="s">
        <v>2303</v>
      </c>
    </row>
    <row r="3505" spans="1:2" ht="25.5" x14ac:dyDescent="0.2">
      <c r="A3505" s="380">
        <v>5050601</v>
      </c>
      <c r="B3505" s="381" t="s">
        <v>2278</v>
      </c>
    </row>
    <row r="3506" spans="1:2" ht="25.5" x14ac:dyDescent="0.2">
      <c r="A3506" s="380">
        <v>5050602</v>
      </c>
      <c r="B3506" s="381" t="s">
        <v>2279</v>
      </c>
    </row>
    <row r="3507" spans="1:2" x14ac:dyDescent="0.2">
      <c r="A3507" s="380">
        <v>5050604</v>
      </c>
      <c r="B3507" s="381" t="s">
        <v>2281</v>
      </c>
    </row>
    <row r="3508" spans="1:2" ht="38.25" x14ac:dyDescent="0.2">
      <c r="A3508" s="380">
        <v>5050700</v>
      </c>
      <c r="B3508" s="381" t="s">
        <v>2304</v>
      </c>
    </row>
    <row r="3509" spans="1:2" ht="25.5" x14ac:dyDescent="0.2">
      <c r="A3509" s="380">
        <v>5050701</v>
      </c>
      <c r="B3509" s="381" t="s">
        <v>2278</v>
      </c>
    </row>
    <row r="3510" spans="1:2" ht="25.5" x14ac:dyDescent="0.2">
      <c r="A3510" s="380">
        <v>5050702</v>
      </c>
      <c r="B3510" s="381" t="s">
        <v>2279</v>
      </c>
    </row>
    <row r="3511" spans="1:2" x14ac:dyDescent="0.2">
      <c r="A3511" s="380">
        <v>5050703</v>
      </c>
      <c r="B3511" s="381" t="s">
        <v>2280</v>
      </c>
    </row>
    <row r="3512" spans="1:2" x14ac:dyDescent="0.2">
      <c r="A3512" s="380">
        <v>5050704</v>
      </c>
      <c r="B3512" s="381" t="s">
        <v>2281</v>
      </c>
    </row>
    <row r="3513" spans="1:2" x14ac:dyDescent="0.2">
      <c r="A3513" s="380">
        <v>5050705</v>
      </c>
      <c r="B3513" s="381" t="s">
        <v>2282</v>
      </c>
    </row>
    <row r="3514" spans="1:2" ht="25.5" x14ac:dyDescent="0.2">
      <c r="A3514" s="380">
        <v>5050800</v>
      </c>
      <c r="B3514" s="381" t="s">
        <v>2305</v>
      </c>
    </row>
    <row r="3515" spans="1:2" ht="25.5" x14ac:dyDescent="0.2">
      <c r="A3515" s="380">
        <v>5050801</v>
      </c>
      <c r="B3515" s="381" t="s">
        <v>2306</v>
      </c>
    </row>
    <row r="3516" spans="1:2" x14ac:dyDescent="0.2">
      <c r="A3516" s="380">
        <v>5050802</v>
      </c>
      <c r="B3516" s="381" t="s">
        <v>2307</v>
      </c>
    </row>
    <row r="3517" spans="1:2" ht="25.5" x14ac:dyDescent="0.2">
      <c r="A3517" s="380">
        <v>5050900</v>
      </c>
      <c r="B3517" s="381" t="s">
        <v>2308</v>
      </c>
    </row>
    <row r="3518" spans="1:2" ht="25.5" x14ac:dyDescent="0.2">
      <c r="A3518" s="380">
        <v>5050901</v>
      </c>
      <c r="B3518" s="381" t="s">
        <v>2309</v>
      </c>
    </row>
    <row r="3519" spans="1:2" x14ac:dyDescent="0.2">
      <c r="A3519" s="380">
        <v>5050902</v>
      </c>
      <c r="B3519" s="381" t="s">
        <v>2310</v>
      </c>
    </row>
    <row r="3520" spans="1:2" ht="25.5" x14ac:dyDescent="0.2">
      <c r="A3520" s="380">
        <v>5051000</v>
      </c>
      <c r="B3520" s="381" t="s">
        <v>2311</v>
      </c>
    </row>
    <row r="3521" spans="1:2" x14ac:dyDescent="0.2">
      <c r="A3521" s="380">
        <v>5051001</v>
      </c>
      <c r="B3521" s="381" t="s">
        <v>2312</v>
      </c>
    </row>
    <row r="3522" spans="1:2" ht="38.25" x14ac:dyDescent="0.2">
      <c r="A3522" s="380">
        <v>5051100</v>
      </c>
      <c r="B3522" s="381" t="s">
        <v>2313</v>
      </c>
    </row>
    <row r="3523" spans="1:2" ht="25.5" x14ac:dyDescent="0.2">
      <c r="A3523" s="380">
        <v>5051101</v>
      </c>
      <c r="B3523" s="381" t="s">
        <v>2314</v>
      </c>
    </row>
    <row r="3524" spans="1:2" ht="25.5" x14ac:dyDescent="0.2">
      <c r="A3524" s="380">
        <v>5051200</v>
      </c>
      <c r="B3524" s="381" t="s">
        <v>2315</v>
      </c>
    </row>
    <row r="3525" spans="1:2" x14ac:dyDescent="0.2">
      <c r="A3525" s="380">
        <v>5051201</v>
      </c>
      <c r="B3525" s="381" t="s">
        <v>2316</v>
      </c>
    </row>
    <row r="3526" spans="1:2" x14ac:dyDescent="0.2">
      <c r="A3526" s="380">
        <v>5051300</v>
      </c>
      <c r="B3526" s="381" t="s">
        <v>2317</v>
      </c>
    </row>
    <row r="3527" spans="1:2" x14ac:dyDescent="0.2">
      <c r="A3527" s="380">
        <v>5051301</v>
      </c>
      <c r="B3527" s="381" t="s">
        <v>2318</v>
      </c>
    </row>
    <row r="3528" spans="1:2" x14ac:dyDescent="0.2">
      <c r="A3528" s="380">
        <v>5051302</v>
      </c>
      <c r="B3528" s="381" t="s">
        <v>2319</v>
      </c>
    </row>
    <row r="3529" spans="1:2" x14ac:dyDescent="0.2">
      <c r="A3529" s="380">
        <v>5051303</v>
      </c>
      <c r="B3529" s="381" t="s">
        <v>2320</v>
      </c>
    </row>
    <row r="3530" spans="1:2" x14ac:dyDescent="0.2">
      <c r="A3530" s="380">
        <v>5051304</v>
      </c>
      <c r="B3530" s="381" t="s">
        <v>2321</v>
      </c>
    </row>
    <row r="3531" spans="1:2" ht="25.5" x14ac:dyDescent="0.2">
      <c r="A3531" s="380">
        <v>5051400</v>
      </c>
      <c r="B3531" s="381" t="s">
        <v>2322</v>
      </c>
    </row>
    <row r="3532" spans="1:2" x14ac:dyDescent="0.2">
      <c r="A3532" s="380">
        <v>5051401</v>
      </c>
      <c r="B3532" s="381" t="s">
        <v>2323</v>
      </c>
    </row>
    <row r="3533" spans="1:2" ht="25.5" x14ac:dyDescent="0.2">
      <c r="A3533" s="380">
        <v>5051500</v>
      </c>
      <c r="B3533" s="381" t="s">
        <v>2324</v>
      </c>
    </row>
    <row r="3534" spans="1:2" x14ac:dyDescent="0.2">
      <c r="A3534" s="380">
        <v>5051501</v>
      </c>
      <c r="B3534" s="381" t="s">
        <v>2325</v>
      </c>
    </row>
    <row r="3535" spans="1:2" ht="63.75" x14ac:dyDescent="0.2">
      <c r="A3535" s="380">
        <v>5051600</v>
      </c>
      <c r="B3535" s="381" t="s">
        <v>2326</v>
      </c>
    </row>
    <row r="3536" spans="1:2" x14ac:dyDescent="0.2">
      <c r="A3536" s="380">
        <v>5051601</v>
      </c>
      <c r="B3536" s="381" t="s">
        <v>2327</v>
      </c>
    </row>
    <row r="3537" spans="1:2" ht="25.5" x14ac:dyDescent="0.2">
      <c r="A3537" s="380">
        <v>5051700</v>
      </c>
      <c r="B3537" s="381" t="s">
        <v>2328</v>
      </c>
    </row>
    <row r="3538" spans="1:2" x14ac:dyDescent="0.2">
      <c r="A3538" s="380">
        <v>5051701</v>
      </c>
      <c r="B3538" s="381" t="s">
        <v>2329</v>
      </c>
    </row>
    <row r="3539" spans="1:2" ht="25.5" x14ac:dyDescent="0.2">
      <c r="A3539" s="380">
        <v>5051702</v>
      </c>
      <c r="B3539" s="381" t="s">
        <v>2330</v>
      </c>
    </row>
    <row r="3540" spans="1:2" ht="25.5" x14ac:dyDescent="0.2">
      <c r="A3540" s="380">
        <v>5051703</v>
      </c>
      <c r="B3540" s="381" t="s">
        <v>2331</v>
      </c>
    </row>
    <row r="3541" spans="1:2" x14ac:dyDescent="0.2">
      <c r="A3541" s="380">
        <v>5051704</v>
      </c>
      <c r="B3541" s="381" t="s">
        <v>2332</v>
      </c>
    </row>
    <row r="3542" spans="1:2" ht="25.5" x14ac:dyDescent="0.2">
      <c r="A3542" s="380">
        <v>5051800</v>
      </c>
      <c r="B3542" s="381" t="s">
        <v>2333</v>
      </c>
    </row>
    <row r="3543" spans="1:2" ht="25.5" x14ac:dyDescent="0.2">
      <c r="A3543" s="380">
        <v>5051900</v>
      </c>
      <c r="B3543" s="381" t="s">
        <v>2334</v>
      </c>
    </row>
    <row r="3544" spans="1:2" ht="25.5" x14ac:dyDescent="0.2">
      <c r="A3544" s="380">
        <v>5052000</v>
      </c>
      <c r="B3544" s="381" t="s">
        <v>2335</v>
      </c>
    </row>
    <row r="3545" spans="1:2" x14ac:dyDescent="0.2">
      <c r="A3545" s="380">
        <v>5052001</v>
      </c>
      <c r="B3545" s="381" t="s">
        <v>2336</v>
      </c>
    </row>
    <row r="3546" spans="1:2" ht="25.5" x14ac:dyDescent="0.2">
      <c r="A3546" s="380">
        <v>5052100</v>
      </c>
      <c r="B3546" s="381" t="s">
        <v>2337</v>
      </c>
    </row>
    <row r="3547" spans="1:2" ht="25.5" x14ac:dyDescent="0.2">
      <c r="A3547" s="380">
        <v>5052102</v>
      </c>
      <c r="B3547" s="381" t="s">
        <v>2338</v>
      </c>
    </row>
    <row r="3548" spans="1:2" x14ac:dyDescent="0.2">
      <c r="A3548" s="380">
        <v>5052200</v>
      </c>
      <c r="B3548" s="381" t="s">
        <v>2339</v>
      </c>
    </row>
    <row r="3549" spans="1:2" ht="25.5" x14ac:dyDescent="0.2">
      <c r="A3549" s="380">
        <v>5052201</v>
      </c>
      <c r="B3549" s="381" t="s">
        <v>2340</v>
      </c>
    </row>
    <row r="3550" spans="1:2" ht="25.5" x14ac:dyDescent="0.2">
      <c r="A3550" s="380">
        <v>5052202</v>
      </c>
      <c r="B3550" s="381" t="s">
        <v>2341</v>
      </c>
    </row>
    <row r="3551" spans="1:2" ht="38.25" x14ac:dyDescent="0.2">
      <c r="A3551" s="380">
        <v>5052203</v>
      </c>
      <c r="B3551" s="381" t="s">
        <v>2342</v>
      </c>
    </row>
    <row r="3552" spans="1:2" ht="25.5" x14ac:dyDescent="0.2">
      <c r="A3552" s="380">
        <v>5052204</v>
      </c>
      <c r="B3552" s="381" t="s">
        <v>2343</v>
      </c>
    </row>
    <row r="3553" spans="1:2" x14ac:dyDescent="0.2">
      <c r="A3553" s="380">
        <v>5052205</v>
      </c>
      <c r="B3553" s="381" t="s">
        <v>2344</v>
      </c>
    </row>
    <row r="3554" spans="1:2" ht="25.5" x14ac:dyDescent="0.2">
      <c r="A3554" s="380">
        <v>5052300</v>
      </c>
      <c r="B3554" s="381" t="s">
        <v>2345</v>
      </c>
    </row>
    <row r="3555" spans="1:2" ht="25.5" x14ac:dyDescent="0.2">
      <c r="A3555" s="380">
        <v>5052301</v>
      </c>
      <c r="B3555" s="381" t="s">
        <v>2346</v>
      </c>
    </row>
    <row r="3556" spans="1:2" x14ac:dyDescent="0.2">
      <c r="A3556" s="380">
        <v>5052302</v>
      </c>
      <c r="B3556" s="381" t="s">
        <v>2347</v>
      </c>
    </row>
    <row r="3557" spans="1:2" x14ac:dyDescent="0.2">
      <c r="A3557" s="380">
        <v>5052400</v>
      </c>
      <c r="B3557" s="381" t="s">
        <v>2348</v>
      </c>
    </row>
    <row r="3558" spans="1:2" ht="25.5" x14ac:dyDescent="0.2">
      <c r="A3558" s="380">
        <v>5052500</v>
      </c>
      <c r="B3558" s="381" t="s">
        <v>2349</v>
      </c>
    </row>
    <row r="3559" spans="1:2" x14ac:dyDescent="0.2">
      <c r="A3559" s="380">
        <v>5052501</v>
      </c>
      <c r="B3559" s="381" t="s">
        <v>2350</v>
      </c>
    </row>
    <row r="3560" spans="1:2" ht="38.25" x14ac:dyDescent="0.2">
      <c r="A3560" s="380">
        <v>5052600</v>
      </c>
      <c r="B3560" s="381" t="s">
        <v>2351</v>
      </c>
    </row>
    <row r="3561" spans="1:2" x14ac:dyDescent="0.2">
      <c r="A3561" s="380">
        <v>5052601</v>
      </c>
      <c r="B3561" s="381" t="s">
        <v>2352</v>
      </c>
    </row>
    <row r="3562" spans="1:2" ht="38.25" x14ac:dyDescent="0.2">
      <c r="A3562" s="380">
        <v>5052700</v>
      </c>
      <c r="B3562" s="381" t="s">
        <v>2353</v>
      </c>
    </row>
    <row r="3563" spans="1:2" ht="25.5" x14ac:dyDescent="0.2">
      <c r="A3563" s="380">
        <v>5052701</v>
      </c>
      <c r="B3563" s="381" t="s">
        <v>2354</v>
      </c>
    </row>
    <row r="3564" spans="1:2" x14ac:dyDescent="0.2">
      <c r="A3564" s="380">
        <v>5052800</v>
      </c>
      <c r="B3564" s="381" t="s">
        <v>2355</v>
      </c>
    </row>
    <row r="3565" spans="1:2" x14ac:dyDescent="0.2">
      <c r="A3565" s="380">
        <v>5052900</v>
      </c>
      <c r="B3565" s="381" t="s">
        <v>2356</v>
      </c>
    </row>
    <row r="3566" spans="1:2" ht="25.5" x14ac:dyDescent="0.2">
      <c r="A3566" s="380">
        <v>5052901</v>
      </c>
      <c r="B3566" s="381" t="s">
        <v>2357</v>
      </c>
    </row>
    <row r="3567" spans="1:2" x14ac:dyDescent="0.2">
      <c r="A3567" s="380">
        <v>5053000</v>
      </c>
      <c r="B3567" s="381" t="s">
        <v>2358</v>
      </c>
    </row>
    <row r="3568" spans="1:2" x14ac:dyDescent="0.2">
      <c r="A3568" s="380">
        <v>5053100</v>
      </c>
      <c r="B3568" s="381" t="s">
        <v>2358</v>
      </c>
    </row>
    <row r="3569" spans="1:2" x14ac:dyDescent="0.2">
      <c r="A3569" s="380">
        <v>5053110</v>
      </c>
      <c r="B3569" s="381" t="s">
        <v>2358</v>
      </c>
    </row>
    <row r="3570" spans="1:2" x14ac:dyDescent="0.2">
      <c r="A3570" s="380">
        <v>5053120</v>
      </c>
      <c r="B3570" s="381" t="s">
        <v>2358</v>
      </c>
    </row>
    <row r="3571" spans="1:2" ht="25.5" x14ac:dyDescent="0.2">
      <c r="A3571" s="380">
        <v>5053200</v>
      </c>
      <c r="B3571" s="381" t="s">
        <v>2359</v>
      </c>
    </row>
    <row r="3572" spans="1:2" ht="25.5" x14ac:dyDescent="0.2">
      <c r="A3572" s="380">
        <v>5053201</v>
      </c>
      <c r="B3572" s="381" t="s">
        <v>2360</v>
      </c>
    </row>
    <row r="3573" spans="1:2" ht="25.5" x14ac:dyDescent="0.2">
      <c r="A3573" s="380">
        <v>5053202</v>
      </c>
      <c r="B3573" s="381" t="s">
        <v>2361</v>
      </c>
    </row>
    <row r="3574" spans="1:2" ht="25.5" x14ac:dyDescent="0.2">
      <c r="A3574" s="380">
        <v>5053204</v>
      </c>
      <c r="B3574" s="381" t="s">
        <v>2362</v>
      </c>
    </row>
    <row r="3575" spans="1:2" ht="25.5" x14ac:dyDescent="0.2">
      <c r="A3575" s="380">
        <v>5053205</v>
      </c>
      <c r="B3575" s="381" t="s">
        <v>2363</v>
      </c>
    </row>
    <row r="3576" spans="1:2" x14ac:dyDescent="0.2">
      <c r="A3576" s="380">
        <v>5053300</v>
      </c>
      <c r="B3576" s="381" t="s">
        <v>1769</v>
      </c>
    </row>
    <row r="3577" spans="1:2" x14ac:dyDescent="0.2">
      <c r="A3577" s="380">
        <v>5053301</v>
      </c>
      <c r="B3577" s="381" t="s">
        <v>2364</v>
      </c>
    </row>
    <row r="3578" spans="1:2" x14ac:dyDescent="0.2">
      <c r="A3578" s="380">
        <v>5053302</v>
      </c>
      <c r="B3578" s="381" t="s">
        <v>2365</v>
      </c>
    </row>
    <row r="3579" spans="1:2" ht="63.75" x14ac:dyDescent="0.2">
      <c r="A3579" s="380">
        <v>5053400</v>
      </c>
      <c r="B3579" s="381" t="s">
        <v>2366</v>
      </c>
    </row>
    <row r="3580" spans="1:2" ht="38.25" x14ac:dyDescent="0.2">
      <c r="A3580" s="380">
        <v>5053401</v>
      </c>
      <c r="B3580" s="381" t="s">
        <v>2367</v>
      </c>
    </row>
    <row r="3581" spans="1:2" ht="25.5" x14ac:dyDescent="0.2">
      <c r="A3581" s="380">
        <v>5053402</v>
      </c>
      <c r="B3581" s="381" t="s">
        <v>2368</v>
      </c>
    </row>
    <row r="3582" spans="1:2" ht="25.5" x14ac:dyDescent="0.2">
      <c r="A3582" s="380">
        <v>5053500</v>
      </c>
      <c r="B3582" s="381" t="s">
        <v>2369</v>
      </c>
    </row>
    <row r="3583" spans="1:2" ht="25.5" x14ac:dyDescent="0.2">
      <c r="A3583" s="380">
        <v>5053600</v>
      </c>
      <c r="B3583" s="381" t="s">
        <v>2338</v>
      </c>
    </row>
    <row r="3584" spans="1:2" ht="25.5" x14ac:dyDescent="0.2">
      <c r="A3584" s="380">
        <v>5053601</v>
      </c>
      <c r="B3584" s="381" t="s">
        <v>2338</v>
      </c>
    </row>
    <row r="3585" spans="1:2" ht="25.5" x14ac:dyDescent="0.2">
      <c r="A3585" s="380">
        <v>5053602</v>
      </c>
      <c r="B3585" s="381" t="s">
        <v>2370</v>
      </c>
    </row>
    <row r="3586" spans="1:2" ht="38.25" x14ac:dyDescent="0.2">
      <c r="A3586" s="380">
        <v>5053700</v>
      </c>
      <c r="B3586" s="381" t="s">
        <v>2371</v>
      </c>
    </row>
    <row r="3587" spans="1:2" x14ac:dyDescent="0.2">
      <c r="A3587" s="380">
        <v>5053800</v>
      </c>
      <c r="B3587" s="381" t="s">
        <v>2372</v>
      </c>
    </row>
    <row r="3588" spans="1:2" ht="25.5" x14ac:dyDescent="0.2">
      <c r="A3588" s="380">
        <v>5053801</v>
      </c>
      <c r="B3588" s="381" t="s">
        <v>2373</v>
      </c>
    </row>
    <row r="3589" spans="1:2" ht="25.5" x14ac:dyDescent="0.2">
      <c r="A3589" s="380">
        <v>5053900</v>
      </c>
      <c r="B3589" s="381" t="s">
        <v>2374</v>
      </c>
    </row>
    <row r="3590" spans="1:2" ht="25.5" x14ac:dyDescent="0.2">
      <c r="A3590" s="380">
        <v>5053901</v>
      </c>
      <c r="B3590" s="381" t="s">
        <v>2375</v>
      </c>
    </row>
    <row r="3591" spans="1:2" x14ac:dyDescent="0.2">
      <c r="A3591" s="380">
        <v>5053902</v>
      </c>
      <c r="B3591" s="381" t="s">
        <v>2376</v>
      </c>
    </row>
    <row r="3592" spans="1:2" x14ac:dyDescent="0.2">
      <c r="A3592" s="380">
        <v>5053903</v>
      </c>
      <c r="B3592" s="381" t="s">
        <v>2377</v>
      </c>
    </row>
    <row r="3593" spans="1:2" ht="25.5" x14ac:dyDescent="0.2">
      <c r="A3593" s="380">
        <v>5053904</v>
      </c>
      <c r="B3593" s="381" t="s">
        <v>2378</v>
      </c>
    </row>
    <row r="3594" spans="1:2" x14ac:dyDescent="0.2">
      <c r="A3594" s="380">
        <v>5053905</v>
      </c>
      <c r="B3594" s="381" t="s">
        <v>2379</v>
      </c>
    </row>
    <row r="3595" spans="1:2" x14ac:dyDescent="0.2">
      <c r="A3595" s="380">
        <v>5053906</v>
      </c>
      <c r="B3595" s="381" t="s">
        <v>2380</v>
      </c>
    </row>
    <row r="3596" spans="1:2" x14ac:dyDescent="0.2">
      <c r="A3596" s="380">
        <v>5053907</v>
      </c>
      <c r="B3596" s="381" t="s">
        <v>2381</v>
      </c>
    </row>
    <row r="3597" spans="1:2" ht="25.5" x14ac:dyDescent="0.2">
      <c r="A3597" s="380">
        <v>5054000</v>
      </c>
      <c r="B3597" s="381" t="s">
        <v>2382</v>
      </c>
    </row>
    <row r="3598" spans="1:2" ht="63.75" x14ac:dyDescent="0.2">
      <c r="A3598" s="380">
        <v>5054100</v>
      </c>
      <c r="B3598" s="381" t="s">
        <v>2383</v>
      </c>
    </row>
    <row r="3599" spans="1:2" ht="25.5" x14ac:dyDescent="0.2">
      <c r="A3599" s="380">
        <v>5054200</v>
      </c>
      <c r="B3599" s="381" t="s">
        <v>2384</v>
      </c>
    </row>
    <row r="3600" spans="1:2" x14ac:dyDescent="0.2">
      <c r="A3600" s="380">
        <v>5054201</v>
      </c>
      <c r="B3600" s="381" t="s">
        <v>2385</v>
      </c>
    </row>
    <row r="3601" spans="1:2" ht="25.5" x14ac:dyDescent="0.2">
      <c r="A3601" s="380">
        <v>5054202</v>
      </c>
      <c r="B3601" s="381" t="s">
        <v>2386</v>
      </c>
    </row>
    <row r="3602" spans="1:2" x14ac:dyDescent="0.2">
      <c r="A3602" s="380">
        <v>5054300</v>
      </c>
      <c r="B3602" s="381" t="s">
        <v>2387</v>
      </c>
    </row>
    <row r="3603" spans="1:2" x14ac:dyDescent="0.2">
      <c r="A3603" s="380">
        <v>5054301</v>
      </c>
      <c r="B3603" s="381" t="s">
        <v>2144</v>
      </c>
    </row>
    <row r="3604" spans="1:2" x14ac:dyDescent="0.2">
      <c r="A3604" s="380">
        <v>5054302</v>
      </c>
      <c r="B3604" s="381" t="s">
        <v>2388</v>
      </c>
    </row>
    <row r="3605" spans="1:2" x14ac:dyDescent="0.2">
      <c r="A3605" s="380">
        <v>5054400</v>
      </c>
      <c r="B3605" s="381" t="s">
        <v>2389</v>
      </c>
    </row>
    <row r="3606" spans="1:2" ht="25.5" x14ac:dyDescent="0.2">
      <c r="A3606" s="380">
        <v>5054401</v>
      </c>
      <c r="B3606" s="381" t="s">
        <v>2390</v>
      </c>
    </row>
    <row r="3607" spans="1:2" ht="25.5" x14ac:dyDescent="0.2">
      <c r="A3607" s="380">
        <v>5054500</v>
      </c>
      <c r="B3607" s="381" t="s">
        <v>2391</v>
      </c>
    </row>
    <row r="3608" spans="1:2" x14ac:dyDescent="0.2">
      <c r="A3608" s="380">
        <v>5054600</v>
      </c>
      <c r="B3608" s="381" t="s">
        <v>2392</v>
      </c>
    </row>
    <row r="3609" spans="1:2" x14ac:dyDescent="0.2">
      <c r="A3609" s="380">
        <v>5054700</v>
      </c>
      <c r="B3609" s="381" t="s">
        <v>2358</v>
      </c>
    </row>
    <row r="3610" spans="1:2" x14ac:dyDescent="0.2">
      <c r="A3610" s="380">
        <v>5054800</v>
      </c>
      <c r="B3610" s="381" t="s">
        <v>2393</v>
      </c>
    </row>
    <row r="3611" spans="1:2" x14ac:dyDescent="0.2">
      <c r="A3611" s="380">
        <v>5054900</v>
      </c>
      <c r="B3611" s="381" t="s">
        <v>2394</v>
      </c>
    </row>
    <row r="3612" spans="1:2" x14ac:dyDescent="0.2">
      <c r="A3612" s="380">
        <v>5054901</v>
      </c>
      <c r="B3612" s="381" t="s">
        <v>2395</v>
      </c>
    </row>
    <row r="3613" spans="1:2" ht="25.5" x14ac:dyDescent="0.2">
      <c r="A3613" s="380">
        <v>5055000</v>
      </c>
      <c r="B3613" s="381" t="s">
        <v>2396</v>
      </c>
    </row>
    <row r="3614" spans="1:2" x14ac:dyDescent="0.2">
      <c r="A3614" s="380">
        <v>5055100</v>
      </c>
      <c r="B3614" s="381" t="s">
        <v>2397</v>
      </c>
    </row>
    <row r="3615" spans="1:2" x14ac:dyDescent="0.2">
      <c r="A3615" s="380">
        <v>5055101</v>
      </c>
      <c r="B3615" s="381" t="s">
        <v>2398</v>
      </c>
    </row>
    <row r="3616" spans="1:2" ht="25.5" x14ac:dyDescent="0.2">
      <c r="A3616" s="380">
        <v>5055200</v>
      </c>
      <c r="B3616" s="381" t="s">
        <v>2399</v>
      </c>
    </row>
    <row r="3617" spans="1:2" x14ac:dyDescent="0.2">
      <c r="A3617" s="380">
        <v>5055201</v>
      </c>
      <c r="B3617" s="381" t="s">
        <v>2400</v>
      </c>
    </row>
    <row r="3618" spans="1:2" ht="25.5" x14ac:dyDescent="0.2">
      <c r="A3618" s="380">
        <v>5055300</v>
      </c>
      <c r="B3618" s="381" t="s">
        <v>2401</v>
      </c>
    </row>
    <row r="3619" spans="1:2" ht="25.5" x14ac:dyDescent="0.2">
      <c r="A3619" s="380">
        <v>5055400</v>
      </c>
      <c r="B3619" s="381" t="s">
        <v>2402</v>
      </c>
    </row>
    <row r="3620" spans="1:2" ht="38.25" x14ac:dyDescent="0.2">
      <c r="A3620" s="380">
        <v>5055402</v>
      </c>
      <c r="B3620" s="381" t="s">
        <v>2403</v>
      </c>
    </row>
    <row r="3621" spans="1:2" x14ac:dyDescent="0.2">
      <c r="A3621" s="380">
        <v>5055500</v>
      </c>
      <c r="B3621" s="381" t="s">
        <v>2404</v>
      </c>
    </row>
    <row r="3622" spans="1:2" x14ac:dyDescent="0.2">
      <c r="A3622" s="380">
        <v>5055510</v>
      </c>
      <c r="B3622" s="381" t="s">
        <v>2405</v>
      </c>
    </row>
    <row r="3623" spans="1:2" x14ac:dyDescent="0.2">
      <c r="A3623" s="380">
        <v>5055520</v>
      </c>
      <c r="B3623" s="381" t="s">
        <v>2406</v>
      </c>
    </row>
    <row r="3624" spans="1:2" x14ac:dyDescent="0.2">
      <c r="A3624" s="380">
        <v>5055521</v>
      </c>
      <c r="B3624" s="381" t="s">
        <v>2407</v>
      </c>
    </row>
    <row r="3625" spans="1:2" x14ac:dyDescent="0.2">
      <c r="A3625" s="380">
        <v>5055522</v>
      </c>
      <c r="B3625" s="381" t="s">
        <v>2408</v>
      </c>
    </row>
    <row r="3626" spans="1:2" ht="25.5" x14ac:dyDescent="0.2">
      <c r="A3626" s="380">
        <v>5055530</v>
      </c>
      <c r="B3626" s="381" t="s">
        <v>2409</v>
      </c>
    </row>
    <row r="3627" spans="1:2" ht="25.5" x14ac:dyDescent="0.2">
      <c r="A3627" s="380">
        <v>5055531</v>
      </c>
      <c r="B3627" s="381" t="s">
        <v>2409</v>
      </c>
    </row>
    <row r="3628" spans="1:2" x14ac:dyDescent="0.2">
      <c r="A3628" s="380">
        <v>5055900</v>
      </c>
      <c r="B3628" s="381" t="s">
        <v>2410</v>
      </c>
    </row>
    <row r="3629" spans="1:2" x14ac:dyDescent="0.2">
      <c r="A3629" s="380">
        <v>5055901</v>
      </c>
      <c r="B3629" s="381" t="s">
        <v>2411</v>
      </c>
    </row>
    <row r="3630" spans="1:2" x14ac:dyDescent="0.2">
      <c r="A3630" s="380">
        <v>5055902</v>
      </c>
      <c r="B3630" s="381" t="s">
        <v>2412</v>
      </c>
    </row>
    <row r="3631" spans="1:2" x14ac:dyDescent="0.2">
      <c r="A3631" s="380">
        <v>5055903</v>
      </c>
      <c r="B3631" s="381" t="s">
        <v>2413</v>
      </c>
    </row>
    <row r="3632" spans="1:2" x14ac:dyDescent="0.2">
      <c r="A3632" s="380">
        <v>5055904</v>
      </c>
      <c r="B3632" s="381" t="s">
        <v>2414</v>
      </c>
    </row>
    <row r="3633" spans="1:2" x14ac:dyDescent="0.2">
      <c r="A3633" s="380">
        <v>5056400</v>
      </c>
      <c r="B3633" s="381" t="s">
        <v>1791</v>
      </c>
    </row>
    <row r="3634" spans="1:2" x14ac:dyDescent="0.2">
      <c r="A3634" s="380">
        <v>5057600</v>
      </c>
      <c r="B3634" s="381" t="s">
        <v>2124</v>
      </c>
    </row>
    <row r="3635" spans="1:2" x14ac:dyDescent="0.2">
      <c r="A3635" s="380">
        <v>5058000</v>
      </c>
      <c r="B3635" s="381" t="s">
        <v>2415</v>
      </c>
    </row>
    <row r="3636" spans="1:2" x14ac:dyDescent="0.2">
      <c r="A3636" s="380">
        <v>5058001</v>
      </c>
      <c r="B3636" s="381" t="s">
        <v>2416</v>
      </c>
    </row>
    <row r="3637" spans="1:2" ht="38.25" x14ac:dyDescent="0.2">
      <c r="A3637" s="380">
        <v>5058100</v>
      </c>
      <c r="B3637" s="381" t="s">
        <v>2417</v>
      </c>
    </row>
    <row r="3638" spans="1:2" ht="25.5" x14ac:dyDescent="0.2">
      <c r="A3638" s="380">
        <v>5058101</v>
      </c>
      <c r="B3638" s="381" t="s">
        <v>2418</v>
      </c>
    </row>
    <row r="3639" spans="1:2" x14ac:dyDescent="0.2">
      <c r="A3639" s="380">
        <v>5058500</v>
      </c>
      <c r="B3639" s="381" t="s">
        <v>2419</v>
      </c>
    </row>
    <row r="3640" spans="1:2" x14ac:dyDescent="0.2">
      <c r="A3640" s="380">
        <v>5058600</v>
      </c>
      <c r="B3640" s="381" t="s">
        <v>2419</v>
      </c>
    </row>
    <row r="3641" spans="1:2" x14ac:dyDescent="0.2">
      <c r="A3641" s="380">
        <v>5058610</v>
      </c>
      <c r="B3641" s="381" t="s">
        <v>2420</v>
      </c>
    </row>
    <row r="3642" spans="1:2" x14ac:dyDescent="0.2">
      <c r="A3642" s="380">
        <v>5060000</v>
      </c>
      <c r="B3642" s="381" t="s">
        <v>2421</v>
      </c>
    </row>
    <row r="3643" spans="1:2" x14ac:dyDescent="0.2">
      <c r="A3643" s="380">
        <v>5060100</v>
      </c>
      <c r="B3643" s="381" t="s">
        <v>2422</v>
      </c>
    </row>
    <row r="3644" spans="1:2" x14ac:dyDescent="0.2">
      <c r="A3644" s="380">
        <v>5060200</v>
      </c>
      <c r="B3644" s="381" t="s">
        <v>2423</v>
      </c>
    </row>
    <row r="3645" spans="1:2" ht="25.5" x14ac:dyDescent="0.2">
      <c r="A3645" s="380">
        <v>5060300</v>
      </c>
      <c r="B3645" s="381" t="s">
        <v>2424</v>
      </c>
    </row>
    <row r="3646" spans="1:2" x14ac:dyDescent="0.2">
      <c r="A3646" s="380">
        <v>5070000</v>
      </c>
      <c r="B3646" s="381" t="s">
        <v>2425</v>
      </c>
    </row>
    <row r="3647" spans="1:2" x14ac:dyDescent="0.2">
      <c r="A3647" s="380">
        <v>5070100</v>
      </c>
      <c r="B3647" s="381" t="s">
        <v>2426</v>
      </c>
    </row>
    <row r="3648" spans="1:2" x14ac:dyDescent="0.2">
      <c r="A3648" s="380">
        <v>5079900</v>
      </c>
      <c r="B3648" s="381" t="s">
        <v>2358</v>
      </c>
    </row>
    <row r="3649" spans="1:2" x14ac:dyDescent="0.2">
      <c r="A3649" s="380">
        <v>5080000</v>
      </c>
      <c r="B3649" s="381" t="s">
        <v>2427</v>
      </c>
    </row>
    <row r="3650" spans="1:2" x14ac:dyDescent="0.2">
      <c r="A3650" s="380">
        <v>5089900</v>
      </c>
      <c r="B3650" s="381" t="s">
        <v>1327</v>
      </c>
    </row>
    <row r="3651" spans="1:2" x14ac:dyDescent="0.2">
      <c r="A3651" s="380">
        <v>5090000</v>
      </c>
      <c r="B3651" s="381" t="s">
        <v>2428</v>
      </c>
    </row>
    <row r="3652" spans="1:2" ht="25.5" x14ac:dyDescent="0.2">
      <c r="A3652" s="380">
        <v>5090100</v>
      </c>
      <c r="B3652" s="381" t="s">
        <v>2429</v>
      </c>
    </row>
    <row r="3653" spans="1:2" x14ac:dyDescent="0.2">
      <c r="A3653" s="380">
        <v>5090101</v>
      </c>
      <c r="B3653" s="381" t="s">
        <v>2430</v>
      </c>
    </row>
    <row r="3654" spans="1:2" ht="25.5" x14ac:dyDescent="0.2">
      <c r="A3654" s="380">
        <v>5090200</v>
      </c>
      <c r="B3654" s="381" t="s">
        <v>2431</v>
      </c>
    </row>
    <row r="3655" spans="1:2" x14ac:dyDescent="0.2">
      <c r="A3655" s="380">
        <v>5090201</v>
      </c>
      <c r="B3655" s="381" t="s">
        <v>2432</v>
      </c>
    </row>
    <row r="3656" spans="1:2" ht="25.5" x14ac:dyDescent="0.2">
      <c r="A3656" s="380">
        <v>5090300</v>
      </c>
      <c r="B3656" s="381" t="s">
        <v>2433</v>
      </c>
    </row>
    <row r="3657" spans="1:2" x14ac:dyDescent="0.2">
      <c r="A3657" s="380">
        <v>5090301</v>
      </c>
      <c r="B3657" s="381" t="s">
        <v>2434</v>
      </c>
    </row>
    <row r="3658" spans="1:2" ht="25.5" x14ac:dyDescent="0.2">
      <c r="A3658" s="380">
        <v>5090400</v>
      </c>
      <c r="B3658" s="381" t="s">
        <v>2435</v>
      </c>
    </row>
    <row r="3659" spans="1:2" ht="25.5" x14ac:dyDescent="0.2">
      <c r="A3659" s="380">
        <v>5090401</v>
      </c>
      <c r="B3659" s="381" t="s">
        <v>2436</v>
      </c>
    </row>
    <row r="3660" spans="1:2" ht="51" x14ac:dyDescent="0.2">
      <c r="A3660" s="380">
        <v>5090500</v>
      </c>
      <c r="B3660" s="381" t="s">
        <v>2437</v>
      </c>
    </row>
    <row r="3661" spans="1:2" ht="38.25" x14ac:dyDescent="0.2">
      <c r="A3661" s="380">
        <v>5090501</v>
      </c>
      <c r="B3661" s="381" t="s">
        <v>2438</v>
      </c>
    </row>
    <row r="3662" spans="1:2" ht="25.5" x14ac:dyDescent="0.2">
      <c r="A3662" s="380">
        <v>5090600</v>
      </c>
      <c r="B3662" s="381" t="s">
        <v>2439</v>
      </c>
    </row>
    <row r="3663" spans="1:2" x14ac:dyDescent="0.2">
      <c r="A3663" s="380">
        <v>5090601</v>
      </c>
      <c r="B3663" s="381" t="s">
        <v>2440</v>
      </c>
    </row>
    <row r="3664" spans="1:2" ht="25.5" x14ac:dyDescent="0.2">
      <c r="A3664" s="380">
        <v>5090700</v>
      </c>
      <c r="B3664" s="381" t="s">
        <v>2441</v>
      </c>
    </row>
    <row r="3665" spans="1:2" x14ac:dyDescent="0.2">
      <c r="A3665" s="380">
        <v>5090701</v>
      </c>
      <c r="B3665" s="381" t="s">
        <v>2442</v>
      </c>
    </row>
    <row r="3666" spans="1:2" ht="25.5" x14ac:dyDescent="0.2">
      <c r="A3666" s="380">
        <v>5090800</v>
      </c>
      <c r="B3666" s="381" t="s">
        <v>2443</v>
      </c>
    </row>
    <row r="3667" spans="1:2" x14ac:dyDescent="0.2">
      <c r="A3667" s="380">
        <v>5090801</v>
      </c>
      <c r="B3667" s="381" t="s">
        <v>2444</v>
      </c>
    </row>
    <row r="3668" spans="1:2" ht="25.5" x14ac:dyDescent="0.2">
      <c r="A3668" s="380">
        <v>5090900</v>
      </c>
      <c r="B3668" s="381" t="s">
        <v>2445</v>
      </c>
    </row>
    <row r="3669" spans="1:2" x14ac:dyDescent="0.2">
      <c r="A3669" s="380">
        <v>5090901</v>
      </c>
      <c r="B3669" s="381" t="s">
        <v>2446</v>
      </c>
    </row>
    <row r="3670" spans="1:2" ht="25.5" x14ac:dyDescent="0.2">
      <c r="A3670" s="380">
        <v>5091000</v>
      </c>
      <c r="B3670" s="381" t="s">
        <v>2447</v>
      </c>
    </row>
    <row r="3671" spans="1:2" x14ac:dyDescent="0.2">
      <c r="A3671" s="380">
        <v>5091001</v>
      </c>
      <c r="B3671" s="381" t="s">
        <v>2448</v>
      </c>
    </row>
    <row r="3672" spans="1:2" ht="25.5" x14ac:dyDescent="0.2">
      <c r="A3672" s="380">
        <v>5091100</v>
      </c>
      <c r="B3672" s="381" t="s">
        <v>2449</v>
      </c>
    </row>
    <row r="3673" spans="1:2" x14ac:dyDescent="0.2">
      <c r="A3673" s="380">
        <v>5091101</v>
      </c>
      <c r="B3673" s="381" t="s">
        <v>2450</v>
      </c>
    </row>
    <row r="3674" spans="1:2" ht="25.5" x14ac:dyDescent="0.2">
      <c r="A3674" s="380">
        <v>5091200</v>
      </c>
      <c r="B3674" s="381" t="s">
        <v>2451</v>
      </c>
    </row>
    <row r="3675" spans="1:2" x14ac:dyDescent="0.2">
      <c r="A3675" s="380">
        <v>5091201</v>
      </c>
      <c r="B3675" s="381" t="s">
        <v>2452</v>
      </c>
    </row>
    <row r="3676" spans="1:2" ht="25.5" x14ac:dyDescent="0.2">
      <c r="A3676" s="380">
        <v>5091300</v>
      </c>
      <c r="B3676" s="381" t="s">
        <v>2453</v>
      </c>
    </row>
    <row r="3677" spans="1:2" x14ac:dyDescent="0.2">
      <c r="A3677" s="380">
        <v>5091301</v>
      </c>
      <c r="B3677" s="381" t="s">
        <v>2454</v>
      </c>
    </row>
    <row r="3678" spans="1:2" x14ac:dyDescent="0.2">
      <c r="A3678" s="380">
        <v>5100000</v>
      </c>
      <c r="B3678" s="381" t="s">
        <v>2455</v>
      </c>
    </row>
    <row r="3679" spans="1:2" x14ac:dyDescent="0.2">
      <c r="A3679" s="380">
        <v>5100100</v>
      </c>
      <c r="B3679" s="381" t="s">
        <v>2456</v>
      </c>
    </row>
    <row r="3680" spans="1:2" ht="25.5" x14ac:dyDescent="0.2">
      <c r="A3680" s="380">
        <v>5100200</v>
      </c>
      <c r="B3680" s="381" t="s">
        <v>2457</v>
      </c>
    </row>
    <row r="3681" spans="1:2" ht="25.5" x14ac:dyDescent="0.2">
      <c r="A3681" s="380">
        <v>5100300</v>
      </c>
      <c r="B3681" s="381" t="s">
        <v>2458</v>
      </c>
    </row>
    <row r="3682" spans="1:2" x14ac:dyDescent="0.2">
      <c r="A3682" s="380">
        <v>5110000</v>
      </c>
      <c r="B3682" s="381" t="s">
        <v>2459</v>
      </c>
    </row>
    <row r="3683" spans="1:2" ht="25.5" x14ac:dyDescent="0.2">
      <c r="A3683" s="380">
        <v>5110200</v>
      </c>
      <c r="B3683" s="381" t="s">
        <v>2460</v>
      </c>
    </row>
    <row r="3684" spans="1:2" x14ac:dyDescent="0.2">
      <c r="A3684" s="380">
        <v>5120000</v>
      </c>
      <c r="B3684" s="381" t="s">
        <v>2461</v>
      </c>
    </row>
    <row r="3685" spans="1:2" x14ac:dyDescent="0.2">
      <c r="A3685" s="380">
        <v>5129400</v>
      </c>
      <c r="B3685" s="381" t="s">
        <v>1379</v>
      </c>
    </row>
    <row r="3686" spans="1:2" x14ac:dyDescent="0.2">
      <c r="A3686" s="380">
        <v>5129700</v>
      </c>
      <c r="B3686" s="381" t="s">
        <v>1361</v>
      </c>
    </row>
    <row r="3687" spans="1:2" x14ac:dyDescent="0.2">
      <c r="A3687" s="380">
        <v>5130000</v>
      </c>
      <c r="B3687" s="381" t="s">
        <v>2462</v>
      </c>
    </row>
    <row r="3688" spans="1:2" x14ac:dyDescent="0.2">
      <c r="A3688" s="380">
        <v>5139700</v>
      </c>
      <c r="B3688" s="381" t="s">
        <v>1361</v>
      </c>
    </row>
    <row r="3689" spans="1:2" x14ac:dyDescent="0.2">
      <c r="A3689" s="380">
        <v>5140000</v>
      </c>
      <c r="B3689" s="381" t="s">
        <v>2463</v>
      </c>
    </row>
    <row r="3690" spans="1:2" x14ac:dyDescent="0.2">
      <c r="A3690" s="380">
        <v>5140100</v>
      </c>
      <c r="B3690" s="381" t="s">
        <v>1769</v>
      </c>
    </row>
    <row r="3691" spans="1:2" x14ac:dyDescent="0.2">
      <c r="A3691" s="380">
        <v>5140101</v>
      </c>
      <c r="B3691" s="381" t="s">
        <v>2464</v>
      </c>
    </row>
    <row r="3692" spans="1:2" x14ac:dyDescent="0.2">
      <c r="A3692" s="380">
        <v>5140102</v>
      </c>
      <c r="B3692" s="381" t="s">
        <v>2465</v>
      </c>
    </row>
    <row r="3693" spans="1:2" x14ac:dyDescent="0.2">
      <c r="A3693" s="380">
        <v>5140103</v>
      </c>
      <c r="B3693" s="381" t="s">
        <v>2464</v>
      </c>
    </row>
    <row r="3694" spans="1:2" x14ac:dyDescent="0.2">
      <c r="A3694" s="380">
        <v>5140110</v>
      </c>
      <c r="B3694" s="381" t="s">
        <v>2466</v>
      </c>
    </row>
    <row r="3695" spans="1:2" x14ac:dyDescent="0.2">
      <c r="A3695" s="380">
        <v>5140200</v>
      </c>
      <c r="B3695" s="381" t="s">
        <v>2467</v>
      </c>
    </row>
    <row r="3696" spans="1:2" x14ac:dyDescent="0.2">
      <c r="A3696" s="380">
        <v>5140300</v>
      </c>
      <c r="B3696" s="381" t="s">
        <v>2468</v>
      </c>
    </row>
    <row r="3697" spans="1:2" x14ac:dyDescent="0.2">
      <c r="A3697" s="380">
        <v>5140400</v>
      </c>
      <c r="B3697" s="381" t="s">
        <v>2469</v>
      </c>
    </row>
    <row r="3698" spans="1:2" x14ac:dyDescent="0.2">
      <c r="A3698" s="380">
        <v>5140500</v>
      </c>
      <c r="B3698" s="381" t="s">
        <v>2470</v>
      </c>
    </row>
    <row r="3699" spans="1:2" ht="25.5" x14ac:dyDescent="0.2">
      <c r="A3699" s="380">
        <v>5140600</v>
      </c>
      <c r="B3699" s="381" t="s">
        <v>2471</v>
      </c>
    </row>
    <row r="3700" spans="1:2" x14ac:dyDescent="0.2">
      <c r="A3700" s="380">
        <v>5140700</v>
      </c>
      <c r="B3700" s="381" t="s">
        <v>2472</v>
      </c>
    </row>
    <row r="3701" spans="1:2" x14ac:dyDescent="0.2">
      <c r="A3701" s="380">
        <v>5140800</v>
      </c>
      <c r="B3701" s="381" t="s">
        <v>2473</v>
      </c>
    </row>
    <row r="3702" spans="1:2" x14ac:dyDescent="0.2">
      <c r="A3702" s="380">
        <v>5140900</v>
      </c>
      <c r="B3702" s="381" t="s">
        <v>2474</v>
      </c>
    </row>
    <row r="3703" spans="1:2" ht="38.25" x14ac:dyDescent="0.2">
      <c r="A3703" s="380">
        <v>5141000</v>
      </c>
      <c r="B3703" s="381" t="s">
        <v>2475</v>
      </c>
    </row>
    <row r="3704" spans="1:2" ht="25.5" x14ac:dyDescent="0.2">
      <c r="A3704" s="380">
        <v>5141500</v>
      </c>
      <c r="B3704" s="381" t="s">
        <v>2476</v>
      </c>
    </row>
    <row r="3705" spans="1:2" ht="38.25" x14ac:dyDescent="0.2">
      <c r="A3705" s="380">
        <v>5142000</v>
      </c>
      <c r="B3705" s="381" t="s">
        <v>2477</v>
      </c>
    </row>
    <row r="3706" spans="1:2" x14ac:dyDescent="0.2">
      <c r="A3706" s="380">
        <v>5142100</v>
      </c>
      <c r="B3706" s="381" t="s">
        <v>2478</v>
      </c>
    </row>
    <row r="3707" spans="1:2" x14ac:dyDescent="0.2">
      <c r="A3707" s="380">
        <v>5142200</v>
      </c>
      <c r="B3707" s="381" t="s">
        <v>2479</v>
      </c>
    </row>
    <row r="3708" spans="1:2" ht="25.5" x14ac:dyDescent="0.2">
      <c r="A3708" s="380">
        <v>5142201</v>
      </c>
      <c r="B3708" s="381" t="s">
        <v>2480</v>
      </c>
    </row>
    <row r="3709" spans="1:2" x14ac:dyDescent="0.2">
      <c r="A3709" s="380">
        <v>5142202</v>
      </c>
      <c r="B3709" s="381" t="s">
        <v>2481</v>
      </c>
    </row>
    <row r="3710" spans="1:2" x14ac:dyDescent="0.2">
      <c r="A3710" s="380">
        <v>5142300</v>
      </c>
      <c r="B3710" s="381" t="s">
        <v>2482</v>
      </c>
    </row>
    <row r="3711" spans="1:2" ht="38.25" x14ac:dyDescent="0.2">
      <c r="A3711" s="380">
        <v>5142301</v>
      </c>
      <c r="B3711" s="381" t="s">
        <v>2483</v>
      </c>
    </row>
    <row r="3712" spans="1:2" ht="38.25" x14ac:dyDescent="0.2">
      <c r="A3712" s="380">
        <v>5142400</v>
      </c>
      <c r="B3712" s="381" t="s">
        <v>2484</v>
      </c>
    </row>
    <row r="3713" spans="1:2" ht="25.5" x14ac:dyDescent="0.2">
      <c r="A3713" s="380">
        <v>5142401</v>
      </c>
      <c r="B3713" s="381" t="s">
        <v>2485</v>
      </c>
    </row>
    <row r="3714" spans="1:2" x14ac:dyDescent="0.2">
      <c r="A3714" s="380">
        <v>5142500</v>
      </c>
      <c r="B3714" s="381" t="s">
        <v>2486</v>
      </c>
    </row>
    <row r="3715" spans="1:2" x14ac:dyDescent="0.2">
      <c r="A3715" s="380">
        <v>5142501</v>
      </c>
      <c r="B3715" s="381" t="s">
        <v>2487</v>
      </c>
    </row>
    <row r="3716" spans="1:2" x14ac:dyDescent="0.2">
      <c r="A3716" s="380">
        <v>5142600</v>
      </c>
      <c r="B3716" s="381" t="s">
        <v>2488</v>
      </c>
    </row>
    <row r="3717" spans="1:2" ht="25.5" x14ac:dyDescent="0.2">
      <c r="A3717" s="380">
        <v>5142601</v>
      </c>
      <c r="B3717" s="381" t="s">
        <v>2489</v>
      </c>
    </row>
    <row r="3718" spans="1:2" x14ac:dyDescent="0.2">
      <c r="A3718" s="380">
        <v>5142800</v>
      </c>
      <c r="B3718" s="381" t="s">
        <v>2490</v>
      </c>
    </row>
    <row r="3719" spans="1:2" ht="25.5" x14ac:dyDescent="0.2">
      <c r="A3719" s="380">
        <v>5142801</v>
      </c>
      <c r="B3719" s="381" t="s">
        <v>2491</v>
      </c>
    </row>
    <row r="3720" spans="1:2" x14ac:dyDescent="0.2">
      <c r="A3720" s="380">
        <v>5142900</v>
      </c>
      <c r="B3720" s="381" t="s">
        <v>2492</v>
      </c>
    </row>
    <row r="3721" spans="1:2" ht="25.5" x14ac:dyDescent="0.2">
      <c r="A3721" s="380">
        <v>5142901</v>
      </c>
      <c r="B3721" s="381" t="s">
        <v>2493</v>
      </c>
    </row>
    <row r="3722" spans="1:2" x14ac:dyDescent="0.2">
      <c r="A3722" s="380">
        <v>5143100</v>
      </c>
      <c r="B3722" s="381" t="s">
        <v>2494</v>
      </c>
    </row>
    <row r="3723" spans="1:2" ht="38.25" x14ac:dyDescent="0.2">
      <c r="A3723" s="380">
        <v>5143101</v>
      </c>
      <c r="B3723" s="381" t="s">
        <v>2495</v>
      </c>
    </row>
    <row r="3724" spans="1:2" x14ac:dyDescent="0.2">
      <c r="A3724" s="380">
        <v>5143300</v>
      </c>
      <c r="B3724" s="381" t="s">
        <v>2496</v>
      </c>
    </row>
    <row r="3725" spans="1:2" ht="25.5" x14ac:dyDescent="0.2">
      <c r="A3725" s="380">
        <v>5143301</v>
      </c>
      <c r="B3725" s="381" t="s">
        <v>2497</v>
      </c>
    </row>
    <row r="3726" spans="1:2" x14ac:dyDescent="0.2">
      <c r="A3726" s="380">
        <v>5143400</v>
      </c>
      <c r="B3726" s="381" t="s">
        <v>2498</v>
      </c>
    </row>
    <row r="3727" spans="1:2" x14ac:dyDescent="0.2">
      <c r="A3727" s="380">
        <v>5143401</v>
      </c>
      <c r="B3727" s="381" t="s">
        <v>2499</v>
      </c>
    </row>
    <row r="3728" spans="1:2" ht="25.5" x14ac:dyDescent="0.2">
      <c r="A3728" s="380">
        <v>5143500</v>
      </c>
      <c r="B3728" s="381" t="s">
        <v>2500</v>
      </c>
    </row>
    <row r="3729" spans="1:2" x14ac:dyDescent="0.2">
      <c r="A3729" s="380">
        <v>5143501</v>
      </c>
      <c r="B3729" s="381" t="s">
        <v>2501</v>
      </c>
    </row>
    <row r="3730" spans="1:2" ht="38.25" x14ac:dyDescent="0.2">
      <c r="A3730" s="380">
        <v>5143600</v>
      </c>
      <c r="B3730" s="381" t="s">
        <v>2502</v>
      </c>
    </row>
    <row r="3731" spans="1:2" x14ac:dyDescent="0.2">
      <c r="A3731" s="380">
        <v>5143601</v>
      </c>
      <c r="B3731" s="381" t="s">
        <v>2503</v>
      </c>
    </row>
    <row r="3732" spans="1:2" ht="38.25" x14ac:dyDescent="0.2">
      <c r="A3732" s="380">
        <v>5143700</v>
      </c>
      <c r="B3732" s="381" t="s">
        <v>2504</v>
      </c>
    </row>
    <row r="3733" spans="1:2" ht="38.25" x14ac:dyDescent="0.2">
      <c r="A3733" s="380">
        <v>5143701</v>
      </c>
      <c r="B3733" s="381" t="s">
        <v>2505</v>
      </c>
    </row>
    <row r="3734" spans="1:2" ht="25.5" x14ac:dyDescent="0.2">
      <c r="A3734" s="380">
        <v>5143800</v>
      </c>
      <c r="B3734" s="381" t="s">
        <v>2506</v>
      </c>
    </row>
    <row r="3735" spans="1:2" ht="25.5" x14ac:dyDescent="0.2">
      <c r="A3735" s="380">
        <v>5143801</v>
      </c>
      <c r="B3735" s="381" t="s">
        <v>2507</v>
      </c>
    </row>
    <row r="3736" spans="1:2" ht="102" x14ac:dyDescent="0.2">
      <c r="A3736" s="380">
        <v>5143900</v>
      </c>
      <c r="B3736" s="381" t="s">
        <v>2508</v>
      </c>
    </row>
    <row r="3737" spans="1:2" ht="51" x14ac:dyDescent="0.2">
      <c r="A3737" s="380">
        <v>5143901</v>
      </c>
      <c r="B3737" s="381" t="s">
        <v>2509</v>
      </c>
    </row>
    <row r="3738" spans="1:2" x14ac:dyDescent="0.2">
      <c r="A3738" s="380">
        <v>5144000</v>
      </c>
      <c r="B3738" s="381" t="s">
        <v>2510</v>
      </c>
    </row>
    <row r="3739" spans="1:2" ht="38.25" x14ac:dyDescent="0.2">
      <c r="A3739" s="380">
        <v>5144001</v>
      </c>
      <c r="B3739" s="381" t="s">
        <v>2511</v>
      </c>
    </row>
    <row r="3740" spans="1:2" ht="38.25" x14ac:dyDescent="0.2">
      <c r="A3740" s="380">
        <v>5144100</v>
      </c>
      <c r="B3740" s="381" t="s">
        <v>2512</v>
      </c>
    </row>
    <row r="3741" spans="1:2" ht="38.25" x14ac:dyDescent="0.2">
      <c r="A3741" s="380">
        <v>5150000</v>
      </c>
      <c r="B3741" s="381" t="s">
        <v>2513</v>
      </c>
    </row>
    <row r="3742" spans="1:2" ht="38.25" x14ac:dyDescent="0.2">
      <c r="A3742" s="380">
        <v>5150100</v>
      </c>
      <c r="B3742" s="381" t="s">
        <v>2513</v>
      </c>
    </row>
    <row r="3743" spans="1:2" x14ac:dyDescent="0.2">
      <c r="A3743" s="380">
        <v>5160000</v>
      </c>
      <c r="B3743" s="381" t="s">
        <v>2514</v>
      </c>
    </row>
    <row r="3744" spans="1:2" x14ac:dyDescent="0.2">
      <c r="A3744" s="380">
        <v>5160100</v>
      </c>
      <c r="B3744" s="381" t="s">
        <v>2514</v>
      </c>
    </row>
    <row r="3745" spans="1:2" x14ac:dyDescent="0.2">
      <c r="A3745" s="380">
        <v>5160130</v>
      </c>
      <c r="B3745" s="381" t="s">
        <v>2515</v>
      </c>
    </row>
    <row r="3746" spans="1:2" x14ac:dyDescent="0.2">
      <c r="A3746" s="380">
        <v>5170000</v>
      </c>
      <c r="B3746" s="381" t="s">
        <v>2516</v>
      </c>
    </row>
    <row r="3747" spans="1:2" x14ac:dyDescent="0.2">
      <c r="A3747" s="380">
        <v>5170100</v>
      </c>
      <c r="B3747" s="381" t="s">
        <v>2517</v>
      </c>
    </row>
    <row r="3748" spans="1:2" x14ac:dyDescent="0.2">
      <c r="A3748" s="380">
        <v>5170200</v>
      </c>
      <c r="B3748" s="381" t="s">
        <v>2518</v>
      </c>
    </row>
    <row r="3749" spans="1:2" x14ac:dyDescent="0.2">
      <c r="A3749" s="380">
        <v>5170220</v>
      </c>
      <c r="B3749" s="381" t="s">
        <v>2519</v>
      </c>
    </row>
    <row r="3750" spans="1:2" x14ac:dyDescent="0.2">
      <c r="A3750" s="380">
        <v>5170400</v>
      </c>
      <c r="B3750" s="381" t="s">
        <v>2520</v>
      </c>
    </row>
    <row r="3751" spans="1:2" x14ac:dyDescent="0.2">
      <c r="A3751" s="380">
        <v>5170500</v>
      </c>
      <c r="B3751" s="381" t="s">
        <v>2521</v>
      </c>
    </row>
    <row r="3752" spans="1:2" ht="25.5" x14ac:dyDescent="0.2">
      <c r="A3752" s="380">
        <v>5170600</v>
      </c>
      <c r="B3752" s="381" t="s">
        <v>2522</v>
      </c>
    </row>
    <row r="3753" spans="1:2" x14ac:dyDescent="0.2">
      <c r="A3753" s="380">
        <v>5170700</v>
      </c>
      <c r="B3753" s="381" t="s">
        <v>2523</v>
      </c>
    </row>
    <row r="3754" spans="1:2" ht="25.5" x14ac:dyDescent="0.2">
      <c r="A3754" s="380">
        <v>5171000</v>
      </c>
      <c r="B3754" s="381" t="s">
        <v>2524</v>
      </c>
    </row>
    <row r="3755" spans="1:2" x14ac:dyDescent="0.2">
      <c r="A3755" s="380">
        <v>5180000</v>
      </c>
      <c r="B3755" s="381" t="s">
        <v>2525</v>
      </c>
    </row>
    <row r="3756" spans="1:2" x14ac:dyDescent="0.2">
      <c r="A3756" s="380">
        <v>5180100</v>
      </c>
      <c r="B3756" s="381" t="s">
        <v>2526</v>
      </c>
    </row>
    <row r="3757" spans="1:2" x14ac:dyDescent="0.2">
      <c r="A3757" s="380">
        <v>5180101</v>
      </c>
      <c r="B3757" s="381" t="s">
        <v>2527</v>
      </c>
    </row>
    <row r="3758" spans="1:2" x14ac:dyDescent="0.2">
      <c r="A3758" s="380">
        <v>5180200</v>
      </c>
      <c r="B3758" s="381" t="s">
        <v>2528</v>
      </c>
    </row>
    <row r="3759" spans="1:2" x14ac:dyDescent="0.2">
      <c r="A3759" s="380">
        <v>5190000</v>
      </c>
      <c r="B3759" s="381" t="s">
        <v>2529</v>
      </c>
    </row>
    <row r="3760" spans="1:2" ht="25.5" x14ac:dyDescent="0.2">
      <c r="A3760" s="380">
        <v>5190100</v>
      </c>
      <c r="B3760" s="381" t="s">
        <v>2530</v>
      </c>
    </row>
    <row r="3761" spans="1:2" x14ac:dyDescent="0.2">
      <c r="A3761" s="380">
        <v>5200000</v>
      </c>
      <c r="B3761" s="381" t="s">
        <v>2531</v>
      </c>
    </row>
    <row r="3762" spans="1:2" x14ac:dyDescent="0.2">
      <c r="A3762" s="380">
        <v>5200100</v>
      </c>
      <c r="B3762" s="381" t="s">
        <v>2532</v>
      </c>
    </row>
    <row r="3763" spans="1:2" x14ac:dyDescent="0.2">
      <c r="A3763" s="380">
        <v>5200200</v>
      </c>
      <c r="B3763" s="381" t="s">
        <v>2533</v>
      </c>
    </row>
    <row r="3764" spans="1:2" ht="25.5" x14ac:dyDescent="0.2">
      <c r="A3764" s="380">
        <v>5200300</v>
      </c>
      <c r="B3764" s="381" t="s">
        <v>2534</v>
      </c>
    </row>
    <row r="3765" spans="1:2" ht="25.5" x14ac:dyDescent="0.2">
      <c r="A3765" s="380">
        <v>5200302</v>
      </c>
      <c r="B3765" s="381" t="s">
        <v>2535</v>
      </c>
    </row>
    <row r="3766" spans="1:2" x14ac:dyDescent="0.2">
      <c r="A3766" s="380">
        <v>5200400</v>
      </c>
      <c r="B3766" s="381" t="s">
        <v>2536</v>
      </c>
    </row>
    <row r="3767" spans="1:2" ht="25.5" x14ac:dyDescent="0.2">
      <c r="A3767" s="380">
        <v>5200402</v>
      </c>
      <c r="B3767" s="381" t="s">
        <v>2537</v>
      </c>
    </row>
    <row r="3768" spans="1:2" x14ac:dyDescent="0.2">
      <c r="A3768" s="380">
        <v>5200500</v>
      </c>
      <c r="B3768" s="381" t="s">
        <v>2538</v>
      </c>
    </row>
    <row r="3769" spans="1:2" x14ac:dyDescent="0.2">
      <c r="A3769" s="380">
        <v>5200600</v>
      </c>
      <c r="B3769" s="381" t="s">
        <v>2539</v>
      </c>
    </row>
    <row r="3770" spans="1:2" ht="25.5" x14ac:dyDescent="0.2">
      <c r="A3770" s="380">
        <v>5200700</v>
      </c>
      <c r="B3770" s="381" t="s">
        <v>2540</v>
      </c>
    </row>
    <row r="3771" spans="1:2" x14ac:dyDescent="0.2">
      <c r="A3771" s="380">
        <v>5200800</v>
      </c>
      <c r="B3771" s="381" t="s">
        <v>2541</v>
      </c>
    </row>
    <row r="3772" spans="1:2" x14ac:dyDescent="0.2">
      <c r="A3772" s="380">
        <v>5200900</v>
      </c>
      <c r="B3772" s="381" t="s">
        <v>2542</v>
      </c>
    </row>
    <row r="3773" spans="1:2" x14ac:dyDescent="0.2">
      <c r="A3773" s="380">
        <v>5200901</v>
      </c>
      <c r="B3773" s="381" t="s">
        <v>2542</v>
      </c>
    </row>
    <row r="3774" spans="1:2" ht="25.5" x14ac:dyDescent="0.2">
      <c r="A3774" s="380">
        <v>5201000</v>
      </c>
      <c r="B3774" s="381" t="s">
        <v>2543</v>
      </c>
    </row>
    <row r="3775" spans="1:2" x14ac:dyDescent="0.2">
      <c r="A3775" s="380">
        <v>5201001</v>
      </c>
      <c r="B3775" s="381" t="s">
        <v>2544</v>
      </c>
    </row>
    <row r="3776" spans="1:2" x14ac:dyDescent="0.2">
      <c r="A3776" s="380">
        <v>5201100</v>
      </c>
      <c r="B3776" s="381" t="s">
        <v>2157</v>
      </c>
    </row>
    <row r="3777" spans="1:2" x14ac:dyDescent="0.2">
      <c r="A3777" s="380">
        <v>5201200</v>
      </c>
      <c r="B3777" s="381" t="s">
        <v>2545</v>
      </c>
    </row>
    <row r="3778" spans="1:2" x14ac:dyDescent="0.2">
      <c r="A3778" s="380">
        <v>5201300</v>
      </c>
      <c r="B3778" s="381" t="s">
        <v>2546</v>
      </c>
    </row>
    <row r="3779" spans="1:2" x14ac:dyDescent="0.2">
      <c r="A3779" s="380">
        <v>5201301</v>
      </c>
      <c r="B3779" s="381" t="s">
        <v>2546</v>
      </c>
    </row>
    <row r="3780" spans="1:2" x14ac:dyDescent="0.2">
      <c r="A3780" s="380">
        <v>5201311</v>
      </c>
      <c r="B3780" s="381" t="s">
        <v>2547</v>
      </c>
    </row>
    <row r="3781" spans="1:2" x14ac:dyDescent="0.2">
      <c r="A3781" s="380">
        <v>5201312</v>
      </c>
      <c r="B3781" s="381" t="s">
        <v>2548</v>
      </c>
    </row>
    <row r="3782" spans="1:2" x14ac:dyDescent="0.2">
      <c r="A3782" s="380">
        <v>5201313</v>
      </c>
      <c r="B3782" s="381" t="s">
        <v>2549</v>
      </c>
    </row>
    <row r="3783" spans="1:2" x14ac:dyDescent="0.2">
      <c r="A3783" s="380">
        <v>5201320</v>
      </c>
      <c r="B3783" s="381" t="s">
        <v>2549</v>
      </c>
    </row>
    <row r="3784" spans="1:2" x14ac:dyDescent="0.2">
      <c r="A3784" s="380">
        <v>5201400</v>
      </c>
      <c r="B3784" s="381" t="s">
        <v>2550</v>
      </c>
    </row>
    <row r="3785" spans="1:2" ht="25.5" x14ac:dyDescent="0.2">
      <c r="A3785" s="380">
        <v>5201500</v>
      </c>
      <c r="B3785" s="381" t="s">
        <v>2551</v>
      </c>
    </row>
    <row r="3786" spans="1:2" ht="25.5" x14ac:dyDescent="0.2">
      <c r="A3786" s="380">
        <v>5201600</v>
      </c>
      <c r="B3786" s="381" t="s">
        <v>2552</v>
      </c>
    </row>
    <row r="3787" spans="1:2" ht="25.5" x14ac:dyDescent="0.2">
      <c r="A3787" s="380">
        <v>5201800</v>
      </c>
      <c r="B3787" s="381" t="s">
        <v>2553</v>
      </c>
    </row>
    <row r="3788" spans="1:2" x14ac:dyDescent="0.2">
      <c r="A3788" s="380">
        <v>5202000</v>
      </c>
      <c r="B3788" s="381" t="s">
        <v>2554</v>
      </c>
    </row>
    <row r="3789" spans="1:2" ht="51" x14ac:dyDescent="0.2">
      <c r="A3789" s="380">
        <v>5202100</v>
      </c>
      <c r="B3789" s="381" t="s">
        <v>2555</v>
      </c>
    </row>
    <row r="3790" spans="1:2" x14ac:dyDescent="0.2">
      <c r="A3790" s="380">
        <v>5202300</v>
      </c>
      <c r="B3790" s="381" t="s">
        <v>2556</v>
      </c>
    </row>
    <row r="3791" spans="1:2" x14ac:dyDescent="0.2">
      <c r="A3791" s="380">
        <v>5202400</v>
      </c>
      <c r="B3791" s="381" t="s">
        <v>2557</v>
      </c>
    </row>
    <row r="3792" spans="1:2" ht="25.5" x14ac:dyDescent="0.2">
      <c r="A3792" s="380">
        <v>5202500</v>
      </c>
      <c r="B3792" s="381" t="s">
        <v>2558</v>
      </c>
    </row>
    <row r="3793" spans="1:2" x14ac:dyDescent="0.2">
      <c r="A3793" s="380">
        <v>5202600</v>
      </c>
      <c r="B3793" s="381" t="s">
        <v>2559</v>
      </c>
    </row>
    <row r="3794" spans="1:2" ht="38.25" x14ac:dyDescent="0.2">
      <c r="A3794" s="380">
        <v>5202700</v>
      </c>
      <c r="B3794" s="381" t="s">
        <v>2560</v>
      </c>
    </row>
    <row r="3795" spans="1:2" x14ac:dyDescent="0.2">
      <c r="A3795" s="380">
        <v>5202800</v>
      </c>
      <c r="B3795" s="381" t="s">
        <v>2561</v>
      </c>
    </row>
    <row r="3796" spans="1:2" x14ac:dyDescent="0.2">
      <c r="A3796" s="380">
        <v>5203010</v>
      </c>
      <c r="B3796" s="381" t="s">
        <v>2562</v>
      </c>
    </row>
    <row r="3797" spans="1:2" x14ac:dyDescent="0.2">
      <c r="A3797" s="380">
        <v>5203012</v>
      </c>
      <c r="B3797" s="381" t="s">
        <v>2563</v>
      </c>
    </row>
    <row r="3798" spans="1:2" x14ac:dyDescent="0.2">
      <c r="A3798" s="380">
        <v>5210000</v>
      </c>
      <c r="B3798" s="381" t="s">
        <v>2564</v>
      </c>
    </row>
    <row r="3799" spans="1:2" ht="25.5" x14ac:dyDescent="0.2">
      <c r="A3799" s="380">
        <v>5210100</v>
      </c>
      <c r="B3799" s="381" t="s">
        <v>2565</v>
      </c>
    </row>
    <row r="3800" spans="1:2" x14ac:dyDescent="0.2">
      <c r="A3800" s="380">
        <v>5210110</v>
      </c>
      <c r="B3800" s="381" t="s">
        <v>2566</v>
      </c>
    </row>
    <row r="3801" spans="1:2" x14ac:dyDescent="0.2">
      <c r="A3801" s="380">
        <v>5210112</v>
      </c>
      <c r="B3801" s="381" t="s">
        <v>2567</v>
      </c>
    </row>
    <row r="3802" spans="1:2" ht="25.5" x14ac:dyDescent="0.2">
      <c r="A3802" s="380">
        <v>5210113</v>
      </c>
      <c r="B3802" s="381" t="s">
        <v>2568</v>
      </c>
    </row>
    <row r="3803" spans="1:2" x14ac:dyDescent="0.2">
      <c r="A3803" s="380">
        <v>5210114</v>
      </c>
      <c r="B3803" s="381" t="s">
        <v>2569</v>
      </c>
    </row>
    <row r="3804" spans="1:2" ht="25.5" x14ac:dyDescent="0.2">
      <c r="A3804" s="380">
        <v>5210125</v>
      </c>
      <c r="B3804" s="381" t="s">
        <v>2570</v>
      </c>
    </row>
    <row r="3805" spans="1:2" x14ac:dyDescent="0.2">
      <c r="A3805" s="380">
        <v>5210129</v>
      </c>
      <c r="B3805" s="381" t="s">
        <v>2571</v>
      </c>
    </row>
    <row r="3806" spans="1:2" x14ac:dyDescent="0.2">
      <c r="A3806" s="380">
        <v>5210300</v>
      </c>
      <c r="B3806" s="381" t="s">
        <v>2572</v>
      </c>
    </row>
    <row r="3807" spans="1:2" x14ac:dyDescent="0.2">
      <c r="A3807" s="380">
        <v>5210301</v>
      </c>
      <c r="B3807" s="381" t="s">
        <v>2573</v>
      </c>
    </row>
    <row r="3808" spans="1:2" ht="25.5" x14ac:dyDescent="0.2">
      <c r="A3808" s="380">
        <v>5210302</v>
      </c>
      <c r="B3808" s="381" t="s">
        <v>2574</v>
      </c>
    </row>
    <row r="3809" spans="1:2" ht="25.5" x14ac:dyDescent="0.2">
      <c r="A3809" s="380">
        <v>5210303</v>
      </c>
      <c r="B3809" s="381" t="s">
        <v>2575</v>
      </c>
    </row>
    <row r="3810" spans="1:2" x14ac:dyDescent="0.2">
      <c r="A3810" s="380">
        <v>5220000</v>
      </c>
      <c r="B3810" s="381" t="s">
        <v>2576</v>
      </c>
    </row>
    <row r="3811" spans="1:2" x14ac:dyDescent="0.2">
      <c r="A3811" s="380">
        <v>5220100</v>
      </c>
      <c r="B3811" s="381" t="s">
        <v>2577</v>
      </c>
    </row>
    <row r="3812" spans="1:2" x14ac:dyDescent="0.2">
      <c r="A3812" s="380">
        <v>5220200</v>
      </c>
      <c r="B3812" s="381" t="s">
        <v>2578</v>
      </c>
    </row>
    <row r="3813" spans="1:2" ht="25.5" x14ac:dyDescent="0.2">
      <c r="A3813" s="380">
        <v>5220202</v>
      </c>
      <c r="B3813" s="381" t="s">
        <v>2579</v>
      </c>
    </row>
    <row r="3814" spans="1:2" x14ac:dyDescent="0.2">
      <c r="A3814" s="380">
        <v>5220400</v>
      </c>
      <c r="B3814" s="381" t="s">
        <v>2580</v>
      </c>
    </row>
    <row r="3815" spans="1:2" ht="25.5" x14ac:dyDescent="0.2">
      <c r="A3815" s="380">
        <v>5220700</v>
      </c>
      <c r="B3815" s="381" t="s">
        <v>2581</v>
      </c>
    </row>
    <row r="3816" spans="1:2" x14ac:dyDescent="0.2">
      <c r="A3816" s="380">
        <v>5220900</v>
      </c>
      <c r="B3816" s="381" t="s">
        <v>2582</v>
      </c>
    </row>
    <row r="3817" spans="1:2" x14ac:dyDescent="0.2">
      <c r="A3817" s="380">
        <v>5221200</v>
      </c>
      <c r="B3817" s="381" t="s">
        <v>2583</v>
      </c>
    </row>
    <row r="3818" spans="1:2" x14ac:dyDescent="0.2">
      <c r="A3818" s="380">
        <v>5221201</v>
      </c>
      <c r="B3818" s="381" t="s">
        <v>2584</v>
      </c>
    </row>
    <row r="3819" spans="1:2" ht="25.5" x14ac:dyDescent="0.2">
      <c r="A3819" s="380">
        <v>5221202</v>
      </c>
      <c r="B3819" s="381" t="s">
        <v>2585</v>
      </c>
    </row>
    <row r="3820" spans="1:2" x14ac:dyDescent="0.2">
      <c r="A3820" s="380">
        <v>5221300</v>
      </c>
      <c r="B3820" s="381" t="s">
        <v>2586</v>
      </c>
    </row>
    <row r="3821" spans="1:2" x14ac:dyDescent="0.2">
      <c r="A3821" s="380">
        <v>5221301</v>
      </c>
      <c r="B3821" s="381" t="s">
        <v>2582</v>
      </c>
    </row>
    <row r="3822" spans="1:2" x14ac:dyDescent="0.2">
      <c r="A3822" s="380">
        <v>5221302</v>
      </c>
      <c r="B3822" s="381" t="s">
        <v>2464</v>
      </c>
    </row>
    <row r="3823" spans="1:2" x14ac:dyDescent="0.2">
      <c r="A3823" s="380">
        <v>5221303</v>
      </c>
      <c r="B3823" s="381" t="s">
        <v>2464</v>
      </c>
    </row>
    <row r="3824" spans="1:2" x14ac:dyDescent="0.2">
      <c r="A3824" s="380">
        <v>5221304</v>
      </c>
      <c r="B3824" s="381" t="s">
        <v>2464</v>
      </c>
    </row>
    <row r="3825" spans="1:2" x14ac:dyDescent="0.2">
      <c r="A3825" s="380">
        <v>5221305</v>
      </c>
      <c r="B3825" s="381" t="s">
        <v>2464</v>
      </c>
    </row>
    <row r="3826" spans="1:2" x14ac:dyDescent="0.2">
      <c r="A3826" s="380">
        <v>5221306</v>
      </c>
      <c r="B3826" s="381" t="s">
        <v>2587</v>
      </c>
    </row>
    <row r="3827" spans="1:2" x14ac:dyDescent="0.2">
      <c r="A3827" s="380">
        <v>5221307</v>
      </c>
      <c r="B3827" s="381" t="s">
        <v>2464</v>
      </c>
    </row>
    <row r="3828" spans="1:2" x14ac:dyDescent="0.2">
      <c r="A3828" s="380">
        <v>5221308</v>
      </c>
      <c r="B3828" s="381" t="s">
        <v>2588</v>
      </c>
    </row>
    <row r="3829" spans="1:2" ht="25.5" x14ac:dyDescent="0.2">
      <c r="A3829" s="380">
        <v>5221309</v>
      </c>
      <c r="B3829" s="381" t="s">
        <v>2589</v>
      </c>
    </row>
    <row r="3830" spans="1:2" x14ac:dyDescent="0.2">
      <c r="A3830" s="380">
        <v>5221310</v>
      </c>
      <c r="B3830" s="381" t="s">
        <v>2590</v>
      </c>
    </row>
    <row r="3831" spans="1:2" x14ac:dyDescent="0.2">
      <c r="A3831" s="380">
        <v>5221312</v>
      </c>
      <c r="B3831" s="381" t="s">
        <v>2591</v>
      </c>
    </row>
    <row r="3832" spans="1:2" x14ac:dyDescent="0.2">
      <c r="A3832" s="380">
        <v>5221313</v>
      </c>
      <c r="B3832" s="381" t="s">
        <v>2592</v>
      </c>
    </row>
    <row r="3833" spans="1:2" ht="25.5" x14ac:dyDescent="0.2">
      <c r="A3833" s="380">
        <v>5221314</v>
      </c>
      <c r="B3833" s="381" t="s">
        <v>2593</v>
      </c>
    </row>
    <row r="3834" spans="1:2" x14ac:dyDescent="0.2">
      <c r="A3834" s="380">
        <v>5221315</v>
      </c>
      <c r="B3834" s="381" t="s">
        <v>2594</v>
      </c>
    </row>
    <row r="3835" spans="1:2" x14ac:dyDescent="0.2">
      <c r="A3835" s="380">
        <v>5221400</v>
      </c>
      <c r="B3835" s="381" t="s">
        <v>2595</v>
      </c>
    </row>
    <row r="3836" spans="1:2" x14ac:dyDescent="0.2">
      <c r="A3836" s="380">
        <v>5221401</v>
      </c>
      <c r="B3836" s="381" t="s">
        <v>2596</v>
      </c>
    </row>
    <row r="3837" spans="1:2" x14ac:dyDescent="0.2">
      <c r="A3837" s="380">
        <v>5221900</v>
      </c>
      <c r="B3837" s="381" t="s">
        <v>2597</v>
      </c>
    </row>
    <row r="3838" spans="1:2" ht="25.5" x14ac:dyDescent="0.2">
      <c r="A3838" s="380">
        <v>5222100</v>
      </c>
      <c r="B3838" s="381" t="s">
        <v>2598</v>
      </c>
    </row>
    <row r="3839" spans="1:2" ht="25.5" x14ac:dyDescent="0.2">
      <c r="A3839" s="380">
        <v>5222101</v>
      </c>
      <c r="B3839" s="381" t="s">
        <v>2599</v>
      </c>
    </row>
    <row r="3840" spans="1:2" ht="25.5" x14ac:dyDescent="0.2">
      <c r="A3840" s="380">
        <v>5222900</v>
      </c>
      <c r="B3840" s="381" t="s">
        <v>2600</v>
      </c>
    </row>
    <row r="3841" spans="1:2" ht="25.5" x14ac:dyDescent="0.2">
      <c r="A3841" s="380">
        <v>5222902</v>
      </c>
      <c r="B3841" s="381" t="s">
        <v>2600</v>
      </c>
    </row>
    <row r="3842" spans="1:2" x14ac:dyDescent="0.2">
      <c r="A3842" s="380">
        <v>5223100</v>
      </c>
      <c r="B3842" s="381" t="s">
        <v>2601</v>
      </c>
    </row>
    <row r="3843" spans="1:2" x14ac:dyDescent="0.2">
      <c r="A3843" s="380">
        <v>5223101</v>
      </c>
      <c r="B3843" s="381" t="s">
        <v>2602</v>
      </c>
    </row>
    <row r="3844" spans="1:2" ht="25.5" x14ac:dyDescent="0.2">
      <c r="A3844" s="380">
        <v>5223102</v>
      </c>
      <c r="B3844" s="381" t="s">
        <v>2603</v>
      </c>
    </row>
    <row r="3845" spans="1:2" ht="25.5" x14ac:dyDescent="0.2">
      <c r="A3845" s="380">
        <v>5223103</v>
      </c>
      <c r="B3845" s="381" t="s">
        <v>2604</v>
      </c>
    </row>
    <row r="3846" spans="1:2" x14ac:dyDescent="0.2">
      <c r="A3846" s="380">
        <v>5223200</v>
      </c>
      <c r="B3846" s="381" t="s">
        <v>2605</v>
      </c>
    </row>
    <row r="3847" spans="1:2" x14ac:dyDescent="0.2">
      <c r="A3847" s="380">
        <v>5223300</v>
      </c>
      <c r="B3847" s="381" t="s">
        <v>2606</v>
      </c>
    </row>
    <row r="3848" spans="1:2" ht="38.25" x14ac:dyDescent="0.2">
      <c r="A3848" s="380">
        <v>5223302</v>
      </c>
      <c r="B3848" s="381" t="s">
        <v>2607</v>
      </c>
    </row>
    <row r="3849" spans="1:2" ht="25.5" x14ac:dyDescent="0.2">
      <c r="A3849" s="380">
        <v>5223400</v>
      </c>
      <c r="B3849" s="381" t="s">
        <v>2608</v>
      </c>
    </row>
    <row r="3850" spans="1:2" x14ac:dyDescent="0.2">
      <c r="A3850" s="380">
        <v>5223500</v>
      </c>
      <c r="B3850" s="381" t="s">
        <v>2609</v>
      </c>
    </row>
    <row r="3851" spans="1:2" x14ac:dyDescent="0.2">
      <c r="A3851" s="380">
        <v>5223502</v>
      </c>
      <c r="B3851" s="381" t="s">
        <v>2609</v>
      </c>
    </row>
    <row r="3852" spans="1:2" ht="25.5" x14ac:dyDescent="0.2">
      <c r="A3852" s="380">
        <v>5223800</v>
      </c>
      <c r="B3852" s="381" t="s">
        <v>2610</v>
      </c>
    </row>
    <row r="3853" spans="1:2" ht="25.5" x14ac:dyDescent="0.2">
      <c r="A3853" s="380">
        <v>5223803</v>
      </c>
      <c r="B3853" s="381" t="s">
        <v>2611</v>
      </c>
    </row>
    <row r="3854" spans="1:2" x14ac:dyDescent="0.2">
      <c r="A3854" s="380">
        <v>5224000</v>
      </c>
      <c r="B3854" s="381" t="s">
        <v>1448</v>
      </c>
    </row>
    <row r="3855" spans="1:2" x14ac:dyDescent="0.2">
      <c r="A3855" s="380">
        <v>5224002</v>
      </c>
      <c r="B3855" s="381" t="s">
        <v>2612</v>
      </c>
    </row>
    <row r="3856" spans="1:2" x14ac:dyDescent="0.2">
      <c r="A3856" s="380">
        <v>5224005</v>
      </c>
      <c r="B3856" s="381" t="s">
        <v>2613</v>
      </c>
    </row>
    <row r="3857" spans="1:2" x14ac:dyDescent="0.2">
      <c r="A3857" s="380">
        <v>5224400</v>
      </c>
      <c r="B3857" s="381" t="s">
        <v>2614</v>
      </c>
    </row>
    <row r="3858" spans="1:2" ht="25.5" x14ac:dyDescent="0.2">
      <c r="A3858" s="380">
        <v>5224600</v>
      </c>
      <c r="B3858" s="381" t="s">
        <v>2615</v>
      </c>
    </row>
    <row r="3859" spans="1:2" ht="25.5" x14ac:dyDescent="0.2">
      <c r="A3859" s="380">
        <v>5224602</v>
      </c>
      <c r="B3859" s="381" t="s">
        <v>2616</v>
      </c>
    </row>
    <row r="3860" spans="1:2" ht="38.25" x14ac:dyDescent="0.2">
      <c r="A3860" s="380">
        <v>5224603</v>
      </c>
      <c r="B3860" s="381" t="s">
        <v>2617</v>
      </c>
    </row>
    <row r="3861" spans="1:2" ht="25.5" x14ac:dyDescent="0.2">
      <c r="A3861" s="380">
        <v>5225100</v>
      </c>
      <c r="B3861" s="381" t="s">
        <v>2618</v>
      </c>
    </row>
    <row r="3862" spans="1:2" x14ac:dyDescent="0.2">
      <c r="A3862" s="380">
        <v>5225101</v>
      </c>
      <c r="B3862" s="381" t="s">
        <v>2619</v>
      </c>
    </row>
    <row r="3863" spans="1:2" x14ac:dyDescent="0.2">
      <c r="A3863" s="380">
        <v>5225300</v>
      </c>
      <c r="B3863" s="381" t="s">
        <v>2620</v>
      </c>
    </row>
    <row r="3864" spans="1:2" ht="25.5" x14ac:dyDescent="0.2">
      <c r="A3864" s="380">
        <v>5225301</v>
      </c>
      <c r="B3864" s="381" t="s">
        <v>2621</v>
      </c>
    </row>
    <row r="3865" spans="1:2" x14ac:dyDescent="0.2">
      <c r="A3865" s="380">
        <v>5225302</v>
      </c>
      <c r="B3865" s="381" t="s">
        <v>2622</v>
      </c>
    </row>
    <row r="3866" spans="1:2" x14ac:dyDescent="0.2">
      <c r="A3866" s="380">
        <v>5225600</v>
      </c>
      <c r="B3866" s="381" t="s">
        <v>2623</v>
      </c>
    </row>
    <row r="3867" spans="1:2" x14ac:dyDescent="0.2">
      <c r="A3867" s="380">
        <v>5225700</v>
      </c>
      <c r="B3867" s="381" t="s">
        <v>2624</v>
      </c>
    </row>
    <row r="3868" spans="1:2" ht="25.5" x14ac:dyDescent="0.2">
      <c r="A3868" s="380">
        <v>5225705</v>
      </c>
      <c r="B3868" s="381" t="s">
        <v>2625</v>
      </c>
    </row>
    <row r="3869" spans="1:2" ht="25.5" x14ac:dyDescent="0.2">
      <c r="A3869" s="380">
        <v>5225800</v>
      </c>
      <c r="B3869" s="381" t="s">
        <v>2626</v>
      </c>
    </row>
    <row r="3870" spans="1:2" ht="25.5" x14ac:dyDescent="0.2">
      <c r="A3870" s="380">
        <v>5225803</v>
      </c>
      <c r="B3870" s="381" t="s">
        <v>2627</v>
      </c>
    </row>
    <row r="3871" spans="1:2" ht="38.25" x14ac:dyDescent="0.2">
      <c r="A3871" s="380">
        <v>5225900</v>
      </c>
      <c r="B3871" s="381" t="s">
        <v>2628</v>
      </c>
    </row>
    <row r="3872" spans="1:2" ht="25.5" x14ac:dyDescent="0.2">
      <c r="A3872" s="380">
        <v>5225901</v>
      </c>
      <c r="B3872" s="381" t="s">
        <v>2629</v>
      </c>
    </row>
    <row r="3873" spans="1:2" x14ac:dyDescent="0.2">
      <c r="A3873" s="380">
        <v>5226000</v>
      </c>
      <c r="B3873" s="353" t="s">
        <v>2630</v>
      </c>
    </row>
    <row r="3874" spans="1:2" ht="25.5" x14ac:dyDescent="0.2">
      <c r="A3874" s="380">
        <v>5226003</v>
      </c>
      <c r="B3874" s="381" t="s">
        <v>2631</v>
      </c>
    </row>
    <row r="3875" spans="1:2" ht="25.5" x14ac:dyDescent="0.2">
      <c r="A3875" s="380">
        <v>5226004</v>
      </c>
      <c r="B3875" s="381" t="s">
        <v>2632</v>
      </c>
    </row>
    <row r="3876" spans="1:2" ht="25.5" x14ac:dyDescent="0.2">
      <c r="A3876" s="380">
        <v>5226006</v>
      </c>
      <c r="B3876" s="382" t="s">
        <v>2633</v>
      </c>
    </row>
    <row r="3877" spans="1:2" x14ac:dyDescent="0.2">
      <c r="A3877" s="380">
        <v>5226100</v>
      </c>
      <c r="B3877" s="381" t="s">
        <v>2634</v>
      </c>
    </row>
    <row r="3878" spans="1:2" x14ac:dyDescent="0.2">
      <c r="A3878" s="380">
        <v>5226102</v>
      </c>
      <c r="B3878" s="381" t="s">
        <v>2635</v>
      </c>
    </row>
    <row r="3879" spans="1:2" x14ac:dyDescent="0.2">
      <c r="A3879" s="380">
        <v>5226400</v>
      </c>
      <c r="B3879" s="381" t="s">
        <v>2636</v>
      </c>
    </row>
    <row r="3880" spans="1:2" ht="25.5" x14ac:dyDescent="0.2">
      <c r="A3880" s="380">
        <v>5226401</v>
      </c>
      <c r="B3880" s="381" t="s">
        <v>2637</v>
      </c>
    </row>
    <row r="3881" spans="1:2" ht="25.5" x14ac:dyDescent="0.2">
      <c r="A3881" s="380">
        <v>5226404</v>
      </c>
      <c r="B3881" s="381" t="s">
        <v>2638</v>
      </c>
    </row>
    <row r="3882" spans="1:2" x14ac:dyDescent="0.2">
      <c r="A3882" s="380">
        <v>5226900</v>
      </c>
      <c r="B3882" s="381" t="s">
        <v>2639</v>
      </c>
    </row>
    <row r="3883" spans="1:2" ht="25.5" x14ac:dyDescent="0.2">
      <c r="A3883" s="380">
        <v>5226902</v>
      </c>
      <c r="B3883" s="381" t="s">
        <v>2640</v>
      </c>
    </row>
    <row r="3884" spans="1:2" x14ac:dyDescent="0.2">
      <c r="A3884" s="380">
        <v>5226904</v>
      </c>
      <c r="B3884" s="381" t="s">
        <v>2641</v>
      </c>
    </row>
    <row r="3885" spans="1:2" ht="25.5" x14ac:dyDescent="0.2">
      <c r="A3885" s="380">
        <v>5226905</v>
      </c>
      <c r="B3885" s="381" t="s">
        <v>2642</v>
      </c>
    </row>
    <row r="3886" spans="1:2" x14ac:dyDescent="0.2">
      <c r="A3886" s="380">
        <v>5227200</v>
      </c>
      <c r="B3886" s="381" t="s">
        <v>2643</v>
      </c>
    </row>
    <row r="3887" spans="1:2" x14ac:dyDescent="0.2">
      <c r="A3887" s="380">
        <v>5227201</v>
      </c>
      <c r="B3887" s="381" t="s">
        <v>2644</v>
      </c>
    </row>
    <row r="3888" spans="1:2" ht="25.5" x14ac:dyDescent="0.2">
      <c r="A3888" s="380">
        <v>5227209</v>
      </c>
      <c r="B3888" s="381" t="s">
        <v>2645</v>
      </c>
    </row>
    <row r="3889" spans="1:2" x14ac:dyDescent="0.2">
      <c r="A3889" s="380">
        <v>5227210</v>
      </c>
      <c r="B3889" s="381" t="s">
        <v>2646</v>
      </c>
    </row>
    <row r="3890" spans="1:2" x14ac:dyDescent="0.2">
      <c r="A3890" s="380">
        <v>5228000</v>
      </c>
      <c r="B3890" s="381" t="s">
        <v>2647</v>
      </c>
    </row>
    <row r="3891" spans="1:2" ht="25.5" x14ac:dyDescent="0.2">
      <c r="A3891" s="380">
        <v>5228001</v>
      </c>
      <c r="B3891" s="381" t="s">
        <v>2648</v>
      </c>
    </row>
    <row r="3892" spans="1:2" x14ac:dyDescent="0.2">
      <c r="A3892" s="380">
        <v>5230000</v>
      </c>
      <c r="B3892" s="381" t="s">
        <v>2649</v>
      </c>
    </row>
    <row r="3893" spans="1:2" x14ac:dyDescent="0.2">
      <c r="A3893" s="380">
        <v>5230100</v>
      </c>
      <c r="B3893" s="381" t="s">
        <v>2650</v>
      </c>
    </row>
    <row r="3894" spans="1:2" ht="25.5" x14ac:dyDescent="0.2">
      <c r="A3894" s="380">
        <v>5260000</v>
      </c>
      <c r="B3894" s="381" t="s">
        <v>2651</v>
      </c>
    </row>
    <row r="3895" spans="1:2" ht="25.5" x14ac:dyDescent="0.2">
      <c r="A3895" s="380">
        <v>5260100</v>
      </c>
      <c r="B3895" s="381" t="s">
        <v>2652</v>
      </c>
    </row>
    <row r="3896" spans="1:2" ht="25.5" x14ac:dyDescent="0.2">
      <c r="A3896" s="380">
        <v>5260200</v>
      </c>
      <c r="B3896" s="381" t="s">
        <v>2653</v>
      </c>
    </row>
    <row r="3897" spans="1:2" x14ac:dyDescent="0.2">
      <c r="A3897" s="380">
        <v>5268200</v>
      </c>
      <c r="B3897" s="381" t="s">
        <v>1326</v>
      </c>
    </row>
    <row r="3898" spans="1:2" ht="25.5" x14ac:dyDescent="0.2">
      <c r="A3898" s="380">
        <v>5270000</v>
      </c>
      <c r="B3898" s="381" t="s">
        <v>2654</v>
      </c>
    </row>
    <row r="3899" spans="1:2" ht="51" x14ac:dyDescent="0.2">
      <c r="A3899" s="380">
        <v>5300000</v>
      </c>
      <c r="B3899" s="381" t="s">
        <v>2655</v>
      </c>
    </row>
    <row r="3900" spans="1:2" x14ac:dyDescent="0.2">
      <c r="A3900" s="380">
        <v>5300100</v>
      </c>
      <c r="B3900" s="381" t="s">
        <v>2656</v>
      </c>
    </row>
    <row r="3901" spans="1:2" ht="25.5" x14ac:dyDescent="0.2">
      <c r="A3901" s="380">
        <v>5500000</v>
      </c>
      <c r="B3901" s="381" t="s">
        <v>2657</v>
      </c>
    </row>
    <row r="3902" spans="1:2" x14ac:dyDescent="0.2">
      <c r="A3902" s="380">
        <v>5500200</v>
      </c>
      <c r="B3902" s="381" t="s">
        <v>1419</v>
      </c>
    </row>
    <row r="3903" spans="1:2" x14ac:dyDescent="0.2">
      <c r="A3903" s="380">
        <v>5500300</v>
      </c>
      <c r="B3903" s="381" t="s">
        <v>2658</v>
      </c>
    </row>
    <row r="3904" spans="1:2" x14ac:dyDescent="0.2">
      <c r="A3904" s="380">
        <v>5500301</v>
      </c>
      <c r="B3904" s="381" t="s">
        <v>2659</v>
      </c>
    </row>
    <row r="3905" spans="1:2" x14ac:dyDescent="0.2">
      <c r="A3905" s="380">
        <v>5500302</v>
      </c>
      <c r="B3905" s="381" t="s">
        <v>2660</v>
      </c>
    </row>
    <row r="3906" spans="1:2" ht="25.5" x14ac:dyDescent="0.2">
      <c r="A3906" s="380">
        <v>5500303</v>
      </c>
      <c r="B3906" s="381" t="s">
        <v>2661</v>
      </c>
    </row>
    <row r="3907" spans="1:2" x14ac:dyDescent="0.2">
      <c r="A3907" s="380">
        <v>5500400</v>
      </c>
      <c r="B3907" s="381" t="s">
        <v>1263</v>
      </c>
    </row>
    <row r="3908" spans="1:2" x14ac:dyDescent="0.2">
      <c r="A3908" s="380">
        <v>5500500</v>
      </c>
      <c r="B3908" s="381" t="s">
        <v>1274</v>
      </c>
    </row>
    <row r="3909" spans="1:2" x14ac:dyDescent="0.2">
      <c r="A3909" s="380">
        <v>5500600</v>
      </c>
      <c r="B3909" s="381" t="s">
        <v>2662</v>
      </c>
    </row>
    <row r="3910" spans="1:2" x14ac:dyDescent="0.2">
      <c r="A3910" s="380">
        <v>5500601</v>
      </c>
      <c r="B3910" s="381" t="s">
        <v>2663</v>
      </c>
    </row>
    <row r="3911" spans="1:2" x14ac:dyDescent="0.2">
      <c r="A3911" s="380">
        <v>6000000</v>
      </c>
      <c r="B3911" s="381" t="s">
        <v>246</v>
      </c>
    </row>
    <row r="3912" spans="1:2" x14ac:dyDescent="0.2">
      <c r="A3912" s="380">
        <v>6000100</v>
      </c>
      <c r="B3912" s="381" t="s">
        <v>2664</v>
      </c>
    </row>
    <row r="3913" spans="1:2" ht="25.5" x14ac:dyDescent="0.2">
      <c r="A3913" s="380">
        <v>6000200</v>
      </c>
      <c r="B3913" s="381" t="s">
        <v>2665</v>
      </c>
    </row>
    <row r="3914" spans="1:2" x14ac:dyDescent="0.2">
      <c r="A3914" s="380">
        <v>6000300</v>
      </c>
      <c r="B3914" s="381" t="s">
        <v>2666</v>
      </c>
    </row>
    <row r="3915" spans="1:2" x14ac:dyDescent="0.2">
      <c r="A3915" s="380">
        <v>6000400</v>
      </c>
      <c r="B3915" s="381" t="s">
        <v>2667</v>
      </c>
    </row>
    <row r="3916" spans="1:2" x14ac:dyDescent="0.2">
      <c r="A3916" s="380">
        <v>6000500</v>
      </c>
      <c r="B3916" s="381" t="s">
        <v>2668</v>
      </c>
    </row>
    <row r="3917" spans="1:2" ht="25.5" x14ac:dyDescent="0.2">
      <c r="A3917" s="380">
        <v>6010000</v>
      </c>
      <c r="B3917" s="381" t="s">
        <v>2669</v>
      </c>
    </row>
    <row r="3918" spans="1:2" x14ac:dyDescent="0.2">
      <c r="A3918" s="380">
        <v>7010000</v>
      </c>
      <c r="B3918" s="381" t="s">
        <v>2670</v>
      </c>
    </row>
    <row r="3919" spans="1:2" x14ac:dyDescent="0.2">
      <c r="A3919" s="380">
        <v>7010100</v>
      </c>
      <c r="B3919" s="381" t="s">
        <v>2671</v>
      </c>
    </row>
    <row r="3920" spans="1:2" ht="25.5" x14ac:dyDescent="0.2">
      <c r="A3920" s="380">
        <v>7050000</v>
      </c>
      <c r="B3920" s="381" t="s">
        <v>2672</v>
      </c>
    </row>
    <row r="3921" spans="1:2" ht="38.25" x14ac:dyDescent="0.2">
      <c r="A3921" s="380">
        <v>7050100</v>
      </c>
      <c r="B3921" s="381" t="s">
        <v>2673</v>
      </c>
    </row>
    <row r="3922" spans="1:2" ht="25.5" x14ac:dyDescent="0.2">
      <c r="A3922" s="380">
        <v>7050200</v>
      </c>
      <c r="B3922" s="381" t="s">
        <v>1731</v>
      </c>
    </row>
    <row r="3923" spans="1:2" ht="25.5" x14ac:dyDescent="0.2">
      <c r="A3923" s="380">
        <v>7050300</v>
      </c>
      <c r="B3923" s="381" t="s">
        <v>1732</v>
      </c>
    </row>
    <row r="3924" spans="1:2" ht="25.5" x14ac:dyDescent="0.2">
      <c r="A3924" s="380">
        <v>7050400</v>
      </c>
      <c r="B3924" s="381" t="s">
        <v>2674</v>
      </c>
    </row>
    <row r="3925" spans="1:2" x14ac:dyDescent="0.2">
      <c r="A3925" s="380">
        <v>7050401</v>
      </c>
      <c r="B3925" s="381" t="s">
        <v>2675</v>
      </c>
    </row>
    <row r="3926" spans="1:2" x14ac:dyDescent="0.2">
      <c r="A3926" s="380">
        <v>7050402</v>
      </c>
      <c r="B3926" s="381" t="s">
        <v>2676</v>
      </c>
    </row>
    <row r="3927" spans="1:2" x14ac:dyDescent="0.2">
      <c r="A3927" s="380">
        <v>7050403</v>
      </c>
      <c r="B3927" s="381" t="s">
        <v>2677</v>
      </c>
    </row>
    <row r="3928" spans="1:2" x14ac:dyDescent="0.2">
      <c r="A3928" s="380">
        <v>7050404</v>
      </c>
      <c r="B3928" s="381" t="s">
        <v>2678</v>
      </c>
    </row>
    <row r="3929" spans="1:2" x14ac:dyDescent="0.2">
      <c r="A3929" s="380">
        <v>7050405</v>
      </c>
      <c r="B3929" s="381" t="s">
        <v>2679</v>
      </c>
    </row>
    <row r="3930" spans="1:2" x14ac:dyDescent="0.2">
      <c r="A3930" s="380">
        <v>7050406</v>
      </c>
      <c r="B3930" s="381" t="s">
        <v>2680</v>
      </c>
    </row>
    <row r="3931" spans="1:2" x14ac:dyDescent="0.2">
      <c r="A3931" s="380">
        <v>7050407</v>
      </c>
      <c r="B3931" s="381" t="s">
        <v>2681</v>
      </c>
    </row>
    <row r="3932" spans="1:2" x14ac:dyDescent="0.2">
      <c r="A3932" s="380">
        <v>7050408</v>
      </c>
      <c r="B3932" s="381" t="s">
        <v>1733</v>
      </c>
    </row>
    <row r="3933" spans="1:2" x14ac:dyDescent="0.2">
      <c r="A3933" s="380">
        <v>7050409</v>
      </c>
      <c r="B3933" s="381" t="s">
        <v>2682</v>
      </c>
    </row>
    <row r="3934" spans="1:2" ht="25.5" x14ac:dyDescent="0.2">
      <c r="A3934" s="380">
        <v>7050500</v>
      </c>
      <c r="B3934" s="381" t="s">
        <v>2683</v>
      </c>
    </row>
    <row r="3935" spans="1:2" x14ac:dyDescent="0.2">
      <c r="A3935" s="380">
        <v>7050501</v>
      </c>
      <c r="B3935" s="381" t="s">
        <v>2675</v>
      </c>
    </row>
    <row r="3936" spans="1:2" x14ac:dyDescent="0.2">
      <c r="A3936" s="380">
        <v>7050502</v>
      </c>
      <c r="B3936" s="381" t="s">
        <v>2676</v>
      </c>
    </row>
    <row r="3937" spans="1:2" x14ac:dyDescent="0.2">
      <c r="A3937" s="380">
        <v>7050503</v>
      </c>
      <c r="B3937" s="381" t="s">
        <v>2677</v>
      </c>
    </row>
    <row r="3938" spans="1:2" x14ac:dyDescent="0.2">
      <c r="A3938" s="380">
        <v>7050505</v>
      </c>
      <c r="B3938" s="381" t="s">
        <v>2679</v>
      </c>
    </row>
    <row r="3939" spans="1:2" x14ac:dyDescent="0.2">
      <c r="A3939" s="380">
        <v>7050506</v>
      </c>
      <c r="B3939" s="381" t="s">
        <v>2680</v>
      </c>
    </row>
    <row r="3940" spans="1:2" x14ac:dyDescent="0.2">
      <c r="A3940" s="380">
        <v>7050507</v>
      </c>
      <c r="B3940" s="381" t="s">
        <v>2681</v>
      </c>
    </row>
    <row r="3941" spans="1:2" x14ac:dyDescent="0.2">
      <c r="A3941" s="380">
        <v>7050508</v>
      </c>
      <c r="B3941" s="381" t="s">
        <v>1733</v>
      </c>
    </row>
    <row r="3942" spans="1:2" x14ac:dyDescent="0.2">
      <c r="A3942" s="380">
        <v>7050509</v>
      </c>
      <c r="B3942" s="381" t="s">
        <v>2682</v>
      </c>
    </row>
    <row r="3943" spans="1:2" ht="25.5" x14ac:dyDescent="0.2">
      <c r="A3943" s="380">
        <v>7050600</v>
      </c>
      <c r="B3943" s="381" t="s">
        <v>2684</v>
      </c>
    </row>
    <row r="3944" spans="1:2" x14ac:dyDescent="0.2">
      <c r="A3944" s="380">
        <v>7050601</v>
      </c>
      <c r="B3944" s="381" t="s">
        <v>2675</v>
      </c>
    </row>
    <row r="3945" spans="1:2" x14ac:dyDescent="0.2">
      <c r="A3945" s="380">
        <v>7050602</v>
      </c>
      <c r="B3945" s="381" t="s">
        <v>2676</v>
      </c>
    </row>
    <row r="3946" spans="1:2" x14ac:dyDescent="0.2">
      <c r="A3946" s="380">
        <v>7050603</v>
      </c>
      <c r="B3946" s="381" t="s">
        <v>2677</v>
      </c>
    </row>
    <row r="3947" spans="1:2" x14ac:dyDescent="0.2">
      <c r="A3947" s="380">
        <v>7050604</v>
      </c>
      <c r="B3947" s="381" t="s">
        <v>2678</v>
      </c>
    </row>
    <row r="3948" spans="1:2" x14ac:dyDescent="0.2">
      <c r="A3948" s="380">
        <v>7050605</v>
      </c>
      <c r="B3948" s="381" t="s">
        <v>2679</v>
      </c>
    </row>
    <row r="3949" spans="1:2" x14ac:dyDescent="0.2">
      <c r="A3949" s="380">
        <v>7050606</v>
      </c>
      <c r="B3949" s="381" t="s">
        <v>2680</v>
      </c>
    </row>
    <row r="3950" spans="1:2" x14ac:dyDescent="0.2">
      <c r="A3950" s="380">
        <v>7050607</v>
      </c>
      <c r="B3950" s="381" t="s">
        <v>2681</v>
      </c>
    </row>
    <row r="3951" spans="1:2" x14ac:dyDescent="0.2">
      <c r="A3951" s="380">
        <v>7050608</v>
      </c>
      <c r="B3951" s="381" t="s">
        <v>1733</v>
      </c>
    </row>
    <row r="3952" spans="1:2" x14ac:dyDescent="0.2">
      <c r="A3952" s="380">
        <v>7050609</v>
      </c>
      <c r="B3952" s="381" t="s">
        <v>2682</v>
      </c>
    </row>
    <row r="3953" spans="1:2" ht="25.5" x14ac:dyDescent="0.2">
      <c r="A3953" s="380">
        <v>7050700</v>
      </c>
      <c r="B3953" s="381" t="s">
        <v>2685</v>
      </c>
    </row>
    <row r="3954" spans="1:2" x14ac:dyDescent="0.2">
      <c r="A3954" s="380">
        <v>7050703</v>
      </c>
      <c r="B3954" s="381" t="s">
        <v>2677</v>
      </c>
    </row>
    <row r="3955" spans="1:2" x14ac:dyDescent="0.2">
      <c r="A3955" s="380">
        <v>7050706</v>
      </c>
      <c r="B3955" s="381" t="s">
        <v>2680</v>
      </c>
    </row>
    <row r="3956" spans="1:2" x14ac:dyDescent="0.2">
      <c r="A3956" s="380">
        <v>7050707</v>
      </c>
      <c r="B3956" s="381" t="s">
        <v>2681</v>
      </c>
    </row>
    <row r="3957" spans="1:2" x14ac:dyDescent="0.2">
      <c r="A3957" s="380">
        <v>7050708</v>
      </c>
      <c r="B3957" s="381" t="s">
        <v>1733</v>
      </c>
    </row>
    <row r="3958" spans="1:2" x14ac:dyDescent="0.2">
      <c r="A3958" s="380">
        <v>7050709</v>
      </c>
      <c r="B3958" s="381" t="s">
        <v>2682</v>
      </c>
    </row>
    <row r="3959" spans="1:2" x14ac:dyDescent="0.2">
      <c r="A3959" s="380">
        <v>7950000</v>
      </c>
      <c r="B3959" s="381" t="s">
        <v>2686</v>
      </c>
    </row>
    <row r="3960" spans="1:2" x14ac:dyDescent="0.2">
      <c r="A3960" s="380">
        <v>7950100</v>
      </c>
      <c r="B3960" s="381" t="s">
        <v>1059</v>
      </c>
    </row>
    <row r="3961" spans="1:2" x14ac:dyDescent="0.2">
      <c r="A3961" s="380">
        <v>7950200</v>
      </c>
      <c r="B3961" s="381" t="s">
        <v>1060</v>
      </c>
    </row>
    <row r="3962" spans="1:2" x14ac:dyDescent="0.2">
      <c r="A3962" s="380">
        <v>7950300</v>
      </c>
      <c r="B3962" s="381" t="s">
        <v>2687</v>
      </c>
    </row>
    <row r="3963" spans="1:2" x14ac:dyDescent="0.2">
      <c r="A3963" s="380">
        <v>7950400</v>
      </c>
      <c r="B3963" s="381" t="s">
        <v>2688</v>
      </c>
    </row>
    <row r="3964" spans="1:2" ht="25.5" x14ac:dyDescent="0.2">
      <c r="A3964" s="380">
        <v>7950500</v>
      </c>
      <c r="B3964" s="381" t="s">
        <v>2689</v>
      </c>
    </row>
    <row r="3965" spans="1:2" ht="25.5" x14ac:dyDescent="0.2">
      <c r="A3965" s="380">
        <v>7950600</v>
      </c>
      <c r="B3965" s="381" t="s">
        <v>2690</v>
      </c>
    </row>
    <row r="3966" spans="1:2" ht="25.5" x14ac:dyDescent="0.2">
      <c r="A3966" s="380">
        <v>7950700</v>
      </c>
      <c r="B3966" s="381" t="s">
        <v>2691</v>
      </c>
    </row>
    <row r="3967" spans="1:2" ht="15" customHeight="1" x14ac:dyDescent="0.2">
      <c r="A3967" s="380">
        <v>7950800</v>
      </c>
      <c r="B3967" s="381" t="s">
        <v>2692</v>
      </c>
    </row>
    <row r="3968" spans="1:2" x14ac:dyDescent="0.2">
      <c r="A3968" s="380">
        <v>7950900</v>
      </c>
      <c r="B3968" s="381" t="s">
        <v>1061</v>
      </c>
    </row>
    <row r="3969" spans="1:2" x14ac:dyDescent="0.2">
      <c r="A3969" s="380">
        <v>7951000</v>
      </c>
      <c r="B3969" s="381" t="s">
        <v>2693</v>
      </c>
    </row>
    <row r="3970" spans="1:2" x14ac:dyDescent="0.2">
      <c r="A3970" s="380">
        <v>7951100</v>
      </c>
      <c r="B3970" s="381" t="s">
        <v>2694</v>
      </c>
    </row>
    <row r="3971" spans="1:2" x14ac:dyDescent="0.2">
      <c r="A3971" s="380">
        <v>7951200</v>
      </c>
      <c r="B3971" s="381" t="s">
        <v>2695</v>
      </c>
    </row>
    <row r="3972" spans="1:2" x14ac:dyDescent="0.2">
      <c r="A3972" s="380">
        <v>7951300</v>
      </c>
      <c r="B3972" s="381" t="s">
        <v>2696</v>
      </c>
    </row>
    <row r="3973" spans="1:2" ht="25.5" x14ac:dyDescent="0.2">
      <c r="A3973" s="380">
        <v>7951301</v>
      </c>
      <c r="B3973" s="381" t="s">
        <v>2697</v>
      </c>
    </row>
    <row r="3974" spans="1:2" ht="25.5" x14ac:dyDescent="0.2">
      <c r="A3974" s="380">
        <v>7951302</v>
      </c>
      <c r="B3974" s="381" t="s">
        <v>2698</v>
      </c>
    </row>
    <row r="3975" spans="1:2" ht="25.5" x14ac:dyDescent="0.2">
      <c r="A3975" s="380">
        <v>7951303</v>
      </c>
      <c r="B3975" s="381" t="s">
        <v>2699</v>
      </c>
    </row>
    <row r="3976" spans="1:2" ht="25.5" x14ac:dyDescent="0.2">
      <c r="A3976" s="380">
        <v>7951304</v>
      </c>
      <c r="B3976" s="381" t="s">
        <v>2700</v>
      </c>
    </row>
    <row r="3977" spans="1:2" ht="25.5" x14ac:dyDescent="0.2">
      <c r="A3977" s="380">
        <v>7951400</v>
      </c>
      <c r="B3977" s="381" t="s">
        <v>2701</v>
      </c>
    </row>
    <row r="3978" spans="1:2" ht="17.25" customHeight="1" x14ac:dyDescent="0.2">
      <c r="A3978" s="380">
        <v>7951500</v>
      </c>
      <c r="B3978" s="381" t="s">
        <v>1062</v>
      </c>
    </row>
    <row r="3979" spans="1:2" x14ac:dyDescent="0.2">
      <c r="A3979" s="380">
        <v>7951600</v>
      </c>
      <c r="B3979" s="381" t="s">
        <v>1063</v>
      </c>
    </row>
    <row r="3980" spans="1:2" x14ac:dyDescent="0.2">
      <c r="A3980" s="380">
        <v>7951700</v>
      </c>
      <c r="B3980" s="381" t="s">
        <v>1064</v>
      </c>
    </row>
    <row r="3981" spans="1:2" x14ac:dyDescent="0.2">
      <c r="A3981" s="380">
        <v>7951800</v>
      </c>
      <c r="B3981" s="381" t="s">
        <v>1065</v>
      </c>
    </row>
    <row r="3982" spans="1:2" x14ac:dyDescent="0.2">
      <c r="A3982" s="380">
        <v>7951900</v>
      </c>
      <c r="B3982" s="381" t="s">
        <v>1066</v>
      </c>
    </row>
    <row r="3983" spans="1:2" x14ac:dyDescent="0.2">
      <c r="A3983" s="380">
        <v>7952000</v>
      </c>
      <c r="B3983" s="381" t="s">
        <v>1067</v>
      </c>
    </row>
    <row r="3984" spans="1:2" x14ac:dyDescent="0.2">
      <c r="A3984" s="380">
        <v>7952100</v>
      </c>
      <c r="B3984" s="381" t="s">
        <v>2702</v>
      </c>
    </row>
    <row r="3985" spans="1:2" x14ac:dyDescent="0.2">
      <c r="A3985" s="380">
        <v>7952200</v>
      </c>
      <c r="B3985" s="381" t="s">
        <v>1069</v>
      </c>
    </row>
    <row r="3986" spans="1:2" x14ac:dyDescent="0.2">
      <c r="A3986" s="380">
        <v>7952300</v>
      </c>
      <c r="B3986" s="383" t="s">
        <v>2703</v>
      </c>
    </row>
    <row r="3987" spans="1:2" ht="25.5" x14ac:dyDescent="0.2">
      <c r="A3987" s="380">
        <v>7952400</v>
      </c>
      <c r="B3987" s="383" t="s">
        <v>2704</v>
      </c>
    </row>
    <row r="3988" spans="1:2" ht="25.5" x14ac:dyDescent="0.2">
      <c r="A3988" s="380">
        <v>9907123</v>
      </c>
      <c r="B3988" s="383" t="s">
        <v>2705</v>
      </c>
    </row>
    <row r="3989" spans="1:2" x14ac:dyDescent="0.2">
      <c r="A3989" s="380">
        <v>9907294</v>
      </c>
      <c r="B3989" s="383" t="s">
        <v>1402</v>
      </c>
    </row>
    <row r="3990" spans="1:2" x14ac:dyDescent="0.2">
      <c r="A3990" s="380">
        <v>9980000</v>
      </c>
      <c r="B3990" s="381" t="s">
        <v>2706</v>
      </c>
    </row>
    <row r="3991" spans="1:2" x14ac:dyDescent="0.2">
      <c r="A3991" s="380">
        <v>9990000</v>
      </c>
      <c r="B3991" s="381" t="s">
        <v>305</v>
      </c>
    </row>
  </sheetData>
  <printOptions gridLinesSet="0"/>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showGridLines="0" view="pageBreakPreview" zoomScale="115" zoomScaleSheetLayoutView="115" workbookViewId="0">
      <selection activeCell="A2" sqref="A2:E2"/>
    </sheetView>
  </sheetViews>
  <sheetFormatPr defaultColWidth="11.85546875" defaultRowHeight="15.75" x14ac:dyDescent="0.25"/>
  <cols>
    <col min="1" max="1" width="6.42578125" style="50" customWidth="1"/>
    <col min="2" max="2" width="59.7109375" style="51" customWidth="1"/>
    <col min="3" max="3" width="14.28515625" style="35" hidden="1" customWidth="1"/>
    <col min="4" max="4" width="16" style="35" hidden="1" customWidth="1"/>
    <col min="5" max="5" width="21.5703125" style="35" customWidth="1"/>
    <col min="6" max="6" width="43.42578125" style="35" customWidth="1"/>
    <col min="7" max="16384" width="11.85546875" style="35"/>
  </cols>
  <sheetData>
    <row r="1" spans="1:5" s="51" customFormat="1" x14ac:dyDescent="0.25">
      <c r="A1" s="868" t="s">
        <v>178</v>
      </c>
      <c r="B1" s="868"/>
      <c r="C1" s="868"/>
      <c r="D1" s="868"/>
      <c r="E1" s="868"/>
    </row>
    <row r="2" spans="1:5" s="51" customFormat="1" x14ac:dyDescent="0.25">
      <c r="A2" s="868" t="s">
        <v>1</v>
      </c>
      <c r="B2" s="868"/>
      <c r="C2" s="868"/>
      <c r="D2" s="868"/>
      <c r="E2" s="868"/>
    </row>
    <row r="3" spans="1:5" s="51" customFormat="1" x14ac:dyDescent="0.25">
      <c r="A3" s="868" t="s">
        <v>2</v>
      </c>
      <c r="B3" s="868"/>
      <c r="C3" s="868"/>
      <c r="D3" s="868"/>
      <c r="E3" s="868"/>
    </row>
    <row r="4" spans="1:5" s="51" customFormat="1" x14ac:dyDescent="0.25">
      <c r="A4" s="868" t="s">
        <v>3478</v>
      </c>
      <c r="B4" s="868"/>
      <c r="C4" s="868"/>
      <c r="D4" s="868"/>
      <c r="E4" s="868"/>
    </row>
    <row r="5" spans="1:5" s="51" customFormat="1" x14ac:dyDescent="0.25">
      <c r="A5" s="52"/>
      <c r="B5" s="53"/>
    </row>
    <row r="6" spans="1:5" s="51" customFormat="1" ht="39.75" customHeight="1" x14ac:dyDescent="0.25">
      <c r="A6" s="879" t="s">
        <v>3130</v>
      </c>
      <c r="B6" s="879"/>
      <c r="C6" s="879"/>
      <c r="D6" s="879"/>
      <c r="E6" s="879"/>
    </row>
    <row r="7" spans="1:5" s="51" customFormat="1" ht="16.5" thickBot="1" x14ac:dyDescent="0.3">
      <c r="A7" s="55"/>
    </row>
    <row r="8" spans="1:5" s="54" customFormat="1" ht="16.5" thickBot="1" x14ac:dyDescent="0.3">
      <c r="A8" s="56" t="s">
        <v>190</v>
      </c>
      <c r="B8" s="57" t="s">
        <v>191</v>
      </c>
      <c r="C8" s="57" t="s">
        <v>192</v>
      </c>
      <c r="D8" s="57" t="s">
        <v>192</v>
      </c>
      <c r="E8" s="57" t="s">
        <v>192</v>
      </c>
    </row>
    <row r="9" spans="1:5" s="58" customFormat="1" ht="16.5" thickBot="1" x14ac:dyDescent="0.3">
      <c r="A9" s="59">
        <v>100</v>
      </c>
      <c r="B9" s="60" t="s">
        <v>193</v>
      </c>
      <c r="C9" s="61">
        <f>C11+C13+C15+C20+C22+C14</f>
        <v>131806353</v>
      </c>
      <c r="D9" s="61">
        <f>D11+D13+D15+D20+D22+D14</f>
        <v>-1154579.26</v>
      </c>
      <c r="E9" s="61">
        <f>E11+E13+E15+E20+E22+E14</f>
        <v>130651773.74000001</v>
      </c>
    </row>
    <row r="10" spans="1:5" s="58" customFormat="1" ht="16.5" hidden="1" thickBot="1" x14ac:dyDescent="0.3">
      <c r="A10" s="62">
        <v>101</v>
      </c>
      <c r="B10" s="63" t="s">
        <v>194</v>
      </c>
      <c r="C10" s="64">
        <f>SUMIF(Пр12!C10:C1218,101,Пр12!G10:G1218)</f>
        <v>0</v>
      </c>
      <c r="D10" s="64">
        <f>SUMIF(Пр12!D10:D1218,101,Пр12!H10:H1218)</f>
        <v>0</v>
      </c>
      <c r="E10" s="64">
        <f>SUMIF(Пр12!E10:E1218,101,Пр12!I10:I1218)</f>
        <v>0</v>
      </c>
    </row>
    <row r="11" spans="1:5" s="58" customFormat="1" ht="32.25" thickBot="1" x14ac:dyDescent="0.3">
      <c r="A11" s="62">
        <v>102</v>
      </c>
      <c r="B11" s="65" t="s">
        <v>195</v>
      </c>
      <c r="C11" s="64">
        <f>SUMIF(Пр12!C7:C1239,102,Пр12!G7:G1239)</f>
        <v>1511279</v>
      </c>
      <c r="D11" s="64">
        <f>SUMIF(Пр12!$C7:$C1239,102,Пр12!H7:H1239)</f>
        <v>3702</v>
      </c>
      <c r="E11" s="64">
        <f>SUMIF(Пр12!$C7:$C1239,102,Пр12!I7:I1239)</f>
        <v>1514981</v>
      </c>
    </row>
    <row r="12" spans="1:5" s="58" customFormat="1" ht="48" hidden="1" thickBot="1" x14ac:dyDescent="0.3">
      <c r="A12" s="62">
        <v>103</v>
      </c>
      <c r="B12" s="65" t="s">
        <v>196</v>
      </c>
      <c r="C12" s="64">
        <f>SUMIF(Пр12!C8:C1240,103,Пр12!G8:G1240)</f>
        <v>0</v>
      </c>
      <c r="D12" s="64">
        <f>SUMIF(Пр12!D8:D1240,103,Пр12!H8:H1240)</f>
        <v>0</v>
      </c>
      <c r="E12" s="64">
        <f>SUMIF(Пр12!E8:E1240,103,Пр12!I8:I1240)</f>
        <v>0</v>
      </c>
    </row>
    <row r="13" spans="1:5" ht="63.75" thickBot="1" x14ac:dyDescent="0.3">
      <c r="A13" s="62">
        <v>104</v>
      </c>
      <c r="B13" s="65" t="s">
        <v>197</v>
      </c>
      <c r="C13" s="64">
        <f>SUMIF(Пр12!$C9:$C1241,104,Пр12!G9:G1241)</f>
        <v>36110165</v>
      </c>
      <c r="D13" s="64">
        <f>SUMIF(Пр12!$C9:$C1241,104,Пр12!H9:H1241)</f>
        <v>-79633.680000000022</v>
      </c>
      <c r="E13" s="64">
        <f>SUMIF(Пр12!$C9:$C1241,104,Пр12!I9:I1241)</f>
        <v>36030531.32</v>
      </c>
    </row>
    <row r="14" spans="1:5" ht="16.5" thickBot="1" x14ac:dyDescent="0.3">
      <c r="A14" s="62">
        <v>105</v>
      </c>
      <c r="B14" s="65" t="s">
        <v>198</v>
      </c>
      <c r="C14" s="64">
        <f>SUMIF(Пр12!C7:C1214,105,Пр12!G7:G1214)</f>
        <v>50977</v>
      </c>
      <c r="D14" s="64">
        <f>SUMIF(Пр12!C10:C1242,105,Пр12!H10:H1242)</f>
        <v>0</v>
      </c>
      <c r="E14" s="64">
        <f>SUMIF(Пр12!$C10:$C1242,105,Пр12!I10:I1242)</f>
        <v>50977</v>
      </c>
    </row>
    <row r="15" spans="1:5" ht="48" thickBot="1" x14ac:dyDescent="0.3">
      <c r="A15" s="62">
        <v>106</v>
      </c>
      <c r="B15" s="65" t="s">
        <v>199</v>
      </c>
      <c r="C15" s="64">
        <f>SUMIF(Пр12!$C10:$C1242,106,Пр12!G10:G1242)</f>
        <v>17140462</v>
      </c>
      <c r="D15" s="64">
        <f>SUMIF(Пр12!$C10:$C1242,106,Пр12!H10:H1242)</f>
        <v>-185511</v>
      </c>
      <c r="E15" s="64">
        <f>SUMIF(Пр12!$C10:$C1242,106,Пр12!I10:I1242)</f>
        <v>16954951</v>
      </c>
    </row>
    <row r="16" spans="1:5" ht="16.5" hidden="1" thickBot="1" x14ac:dyDescent="0.3">
      <c r="A16" s="62">
        <v>107</v>
      </c>
      <c r="B16" s="65" t="s">
        <v>200</v>
      </c>
      <c r="C16" s="64">
        <f>SUMIF(Пр12!C10:C1218,107,Пр12!G10:G1218)</f>
        <v>0</v>
      </c>
      <c r="D16" s="64">
        <f>SUMIF(Пр12!D10:D1218,107,Пр12!H10:H1218)</f>
        <v>0</v>
      </c>
      <c r="E16" s="64">
        <f>SUMIF(Пр12!E10:E1218,107,Пр12!I10:I1218)</f>
        <v>0</v>
      </c>
    </row>
    <row r="17" spans="1:5" s="58" customFormat="1" ht="32.25" hidden="1" thickBot="1" x14ac:dyDescent="0.3">
      <c r="A17" s="62">
        <v>108</v>
      </c>
      <c r="B17" s="65" t="s">
        <v>201</v>
      </c>
      <c r="C17" s="64">
        <f>SUMIF(Пр12!C10:C1218,108,Пр12!G10:G1218)</f>
        <v>0</v>
      </c>
      <c r="D17" s="64">
        <f>SUMIF(Пр12!D10:D1218,108,Пр12!H10:H1218)</f>
        <v>0</v>
      </c>
      <c r="E17" s="64">
        <f>SUMIF(Пр12!E10:E1218,108,Пр12!I10:I1218)</f>
        <v>0</v>
      </c>
    </row>
    <row r="18" spans="1:5" ht="16.5" hidden="1" thickBot="1" x14ac:dyDescent="0.3">
      <c r="A18" s="62">
        <v>109</v>
      </c>
      <c r="B18" s="65" t="s">
        <v>202</v>
      </c>
      <c r="C18" s="64">
        <f>SUMIF(Пр12!C10:C1218,109,Пр12!G10:G1218)</f>
        <v>0</v>
      </c>
      <c r="D18" s="64">
        <f>SUMIF(Пр12!D10:D1218,109,Пр12!H10:H1218)</f>
        <v>0</v>
      </c>
      <c r="E18" s="64">
        <f>SUMIF(Пр12!E10:E1218,109,Пр12!I10:I1218)</f>
        <v>0</v>
      </c>
    </row>
    <row r="19" spans="1:5" ht="16.5" hidden="1" thickBot="1" x14ac:dyDescent="0.3">
      <c r="A19" s="62">
        <v>110</v>
      </c>
      <c r="B19" s="65" t="s">
        <v>203</v>
      </c>
      <c r="C19" s="64">
        <f>SUMIF(Пр12!C10:C1218,110,Пр12!G10:G1218)</f>
        <v>0</v>
      </c>
      <c r="D19" s="64">
        <f>SUMIF(Пр12!D10:D1218,110,Пр12!H10:H1218)</f>
        <v>0</v>
      </c>
      <c r="E19" s="64">
        <f>SUMIF(Пр12!E10:E1218,110,Пр12!I10:I1218)</f>
        <v>0</v>
      </c>
    </row>
    <row r="20" spans="1:5" s="58" customFormat="1" ht="16.5" hidden="1" thickBot="1" x14ac:dyDescent="0.3">
      <c r="A20" s="62">
        <v>111</v>
      </c>
      <c r="B20" s="65" t="s">
        <v>204</v>
      </c>
      <c r="C20" s="64">
        <f>SUMIF(Пр12!$C10:$C1218,111,Пр12!G10:G1218)</f>
        <v>471469</v>
      </c>
      <c r="D20" s="64">
        <f>SUMIF(Пр12!$C10:$C1218,111,Пр12!H10:H1218)</f>
        <v>-471469</v>
      </c>
      <c r="E20" s="64">
        <f>SUMIF(Пр12!$C10:$C1218,111,Пр12!I10:I1218)</f>
        <v>0</v>
      </c>
    </row>
    <row r="21" spans="1:5" ht="32.25" hidden="1" thickBot="1" x14ac:dyDescent="0.3">
      <c r="A21" s="62">
        <v>112</v>
      </c>
      <c r="B21" s="65" t="s">
        <v>205</v>
      </c>
      <c r="C21" s="64">
        <f>SUMIF(Пр12!C10:C1218,112,Пр12!G10:G1218)</f>
        <v>0</v>
      </c>
      <c r="D21" s="64">
        <f>SUMIF(Пр12!D10:D1218,112,Пр12!H10:H1218)</f>
        <v>0</v>
      </c>
      <c r="E21" s="64">
        <f>SUMIF(Пр12!E10:E1218,112,Пр12!I10:I1218)</f>
        <v>0</v>
      </c>
    </row>
    <row r="22" spans="1:5" ht="16.5" thickBot="1" x14ac:dyDescent="0.3">
      <c r="A22" s="62">
        <v>113</v>
      </c>
      <c r="B22" s="65" t="s">
        <v>206</v>
      </c>
      <c r="C22" s="64">
        <f>SUMIF(Пр12!$C10:$C1239,113,Пр12!G10:G1239)</f>
        <v>76522001</v>
      </c>
      <c r="D22" s="64">
        <f>SUMIF(Пр12!$C10:$C1239,113,Пр12!H10:H1239)</f>
        <v>-421667.57999999996</v>
      </c>
      <c r="E22" s="64">
        <f>SUMIF(Пр12!$C10:$C1239,113,Пр12!I10:I1239)</f>
        <v>76100333.420000002</v>
      </c>
    </row>
    <row r="23" spans="1:5" ht="16.5" thickBot="1" x14ac:dyDescent="0.3">
      <c r="A23" s="59">
        <v>200</v>
      </c>
      <c r="B23" s="66" t="s">
        <v>207</v>
      </c>
      <c r="C23" s="61">
        <f>SUM(C24:C32)</f>
        <v>739697</v>
      </c>
      <c r="D23" s="61">
        <f>SUM(D24:D32)</f>
        <v>0</v>
      </c>
      <c r="E23" s="61">
        <f>SUM(E24:E32)</f>
        <v>739697</v>
      </c>
    </row>
    <row r="24" spans="1:5" ht="16.5" hidden="1" thickBot="1" x14ac:dyDescent="0.3">
      <c r="A24" s="62">
        <v>201</v>
      </c>
      <c r="B24" s="65" t="s">
        <v>208</v>
      </c>
      <c r="C24" s="64">
        <f>SUMIF(Пр12!C10:C1218,201,Пр12!G10:G1218)</f>
        <v>0</v>
      </c>
      <c r="D24" s="64">
        <f>SUMIF(Пр12!D10:D1218,201,Пр12!H10:H1218)</f>
        <v>0</v>
      </c>
      <c r="E24" s="64">
        <f>SUMIF(Пр12!E10:E1218,201,Пр12!I10:I1218)</f>
        <v>0</v>
      </c>
    </row>
    <row r="25" spans="1:5" s="58" customFormat="1" ht="32.25" hidden="1" thickBot="1" x14ac:dyDescent="0.3">
      <c r="A25" s="62">
        <v>202</v>
      </c>
      <c r="B25" s="65" t="s">
        <v>209</v>
      </c>
      <c r="C25" s="64">
        <f>SUMIF(Пр12!C10:C1218,202,Пр12!G10:G1218)</f>
        <v>0</v>
      </c>
      <c r="D25" s="64">
        <f>SUMIF(Пр12!D10:D1218,202,Пр12!H10:H1218)</f>
        <v>0</v>
      </c>
      <c r="E25" s="64">
        <f>SUMIF(Пр12!E10:E1218,202,Пр12!I10:I1218)</f>
        <v>0</v>
      </c>
    </row>
    <row r="26" spans="1:5" s="58" customFormat="1" ht="16.5" thickBot="1" x14ac:dyDescent="0.3">
      <c r="A26" s="62">
        <v>203</v>
      </c>
      <c r="B26" s="65" t="s">
        <v>210</v>
      </c>
      <c r="C26" s="64">
        <f>SUMIF(Пр12!$C10:$C1218,203,Пр12!G10:G1218)</f>
        <v>739697</v>
      </c>
      <c r="D26" s="64">
        <f>SUMIF(Пр12!$C10:$C1218,203,Пр12!H10:H1218)</f>
        <v>0</v>
      </c>
      <c r="E26" s="64">
        <f>SUMIF(Пр12!$C10:$C1218,203,Пр12!I10:I1218)</f>
        <v>739697</v>
      </c>
    </row>
    <row r="27" spans="1:5" ht="16.5" hidden="1" thickBot="1" x14ac:dyDescent="0.3">
      <c r="A27" s="62">
        <v>204</v>
      </c>
      <c r="B27" s="65" t="s">
        <v>211</v>
      </c>
      <c r="C27" s="64">
        <f>SUMIF(Пр12!C10:C1218,204,Пр12!G10:G1218)</f>
        <v>0</v>
      </c>
      <c r="D27" s="64">
        <f>SUMIF(Пр12!D10:D1218,204,Пр12!H10:H1218)</f>
        <v>0</v>
      </c>
      <c r="E27" s="64">
        <f>SUMIF(Пр12!E10:E1218,204,Пр12!I10:I1218)</f>
        <v>0</v>
      </c>
    </row>
    <row r="28" spans="1:5" ht="32.25" hidden="1" thickBot="1" x14ac:dyDescent="0.3">
      <c r="A28" s="62">
        <v>205</v>
      </c>
      <c r="B28" s="65" t="s">
        <v>212</v>
      </c>
      <c r="C28" s="64">
        <f>SUMIF(Пр12!C10:C1218,205,Пр12!G10:G1218)</f>
        <v>0</v>
      </c>
      <c r="D28" s="64">
        <f>SUMIF(Пр12!D10:D1218,205,Пр12!H10:H1218)</f>
        <v>0</v>
      </c>
      <c r="E28" s="64">
        <f>SUMIF(Пр12!E10:E1218,205,Пр12!I10:I1218)</f>
        <v>0</v>
      </c>
    </row>
    <row r="29" spans="1:5" ht="16.5" hidden="1" thickBot="1" x14ac:dyDescent="0.3">
      <c r="A29" s="62">
        <v>206</v>
      </c>
      <c r="B29" s="65" t="s">
        <v>213</v>
      </c>
      <c r="C29" s="64">
        <f>SUMIF(Пр12!C10:C1218,206,Пр12!G10:G1218)</f>
        <v>0</v>
      </c>
      <c r="D29" s="64">
        <f>SUMIF(Пр12!D10:D1218,206,Пр12!H10:H1218)</f>
        <v>0</v>
      </c>
      <c r="E29" s="64">
        <f>SUMIF(Пр12!E10:E1218,206,Пр12!I10:I1218)</f>
        <v>0</v>
      </c>
    </row>
    <row r="30" spans="1:5" s="58" customFormat="1" ht="32.25" hidden="1" thickBot="1" x14ac:dyDescent="0.3">
      <c r="A30" s="62">
        <v>207</v>
      </c>
      <c r="B30" s="65" t="s">
        <v>214</v>
      </c>
      <c r="C30" s="64">
        <f>SUMIF(Пр12!C10:C1218,207,Пр12!G10:G1218)</f>
        <v>0</v>
      </c>
      <c r="D30" s="64">
        <f>SUMIF(Пр12!D10:D1218,207,Пр12!H10:H1218)</f>
        <v>0</v>
      </c>
      <c r="E30" s="64">
        <f>SUMIF(Пр12!E10:E1218,207,Пр12!I10:I1218)</f>
        <v>0</v>
      </c>
    </row>
    <row r="31" spans="1:5" ht="32.25" hidden="1" thickBot="1" x14ac:dyDescent="0.3">
      <c r="A31" s="62">
        <v>208</v>
      </c>
      <c r="B31" s="65" t="s">
        <v>215</v>
      </c>
      <c r="C31" s="64">
        <f>SUMIF(Пр12!C10:C1218,208,Пр12!G10:G1218)</f>
        <v>0</v>
      </c>
      <c r="D31" s="64">
        <f>SUMIF(Пр12!D10:D1218,208,Пр12!H10:H1218)</f>
        <v>0</v>
      </c>
      <c r="E31" s="64">
        <f>SUMIF(Пр12!E10:E1218,208,Пр12!I10:I1218)</f>
        <v>0</v>
      </c>
    </row>
    <row r="32" spans="1:5" ht="16.5" hidden="1" thickBot="1" x14ac:dyDescent="0.3">
      <c r="A32" s="62">
        <v>209</v>
      </c>
      <c r="B32" s="65" t="s">
        <v>216</v>
      </c>
      <c r="C32" s="64">
        <f>SUMIF(Пр12!C10:C1218,209,Пр12!G10:G1218)</f>
        <v>0</v>
      </c>
      <c r="D32" s="64">
        <f>SUMIF(Пр12!D10:D1218,209,Пр12!H10:H1218)</f>
        <v>0</v>
      </c>
      <c r="E32" s="64">
        <f>SUMIF(Пр12!E10:E1218,209,Пр12!I10:I1218)</f>
        <v>0</v>
      </c>
    </row>
    <row r="33" spans="1:5" ht="32.25" thickBot="1" x14ac:dyDescent="0.3">
      <c r="A33" s="59">
        <v>300</v>
      </c>
      <c r="B33" s="66" t="s">
        <v>217</v>
      </c>
      <c r="C33" s="61">
        <f>SUM(C34:C45)</f>
        <v>2309000</v>
      </c>
      <c r="D33" s="61">
        <f>SUM(D34:D45)</f>
        <v>-23066</v>
      </c>
      <c r="E33" s="61">
        <f>SUM(E34:E45)</f>
        <v>2285934</v>
      </c>
    </row>
    <row r="34" spans="1:5" ht="16.5" hidden="1" thickBot="1" x14ac:dyDescent="0.3">
      <c r="A34" s="62">
        <v>303</v>
      </c>
      <c r="B34" s="65" t="s">
        <v>218</v>
      </c>
      <c r="C34" s="64">
        <f>SUMIF(Пр12!C10:C1218,303,Пр12!G10:G1218)</f>
        <v>0</v>
      </c>
      <c r="D34" s="64">
        <f>SUMIF(Пр12!D10:D1218,303,Пр12!H10:H1218)</f>
        <v>0</v>
      </c>
      <c r="E34" s="64">
        <f>SUMIF(Пр12!E10:E1218,303,Пр12!I10:I1218)</f>
        <v>0</v>
      </c>
    </row>
    <row r="35" spans="1:5" s="58" customFormat="1" ht="16.5" hidden="1" thickBot="1" x14ac:dyDescent="0.3">
      <c r="A35" s="62">
        <v>304</v>
      </c>
      <c r="B35" s="65" t="s">
        <v>219</v>
      </c>
      <c r="C35" s="64">
        <f>SUMIF(Пр12!C10:C1218,304,Пр12!G10:G1218)</f>
        <v>0</v>
      </c>
      <c r="D35" s="64">
        <f>SUMIF(Пр12!D10:D1218,304,Пр12!H10:H1218)</f>
        <v>0</v>
      </c>
      <c r="E35" s="64">
        <f>SUMIF(Пр12!E10:E1218,304,Пр12!I10:I1218)</f>
        <v>0</v>
      </c>
    </row>
    <row r="36" spans="1:5" ht="16.5" hidden="1" thickBot="1" x14ac:dyDescent="0.3">
      <c r="A36" s="62">
        <v>305</v>
      </c>
      <c r="B36" s="65" t="s">
        <v>220</v>
      </c>
      <c r="C36" s="64">
        <f>SUMIF(Пр12!C10:C1218,305,Пр12!G10:G1218)</f>
        <v>0</v>
      </c>
      <c r="D36" s="64">
        <f>SUMIF(Пр12!D10:D1218,305,Пр12!H10:H1218)</f>
        <v>0</v>
      </c>
      <c r="E36" s="64">
        <f>SUMIF(Пр12!E10:E1218,305,Пр12!I10:I1218)</f>
        <v>0</v>
      </c>
    </row>
    <row r="37" spans="1:5" ht="16.5" hidden="1" thickBot="1" x14ac:dyDescent="0.3">
      <c r="A37" s="62">
        <v>306</v>
      </c>
      <c r="B37" s="65" t="s">
        <v>221</v>
      </c>
      <c r="C37" s="64">
        <f>SUMIF(Пр12!C10:C1218,306,Пр12!G10:G1218)</f>
        <v>0</v>
      </c>
      <c r="D37" s="64">
        <f>SUMIF(Пр12!D10:D1218,306,Пр12!H10:H1218)</f>
        <v>0</v>
      </c>
      <c r="E37" s="64">
        <f>SUMIF(Пр12!E10:E1218,306,Пр12!I10:I1218)</f>
        <v>0</v>
      </c>
    </row>
    <row r="38" spans="1:5" ht="16.5" hidden="1" thickBot="1" x14ac:dyDescent="0.3">
      <c r="A38" s="62">
        <v>307</v>
      </c>
      <c r="B38" s="65" t="s">
        <v>222</v>
      </c>
      <c r="C38" s="64">
        <f>SUMIF(Пр12!C10:C1218,307,Пр12!G10:G1218)</f>
        <v>0</v>
      </c>
      <c r="D38" s="64">
        <f>SUMIF(Пр12!D10:D1218,307,Пр12!H10:H1218)</f>
        <v>0</v>
      </c>
      <c r="E38" s="64">
        <f>SUMIF(Пр12!E10:E1218,307,Пр12!I10:I1218)</f>
        <v>0</v>
      </c>
    </row>
    <row r="39" spans="1:5" s="58" customFormat="1" ht="32.25" hidden="1" thickBot="1" x14ac:dyDescent="0.3">
      <c r="A39" s="62">
        <v>308</v>
      </c>
      <c r="B39" s="65" t="s">
        <v>223</v>
      </c>
      <c r="C39" s="64">
        <f>SUMIF(Пр12!C10:C1218,308,Пр12!G10:G1218)</f>
        <v>0</v>
      </c>
      <c r="D39" s="64">
        <f>SUMIF(Пр12!D10:D1218,308,Пр12!H10:H1218)</f>
        <v>0</v>
      </c>
      <c r="E39" s="64">
        <f>SUMIF(Пр12!E10:E1218,308,Пр12!I10:I1218)</f>
        <v>0</v>
      </c>
    </row>
    <row r="40" spans="1:5" ht="48" thickBot="1" x14ac:dyDescent="0.3">
      <c r="A40" s="62">
        <v>309</v>
      </c>
      <c r="B40" s="65" t="s">
        <v>224</v>
      </c>
      <c r="C40" s="64">
        <f>SUMIF(Пр12!C10:C1218,309,Пр12!G10:G1218)</f>
        <v>2109000</v>
      </c>
      <c r="D40" s="64">
        <f>SUMIF(Пр12!$C33:$C1257,309,Пр12!H33:H1257)</f>
        <v>12384</v>
      </c>
      <c r="E40" s="64">
        <f>SUMIF(Пр12!$C29:$C1232,309,Пр12!I29:I1232)</f>
        <v>2121384</v>
      </c>
    </row>
    <row r="41" spans="1:5" ht="16.5" thickBot="1" x14ac:dyDescent="0.3">
      <c r="A41" s="62">
        <v>310</v>
      </c>
      <c r="B41" s="65" t="s">
        <v>225</v>
      </c>
      <c r="C41" s="64">
        <f>SUMIF(Пр12!C10:C1218,310,Пр12!G10:G1218)</f>
        <v>50000</v>
      </c>
      <c r="D41" s="64">
        <f>SUMIF(Пр12!$C34:$C1258,310,Пр12!H34:H1258)</f>
        <v>-35450</v>
      </c>
      <c r="E41" s="64">
        <f>SUMIF(Пр12!$C30:$C1233,310,Пр12!I30:I1233)</f>
        <v>14550</v>
      </c>
    </row>
    <row r="42" spans="1:5" ht="16.5" hidden="1" thickBot="1" x14ac:dyDescent="0.3">
      <c r="A42" s="62">
        <v>311</v>
      </c>
      <c r="B42" s="65" t="s">
        <v>226</v>
      </c>
      <c r="C42" s="64">
        <f>SUMIF(Пр12!C10:C1218,311,Пр12!G10:G1218)</f>
        <v>0</v>
      </c>
      <c r="D42" s="64">
        <f>SUMIF(Пр12!$C35:$C1259,311,Пр12!H35:H1259)</f>
        <v>0</v>
      </c>
      <c r="E42" s="64">
        <f>SUMIF(Пр12!E10:E1218,311,Пр12!I10:I1218)</f>
        <v>0</v>
      </c>
    </row>
    <row r="43" spans="1:5" ht="32.25" hidden="1" thickBot="1" x14ac:dyDescent="0.3">
      <c r="A43" s="62">
        <v>312</v>
      </c>
      <c r="B43" s="65" t="s">
        <v>227</v>
      </c>
      <c r="C43" s="64">
        <f>SUMIF(Пр12!C10:C1218,312,Пр12!G10:G1218)</f>
        <v>0</v>
      </c>
      <c r="D43" s="64">
        <f>SUMIF(Пр12!$C36:$C1260,312,Пр12!H36:H1260)</f>
        <v>0</v>
      </c>
      <c r="E43" s="64">
        <f>SUMIF(Пр12!E10:E1218,312,Пр12!I10:I1218)</f>
        <v>0</v>
      </c>
    </row>
    <row r="44" spans="1:5" ht="48" hidden="1" thickBot="1" x14ac:dyDescent="0.3">
      <c r="A44" s="62">
        <v>313</v>
      </c>
      <c r="B44" s="65" t="s">
        <v>228</v>
      </c>
      <c r="C44" s="64">
        <f>SUMIF(Пр12!C10:C1218,313,Пр12!G10:G1218)</f>
        <v>0</v>
      </c>
      <c r="D44" s="64">
        <f>SUMIF(Пр12!$C37:$C1261,313,Пр12!H37:H1261)</f>
        <v>0</v>
      </c>
      <c r="E44" s="64">
        <f>SUMIF(Пр12!E10:E1218,313,Пр12!I10:I1218)</f>
        <v>0</v>
      </c>
    </row>
    <row r="45" spans="1:5" ht="32.25" thickBot="1" x14ac:dyDescent="0.3">
      <c r="A45" s="62">
        <v>314</v>
      </c>
      <c r="B45" s="65" t="s">
        <v>229</v>
      </c>
      <c r="C45" s="64">
        <f>SUMIF(Пр12!C10:C1218,314,Пр12!G10:G1218)</f>
        <v>150000</v>
      </c>
      <c r="D45" s="64">
        <f>SUMIF(Пр12!$C38:$C1262,314,Пр12!H38:H1262)</f>
        <v>0</v>
      </c>
      <c r="E45" s="64">
        <f>SUMIF(Пр12!$C34:$C1237,314,Пр12!I34:I1237)</f>
        <v>150000</v>
      </c>
    </row>
    <row r="46" spans="1:5" ht="16.5" thickBot="1" x14ac:dyDescent="0.3">
      <c r="A46" s="59">
        <v>400</v>
      </c>
      <c r="B46" s="66" t="s">
        <v>230</v>
      </c>
      <c r="C46" s="61">
        <f>C48+C51+C54+C55+C58+C52</f>
        <v>294578995.72000003</v>
      </c>
      <c r="D46" s="61">
        <f>D48+D51+D54+D55+D58+D52</f>
        <v>-11609266</v>
      </c>
      <c r="E46" s="61">
        <f>E48+E51+E54+E55+E58+E52</f>
        <v>282969729.72000003</v>
      </c>
    </row>
    <row r="47" spans="1:5" ht="16.5" hidden="1" thickBot="1" x14ac:dyDescent="0.3">
      <c r="A47" s="62">
        <v>401</v>
      </c>
      <c r="B47" s="67" t="s">
        <v>231</v>
      </c>
      <c r="C47" s="64">
        <f>SUMIF(Пр12!C10:C1218,401,Пр12!G10:G1218)</f>
        <v>0</v>
      </c>
      <c r="D47" s="64">
        <f>SUMIF(Пр12!D10:D1218,401,Пр12!H10:H1218)</f>
        <v>0</v>
      </c>
      <c r="E47" s="64">
        <f>SUMIF(Пр12!E10:E1218,401,Пр12!I10:I1218)</f>
        <v>0</v>
      </c>
    </row>
    <row r="48" spans="1:5" ht="16.5" thickBot="1" x14ac:dyDescent="0.3">
      <c r="A48" s="62">
        <v>402</v>
      </c>
      <c r="B48" s="63" t="s">
        <v>232</v>
      </c>
      <c r="C48" s="64">
        <f>SUMIF(Пр12!$C10:$C1218,402,Пр12!G10:G1218)</f>
        <v>766964</v>
      </c>
      <c r="D48" s="64">
        <f>SUMIF(Пр12!$C10:$C1218,402,Пр12!H10:H1218)</f>
        <v>-100000</v>
      </c>
      <c r="E48" s="64">
        <f>SUMIF(Пр12!$C10:$C1218,402,Пр12!I10:I1218)</f>
        <v>666964</v>
      </c>
    </row>
    <row r="49" spans="1:5" ht="32.25" hidden="1" thickBot="1" x14ac:dyDescent="0.3">
      <c r="A49" s="62">
        <v>403</v>
      </c>
      <c r="B49" s="65" t="s">
        <v>233</v>
      </c>
      <c r="C49" s="64">
        <f>SUMIF(Пр12!C10:C1218,403,Пр12!G10:G1218)</f>
        <v>0</v>
      </c>
      <c r="D49" s="64">
        <f>SUMIF(Пр12!D10:D1218,403,Пр12!H10:H1218)</f>
        <v>0</v>
      </c>
      <c r="E49" s="64">
        <f>SUMIF(Пр12!E10:E1218,403,Пр12!I10:I1218)</f>
        <v>0</v>
      </c>
    </row>
    <row r="50" spans="1:5" ht="16.5" hidden="1" thickBot="1" x14ac:dyDescent="0.3">
      <c r="A50" s="62">
        <v>404</v>
      </c>
      <c r="B50" s="65" t="s">
        <v>234</v>
      </c>
      <c r="C50" s="64">
        <f>SUMIF(Пр12!C10:C1218,404,Пр12!G10:G1218)</f>
        <v>0</v>
      </c>
      <c r="D50" s="64">
        <f>SUMIF(Пр12!D10:D1218,404,Пр12!H10:H1218)</f>
        <v>0</v>
      </c>
      <c r="E50" s="64">
        <f>SUMIF(Пр12!E10:E1218,404,Пр12!I10:I1218)</f>
        <v>0</v>
      </c>
    </row>
    <row r="51" spans="1:5" ht="16.5" thickBot="1" x14ac:dyDescent="0.3">
      <c r="A51" s="62">
        <v>405</v>
      </c>
      <c r="B51" s="65" t="s">
        <v>235</v>
      </c>
      <c r="C51" s="64">
        <f>SUMIF(Пр12!$C10:$C1218,405,Пр12!G10:G1218)</f>
        <v>2989392</v>
      </c>
      <c r="D51" s="64">
        <f>SUMIF(Пр12!$C10:$C1218,405,Пр12!H10:H1218)</f>
        <v>-54310</v>
      </c>
      <c r="E51" s="64">
        <f>SUMIF(Пр12!$C10:$C1218,405,Пр12!I10:I1218)</f>
        <v>2935082</v>
      </c>
    </row>
    <row r="52" spans="1:5" ht="16.5" hidden="1" thickBot="1" x14ac:dyDescent="0.3">
      <c r="A52" s="62">
        <v>406</v>
      </c>
      <c r="B52" s="65" t="s">
        <v>236</v>
      </c>
      <c r="C52" s="64">
        <f>SUMIF(Пр12!$C10:$C1218,406,Пр12!G10:G1218)</f>
        <v>0</v>
      </c>
      <c r="D52" s="64">
        <f>SUMIF(Пр12!$C10:$C1218,406,Пр12!H10:H1218)</f>
        <v>0</v>
      </c>
      <c r="E52" s="64">
        <f>SUMIF(Пр12!$C10:$C1218,406,Пр12!I10:I1218)</f>
        <v>0</v>
      </c>
    </row>
    <row r="53" spans="1:5" ht="16.5" hidden="1" thickBot="1" x14ac:dyDescent="0.3">
      <c r="A53" s="62">
        <v>407</v>
      </c>
      <c r="B53" s="65" t="s">
        <v>237</v>
      </c>
      <c r="C53" s="64">
        <f>SUMIF(Пр12!C10:C1218,407,Пр12!G10:G1218)</f>
        <v>0</v>
      </c>
      <c r="D53" s="64">
        <f>SUMIF(Пр12!D10:D1218,407,Пр12!H10:H1218)</f>
        <v>0</v>
      </c>
      <c r="E53" s="64">
        <f>SUMIF(Пр12!E10:E1218,407,Пр12!I10:I1218)</f>
        <v>0</v>
      </c>
    </row>
    <row r="54" spans="1:5" ht="16.5" thickBot="1" x14ac:dyDescent="0.3">
      <c r="A54" s="62">
        <v>408</v>
      </c>
      <c r="B54" s="65" t="s">
        <v>238</v>
      </c>
      <c r="C54" s="64">
        <f>SUMIF(Пр12!$C10:$C1218,408,Пр12!G10:G1218)</f>
        <v>29338017</v>
      </c>
      <c r="D54" s="64">
        <f>SUMIF(Пр12!$C10:$C1218,408,Пр12!H10:H1218)</f>
        <v>-176164</v>
      </c>
      <c r="E54" s="64">
        <f>SUMIF(Пр12!$C10:$C1218,408,Пр12!I10:I1218)</f>
        <v>29161853</v>
      </c>
    </row>
    <row r="55" spans="1:5" ht="16.5" thickBot="1" x14ac:dyDescent="0.3">
      <c r="A55" s="62">
        <v>409</v>
      </c>
      <c r="B55" s="65" t="s">
        <v>239</v>
      </c>
      <c r="C55" s="64">
        <f>SUMIF(Пр12!$C10:$C1218,409,Пр12!G10:G1218)</f>
        <v>253584448.72000003</v>
      </c>
      <c r="D55" s="64">
        <f>SUMIF(Пр12!$C10:$C1218,409,Пр12!H10:H1218)</f>
        <v>-10609912</v>
      </c>
      <c r="E55" s="64">
        <f>SUMIF(Пр12!$C10:$C1218,409,Пр12!I10:I1218)</f>
        <v>242974536.72000003</v>
      </c>
    </row>
    <row r="56" spans="1:5" ht="16.5" hidden="1" thickBot="1" x14ac:dyDescent="0.3">
      <c r="A56" s="62">
        <v>410</v>
      </c>
      <c r="B56" s="65" t="s">
        <v>240</v>
      </c>
      <c r="C56" s="64">
        <f>SUMIF(Пр12!C10:C1218,410,Пр12!G10:G1218)</f>
        <v>0</v>
      </c>
      <c r="D56" s="64">
        <f>SUMIF(Пр12!D10:D1218,410,Пр12!H10:H1218)</f>
        <v>0</v>
      </c>
      <c r="E56" s="64">
        <f>SUMIF(Пр12!E10:E1218,410,Пр12!I10:I1218)</f>
        <v>0</v>
      </c>
    </row>
    <row r="57" spans="1:5" ht="32.25" hidden="1" thickBot="1" x14ac:dyDescent="0.3">
      <c r="A57" s="62">
        <v>411</v>
      </c>
      <c r="B57" s="65" t="s">
        <v>241</v>
      </c>
      <c r="C57" s="64">
        <f>SUMIF(Пр12!C10:C1218,411,Пр12!G10:G1218)</f>
        <v>0</v>
      </c>
      <c r="D57" s="64">
        <f>SUMIF(Пр12!D10:D1218,411,Пр12!H10:H1218)</f>
        <v>0</v>
      </c>
      <c r="E57" s="64">
        <f>SUMIF(Пр12!E10:E1218,411,Пр12!I10:I1218)</f>
        <v>0</v>
      </c>
    </row>
    <row r="58" spans="1:5" ht="16.5" thickBot="1" x14ac:dyDescent="0.3">
      <c r="A58" s="62">
        <v>412</v>
      </c>
      <c r="B58" s="65" t="s">
        <v>242</v>
      </c>
      <c r="C58" s="64">
        <f>SUMIF(Пр12!$C10:$C1218,412,Пр12!G10:G1218)</f>
        <v>7900174</v>
      </c>
      <c r="D58" s="64">
        <f>SUMIF(Пр12!$C10:$C1218,412,Пр12!H10:H1218)</f>
        <v>-668880</v>
      </c>
      <c r="E58" s="64">
        <f>SUMIF(Пр12!$C10:$C1218,412,Пр12!I10:I1218)</f>
        <v>7231294</v>
      </c>
    </row>
    <row r="59" spans="1:5" ht="16.5" thickBot="1" x14ac:dyDescent="0.3">
      <c r="A59" s="59">
        <v>500</v>
      </c>
      <c r="B59" s="66" t="s">
        <v>243</v>
      </c>
      <c r="C59" s="61">
        <f>C60+C61+C62+C63+C64</f>
        <v>115161889.99000001</v>
      </c>
      <c r="D59" s="61">
        <f>D60+D61+D62+D63+D64</f>
        <v>-6902178</v>
      </c>
      <c r="E59" s="61">
        <f>E60+E61+E62+E63+E64</f>
        <v>108259711.99000001</v>
      </c>
    </row>
    <row r="60" spans="1:5" ht="16.5" thickBot="1" x14ac:dyDescent="0.3">
      <c r="A60" s="62">
        <v>501</v>
      </c>
      <c r="B60" s="65" t="s">
        <v>244</v>
      </c>
      <c r="C60" s="64">
        <f>SUMIF(Пр12!$C10:$C1218,501,Пр12!G10:G1218)</f>
        <v>9073499</v>
      </c>
      <c r="D60" s="64">
        <f>SUMIF(Пр12!$C10:$C1218,501,Пр12!H10:H1218)</f>
        <v>-167000</v>
      </c>
      <c r="E60" s="64">
        <f>SUMIF(Пр12!$C10:$C1218,501,Пр12!I10:I1218)</f>
        <v>8906499</v>
      </c>
    </row>
    <row r="61" spans="1:5" ht="16.5" thickBot="1" x14ac:dyDescent="0.3">
      <c r="A61" s="62">
        <v>502</v>
      </c>
      <c r="B61" s="65" t="s">
        <v>245</v>
      </c>
      <c r="C61" s="64">
        <f>SUMIF(Пр12!$C10:$C1218,502,Пр12!G10:G1218)</f>
        <v>34950952.530000001</v>
      </c>
      <c r="D61" s="64">
        <f>SUMIF(Пр12!$C10:$C1218,502,Пр12!H10:H1218)</f>
        <v>-250656</v>
      </c>
      <c r="E61" s="64">
        <f>SUMIF(Пр12!$C10:$C1218,502,Пр12!I10:I1218)</f>
        <v>34700296.530000001</v>
      </c>
    </row>
    <row r="62" spans="1:5" ht="16.5" thickBot="1" x14ac:dyDescent="0.3">
      <c r="A62" s="62">
        <v>503</v>
      </c>
      <c r="B62" s="63" t="s">
        <v>246</v>
      </c>
      <c r="C62" s="64">
        <f>SUMIF(Пр12!$C10:$C1218,503,Пр12!G10:G1218)</f>
        <v>60635604.460000001</v>
      </c>
      <c r="D62" s="64">
        <f>SUMIF(Пр12!$C10:$C1218,503,Пр12!H10:H1218)</f>
        <v>-7459017</v>
      </c>
      <c r="E62" s="64">
        <f>SUMIF(Пр12!$C10:$C1218,503,Пр12!I10:I1218)</f>
        <v>53176587.460000001</v>
      </c>
    </row>
    <row r="63" spans="1:5" ht="32.25" hidden="1" thickBot="1" x14ac:dyDescent="0.3">
      <c r="A63" s="62">
        <v>504</v>
      </c>
      <c r="B63" s="65" t="s">
        <v>247</v>
      </c>
      <c r="C63" s="64">
        <f>SUMIF(Пр12!C10:C1218,504,Пр12!G10:G1218)</f>
        <v>0</v>
      </c>
      <c r="D63" s="64">
        <f>SUMIF(Пр12!D10:D1218,504,Пр12!H10:H1218)</f>
        <v>0</v>
      </c>
      <c r="E63" s="64">
        <f>SUMIF(Пр12!E10:E1218,504,Пр12!I10:I1218)</f>
        <v>0</v>
      </c>
    </row>
    <row r="64" spans="1:5" ht="32.25" thickBot="1" x14ac:dyDescent="0.3">
      <c r="A64" s="62">
        <v>505</v>
      </c>
      <c r="B64" s="65" t="s">
        <v>248</v>
      </c>
      <c r="C64" s="64">
        <f>SUMIF(Пр12!$C10:$C1218,505,Пр12!G10:G1218)</f>
        <v>10501834</v>
      </c>
      <c r="D64" s="64">
        <f>SUMIF(Пр12!$C10:$C1218,505,Пр12!H10:H1218)</f>
        <v>974495</v>
      </c>
      <c r="E64" s="64">
        <f>SUMIF(Пр12!$C10:$C1218,505,Пр12!I10:I1218)</f>
        <v>11476329</v>
      </c>
    </row>
    <row r="65" spans="1:5" ht="16.5" thickBot="1" x14ac:dyDescent="0.3">
      <c r="A65" s="59">
        <v>600</v>
      </c>
      <c r="B65" s="68" t="s">
        <v>249</v>
      </c>
      <c r="C65" s="61">
        <f>SUM(C66:C70)</f>
        <v>913855.13</v>
      </c>
      <c r="D65" s="61">
        <f>SUM(D66:D70)</f>
        <v>-121936</v>
      </c>
      <c r="E65" s="61">
        <f>SUM(E66:E70)</f>
        <v>791919.13</v>
      </c>
    </row>
    <row r="66" spans="1:5" ht="16.5" hidden="1" thickBot="1" x14ac:dyDescent="0.3">
      <c r="A66" s="62">
        <v>601</v>
      </c>
      <c r="B66" s="63" t="s">
        <v>250</v>
      </c>
      <c r="C66" s="64">
        <f>SUMIF(Пр12!C10:C1218,601,Пр12!G10:G1218)</f>
        <v>0</v>
      </c>
      <c r="D66" s="64">
        <f>SUMIF(Пр12!D10:D1218,601,Пр12!H10:H1218)</f>
        <v>0</v>
      </c>
      <c r="E66" s="64">
        <f>SUMIF(Пр12!E10:E1218,601,Пр12!I10:I1218)</f>
        <v>0</v>
      </c>
    </row>
    <row r="67" spans="1:5" ht="16.5" hidden="1" thickBot="1" x14ac:dyDescent="0.3">
      <c r="A67" s="62">
        <v>602</v>
      </c>
      <c r="B67" s="65" t="s">
        <v>251</v>
      </c>
      <c r="C67" s="64">
        <f>SUMIF(Пр12!C10:C1218,602,Пр12!G10:G1218)</f>
        <v>0</v>
      </c>
      <c r="D67" s="64">
        <f>SUMIF(Пр12!D10:D1218,602,Пр12!H10:H1218)</f>
        <v>0</v>
      </c>
      <c r="E67" s="64">
        <f>SUMIF(Пр12!E10:E1218,602,Пр12!I10:I1218)</f>
        <v>0</v>
      </c>
    </row>
    <row r="68" spans="1:5" ht="32.25" hidden="1" thickBot="1" x14ac:dyDescent="0.3">
      <c r="A68" s="62">
        <v>603</v>
      </c>
      <c r="B68" s="65" t="s">
        <v>252</v>
      </c>
      <c r="C68" s="64">
        <f>SUMIF(Пр12!C10:C1218,603,Пр12!G10:G1218)</f>
        <v>0</v>
      </c>
      <c r="D68" s="64">
        <f>SUMIF(Пр12!D10:D1218,603,Пр12!H10:H1218)</f>
        <v>0</v>
      </c>
      <c r="E68" s="64">
        <f>SUMIF(Пр12!E10:E1218,603,Пр12!I10:I1218)</f>
        <v>0</v>
      </c>
    </row>
    <row r="69" spans="1:5" ht="32.25" hidden="1" thickBot="1" x14ac:dyDescent="0.3">
      <c r="A69" s="62">
        <v>604</v>
      </c>
      <c r="B69" s="65" t="s">
        <v>253</v>
      </c>
      <c r="C69" s="64">
        <f>SUMIF(Пр12!C10:C1218,604,Пр12!G10:G1218)</f>
        <v>0</v>
      </c>
      <c r="D69" s="64">
        <f>SUMIF(Пр12!D10:D1218,604,Пр12!H10:H1218)</f>
        <v>0</v>
      </c>
      <c r="E69" s="64">
        <f>SUMIF(Пр12!E10:E1218,604,Пр12!I10:I1218)</f>
        <v>0</v>
      </c>
    </row>
    <row r="70" spans="1:5" ht="16.5" thickBot="1" x14ac:dyDescent="0.3">
      <c r="A70" s="62">
        <v>605</v>
      </c>
      <c r="B70" s="65" t="s">
        <v>254</v>
      </c>
      <c r="C70" s="64">
        <f>SUMIF(Пр12!$C10:$C1218,605,Пр12!G10:G1218)</f>
        <v>913855.13</v>
      </c>
      <c r="D70" s="64">
        <f>SUMIF(Пр12!$C10:$C1218,605,Пр12!H10:H1218)</f>
        <v>-121936</v>
      </c>
      <c r="E70" s="64">
        <f>SUMIF(Пр12!$C10:$C1218,605,Пр12!I10:I1218)</f>
        <v>791919.13</v>
      </c>
    </row>
    <row r="71" spans="1:5" ht="16.5" thickBot="1" x14ac:dyDescent="0.3">
      <c r="A71" s="59">
        <v>700</v>
      </c>
      <c r="B71" s="68" t="s">
        <v>255</v>
      </c>
      <c r="C71" s="61">
        <f>C72+C73+C78+C80+C74+C76</f>
        <v>1018923514</v>
      </c>
      <c r="D71" s="61">
        <f>D72+D73+D78+D80+D74+D76</f>
        <v>-405439</v>
      </c>
      <c r="E71" s="61">
        <f>E72+E73+E78+E80+E74+E76</f>
        <v>1018518075</v>
      </c>
    </row>
    <row r="72" spans="1:5" ht="16.5" thickBot="1" x14ac:dyDescent="0.3">
      <c r="A72" s="62">
        <v>701</v>
      </c>
      <c r="B72" s="65" t="s">
        <v>256</v>
      </c>
      <c r="C72" s="64">
        <f>SUMIF(Пр12!$C10:$C1218,701,Пр12!G10:G1218)</f>
        <v>424359430</v>
      </c>
      <c r="D72" s="64">
        <f>SUMIF(Пр12!$C10:$C1218,701,Пр12!H10:H1218)</f>
        <v>-999999</v>
      </c>
      <c r="E72" s="64">
        <f>SUMIF(Пр12!$C10:$C1218,701,Пр12!I10:I1218)</f>
        <v>423359431</v>
      </c>
    </row>
    <row r="73" spans="1:5" ht="16.5" thickBot="1" x14ac:dyDescent="0.3">
      <c r="A73" s="62">
        <v>702</v>
      </c>
      <c r="B73" s="65" t="s">
        <v>257</v>
      </c>
      <c r="C73" s="64">
        <f>SUMIF(Пр12!$C10:$C1218,702,Пр12!G10:G1218)</f>
        <v>445057567</v>
      </c>
      <c r="D73" s="64">
        <f>SUMIF(Пр12!$C10:$C1218,702,Пр12!H10:H1218)</f>
        <v>809944</v>
      </c>
      <c r="E73" s="64">
        <f>SUMIF(Пр12!$C10:$C1218,702,Пр12!I10:I1218)</f>
        <v>445867511</v>
      </c>
    </row>
    <row r="74" spans="1:5" ht="16.5" thickBot="1" x14ac:dyDescent="0.3">
      <c r="A74" s="62">
        <v>703</v>
      </c>
      <c r="B74" s="497" t="s">
        <v>2916</v>
      </c>
      <c r="C74" s="64">
        <f>SUMIF(Пр12!$C10:$C1218,703,Пр12!G10:G1218)</f>
        <v>90314761</v>
      </c>
      <c r="D74" s="64">
        <f>SUMIF(Пр12!$C10:$C1218,703,Пр12!H10:H1218)</f>
        <v>0</v>
      </c>
      <c r="E74" s="64">
        <f>SUMIF(Пр12!$C10:$C1218,703,Пр12!I10:I1218)</f>
        <v>90314761</v>
      </c>
    </row>
    <row r="75" spans="1:5" ht="20.25" hidden="1" customHeight="1" thickBot="1" x14ac:dyDescent="0.3">
      <c r="A75" s="62">
        <v>704</v>
      </c>
      <c r="B75" s="65" t="s">
        <v>258</v>
      </c>
      <c r="C75" s="64">
        <f>SUMIF(Пр12!C10:C1218,704,Пр12!G10:G1218)</f>
        <v>0</v>
      </c>
      <c r="D75" s="64">
        <f>SUMIF(Пр12!D10:D1218,704,Пр12!H10:H1218)</f>
        <v>0</v>
      </c>
      <c r="E75" s="64">
        <f>SUMIF(Пр12!$C11:$C1219,704,Пр12!I11:I1219)</f>
        <v>0</v>
      </c>
    </row>
    <row r="76" spans="1:5" ht="32.25" thickBot="1" x14ac:dyDescent="0.3">
      <c r="A76" s="62">
        <v>705</v>
      </c>
      <c r="B76" s="65" t="s">
        <v>259</v>
      </c>
      <c r="C76" s="657">
        <f>SUMIF(Пр12!C10:C1218,705,Пр12!G10:G1218)</f>
        <v>1247200</v>
      </c>
      <c r="D76" s="657">
        <f>SUMIF(Пр12!D10:D1218,705,Пр12!H10:H1218)</f>
        <v>0</v>
      </c>
      <c r="E76" s="64">
        <f>SUMIF(Пр12!$C12:$C1220,705,Пр12!I12:I1220)</f>
        <v>1247200</v>
      </c>
    </row>
    <row r="77" spans="1:5" ht="16.5" hidden="1" thickBot="1" x14ac:dyDescent="0.3">
      <c r="A77" s="69">
        <v>706</v>
      </c>
      <c r="B77" s="70" t="s">
        <v>260</v>
      </c>
      <c r="C77" s="64">
        <f>SUMIF(Пр12!C10:C1218,706,Пр12!G10:G1218)</f>
        <v>0</v>
      </c>
      <c r="D77" s="64">
        <f>SUMIF(Пр12!D10:D1218,706,Пр12!H10:H1218)</f>
        <v>0</v>
      </c>
      <c r="E77" s="64">
        <f>SUMIF(Пр12!E10:E1218,706,Пр12!I10:I1218)</f>
        <v>0</v>
      </c>
    </row>
    <row r="78" spans="1:5" ht="16.5" thickBot="1" x14ac:dyDescent="0.3">
      <c r="A78" s="62">
        <v>707</v>
      </c>
      <c r="B78" s="497" t="s">
        <v>2917</v>
      </c>
      <c r="C78" s="64">
        <f>SUMIF(Пр12!$C10:$C1218,707,Пр12!G10:G1218)</f>
        <v>17997699</v>
      </c>
      <c r="D78" s="64">
        <f>SUMIF(Пр12!$C10:$C1218,707,Пр12!H10:H1218)</f>
        <v>-349540</v>
      </c>
      <c r="E78" s="64">
        <f>SUMIF(Пр12!$C10:$C1218,707,Пр12!I10:I1218)</f>
        <v>17648159</v>
      </c>
    </row>
    <row r="79" spans="1:5" ht="32.25" hidden="1" thickBot="1" x14ac:dyDescent="0.3">
      <c r="A79" s="62">
        <v>708</v>
      </c>
      <c r="B79" s="65" t="s">
        <v>261</v>
      </c>
      <c r="C79" s="64">
        <f>SUMIF(Пр12!C10:C1218,708,Пр12!G10:G1218)</f>
        <v>0</v>
      </c>
      <c r="D79" s="64">
        <f>SUMIF(Пр12!D10:D1218,708,Пр12!H10:H1218)</f>
        <v>0</v>
      </c>
      <c r="E79" s="64">
        <f>SUMIF(Пр12!E10:E1218,708,Пр12!I10:I1218)</f>
        <v>0</v>
      </c>
    </row>
    <row r="80" spans="1:5" ht="16.5" thickBot="1" x14ac:dyDescent="0.3">
      <c r="A80" s="62">
        <v>709</v>
      </c>
      <c r="B80" s="65" t="s">
        <v>262</v>
      </c>
      <c r="C80" s="64">
        <f>SUMIF(Пр12!$C10:$C1218,709,Пр12!G10:G1218)</f>
        <v>39946857</v>
      </c>
      <c r="D80" s="64">
        <f>SUMIF(Пр12!$C10:$C1218,709,Пр12!H10:H1218)</f>
        <v>134156</v>
      </c>
      <c r="E80" s="64">
        <f>SUMIF(Пр12!$C10:$C1218,709,Пр12!I10:I1218)</f>
        <v>40081013</v>
      </c>
    </row>
    <row r="81" spans="1:5" ht="16.5" thickBot="1" x14ac:dyDescent="0.3">
      <c r="A81" s="59">
        <v>800</v>
      </c>
      <c r="B81" s="68" t="s">
        <v>263</v>
      </c>
      <c r="C81" s="61">
        <f>C82+C85</f>
        <v>144092481</v>
      </c>
      <c r="D81" s="61">
        <f>D82+D85</f>
        <v>3679699</v>
      </c>
      <c r="E81" s="61">
        <f>E82+E85</f>
        <v>147772180</v>
      </c>
    </row>
    <row r="82" spans="1:5" ht="16.5" thickBot="1" x14ac:dyDescent="0.3">
      <c r="A82" s="62">
        <v>801</v>
      </c>
      <c r="B82" s="65" t="s">
        <v>264</v>
      </c>
      <c r="C82" s="64">
        <f>SUMIF(Пр12!$C10:$C1218,801,Пр12!G10:G1218)</f>
        <v>115099127</v>
      </c>
      <c r="D82" s="64">
        <f>SUMIF(Пр12!$C10:$C1218,801,Пр12!H10:H1218)</f>
        <v>3359699</v>
      </c>
      <c r="E82" s="64">
        <f>SUMIF(Пр12!$C10:$C1218,801,Пр12!I10:I1218)</f>
        <v>118458826</v>
      </c>
    </row>
    <row r="83" spans="1:5" ht="16.5" hidden="1" thickBot="1" x14ac:dyDescent="0.3">
      <c r="A83" s="62">
        <v>802</v>
      </c>
      <c r="B83" s="65" t="s">
        <v>265</v>
      </c>
      <c r="C83" s="64">
        <f>SUMIF(Пр12!C10:C1218,802,Пр12!G10:G1218)</f>
        <v>0</v>
      </c>
      <c r="D83" s="64">
        <f>SUMIF(Пр12!D10:D1218,802,Пр12!H10:H1218)</f>
        <v>0</v>
      </c>
      <c r="E83" s="64">
        <f>SUMIF(Пр12!E10:E1218,802,Пр12!I10:I1218)</f>
        <v>0</v>
      </c>
    </row>
    <row r="84" spans="1:5" ht="32.25" hidden="1" thickBot="1" x14ac:dyDescent="0.3">
      <c r="A84" s="62">
        <v>803</v>
      </c>
      <c r="B84" s="65" t="s">
        <v>266</v>
      </c>
      <c r="C84" s="64">
        <f>SUMIF(Пр12!C10:C1218,803,Пр12!G10:G1218)</f>
        <v>0</v>
      </c>
      <c r="D84" s="64">
        <f>SUMIF(Пр12!D10:D1218,803,Пр12!H10:H1218)</f>
        <v>0</v>
      </c>
      <c r="E84" s="64">
        <f>SUMIF(Пр12!E10:E1218,803,Пр12!I10:I1218)</f>
        <v>0</v>
      </c>
    </row>
    <row r="85" spans="1:5" ht="16.5" thickBot="1" x14ac:dyDescent="0.3">
      <c r="A85" s="62">
        <v>804</v>
      </c>
      <c r="B85" s="65" t="s">
        <v>267</v>
      </c>
      <c r="C85" s="64">
        <f>SUMIF(Пр12!$C10:$C1218,804,Пр12!G10:G1218)</f>
        <v>28993354</v>
      </c>
      <c r="D85" s="64">
        <f>SUMIF(Пр12!$C10:$C1218,804,Пр12!H10:H1218)</f>
        <v>320000</v>
      </c>
      <c r="E85" s="64">
        <f>SUMIF(Пр12!$C10:$C1218,804,Пр12!I10:I1218)</f>
        <v>29313354</v>
      </c>
    </row>
    <row r="86" spans="1:5" ht="16.5" hidden="1" thickBot="1" x14ac:dyDescent="0.3">
      <c r="A86" s="59">
        <v>900</v>
      </c>
      <c r="B86" s="68" t="s">
        <v>268</v>
      </c>
      <c r="C86" s="61">
        <f>SUM(C87:C95)</f>
        <v>0</v>
      </c>
      <c r="D86" s="61">
        <f>SUM(D87:D95)</f>
        <v>0</v>
      </c>
      <c r="E86" s="61">
        <f>SUM(E87:E95)</f>
        <v>0</v>
      </c>
    </row>
    <row r="87" spans="1:5" ht="16.5" hidden="1" thickBot="1" x14ac:dyDescent="0.3">
      <c r="A87" s="62">
        <v>901</v>
      </c>
      <c r="B87" s="65" t="s">
        <v>269</v>
      </c>
      <c r="C87" s="64">
        <f>SUMIF(Пр12!C10:C1218,901,Пр12!G10:G1218)</f>
        <v>0</v>
      </c>
      <c r="D87" s="64">
        <f>SUMIF(Пр12!D10:D1218,901,Пр12!H10:H1218)</f>
        <v>0</v>
      </c>
      <c r="E87" s="64">
        <f>SUMIF(Пр12!E10:E1218,901,Пр12!I10:I1218)</f>
        <v>0</v>
      </c>
    </row>
    <row r="88" spans="1:5" ht="16.5" hidden="1" thickBot="1" x14ac:dyDescent="0.3">
      <c r="A88" s="62">
        <v>902</v>
      </c>
      <c r="B88" s="65" t="s">
        <v>270</v>
      </c>
      <c r="C88" s="64">
        <f>SUMIF(Пр12!C10:C1218,902,Пр12!G10:G1218)</f>
        <v>0</v>
      </c>
      <c r="D88" s="64">
        <f>SUMIF(Пр12!D10:D1218,902,Пр12!H10:H1218)</f>
        <v>0</v>
      </c>
      <c r="E88" s="64">
        <f>SUMIF(Пр12!E10:E1218,902,Пр12!I10:I1218)</f>
        <v>0</v>
      </c>
    </row>
    <row r="89" spans="1:5" ht="16.5" hidden="1" thickBot="1" x14ac:dyDescent="0.3">
      <c r="A89" s="62">
        <v>903</v>
      </c>
      <c r="B89" s="65" t="s">
        <v>271</v>
      </c>
      <c r="C89" s="64">
        <f>SUMIF(Пр12!C10:C1218,903,Пр12!G10:G1218)</f>
        <v>0</v>
      </c>
      <c r="D89" s="64">
        <f>SUMIF(Пр12!D10:D1218,903,Пр12!H10:H1218)</f>
        <v>0</v>
      </c>
      <c r="E89" s="64">
        <f>SUMIF(Пр12!E10:E1218,903,Пр12!I10:I1218)</f>
        <v>0</v>
      </c>
    </row>
    <row r="90" spans="1:5" ht="16.5" hidden="1" thickBot="1" x14ac:dyDescent="0.3">
      <c r="A90" s="62">
        <v>904</v>
      </c>
      <c r="B90" s="65" t="s">
        <v>272</v>
      </c>
      <c r="C90" s="64">
        <f>SUMIF(Пр12!C10:C1218,904,Пр12!G10:G1218)</f>
        <v>0</v>
      </c>
      <c r="D90" s="64">
        <f>SUMIF(Пр12!D10:D1218,904,Пр12!H10:H1218)</f>
        <v>0</v>
      </c>
      <c r="E90" s="64">
        <f>SUMIF(Пр12!E10:E1218,904,Пр12!I10:I1218)</f>
        <v>0</v>
      </c>
    </row>
    <row r="91" spans="1:5" ht="16.5" hidden="1" thickBot="1" x14ac:dyDescent="0.3">
      <c r="A91" s="62">
        <v>905</v>
      </c>
      <c r="B91" s="71" t="s">
        <v>273</v>
      </c>
      <c r="C91" s="64">
        <f>SUMIF(Пр12!C10:C1218,905,Пр12!G10:G1218)</f>
        <v>0</v>
      </c>
      <c r="D91" s="64">
        <f>SUMIF(Пр12!D10:D1218,905,Пр12!H10:H1218)</f>
        <v>0</v>
      </c>
      <c r="E91" s="64">
        <f>SUMIF(Пр12!E10:E1218,905,Пр12!I10:I1218)</f>
        <v>0</v>
      </c>
    </row>
    <row r="92" spans="1:5" ht="32.25" hidden="1" thickBot="1" x14ac:dyDescent="0.3">
      <c r="A92" s="62">
        <v>906</v>
      </c>
      <c r="B92" s="71" t="s">
        <v>274</v>
      </c>
      <c r="C92" s="64">
        <f>SUMIF(Пр12!C10:C1218,906,Пр12!G10:G1218)</f>
        <v>0</v>
      </c>
      <c r="D92" s="64">
        <f>SUMIF(Пр12!D10:D1218,906,Пр12!H10:H1218)</f>
        <v>0</v>
      </c>
      <c r="E92" s="64">
        <f>SUMIF(Пр12!E10:E1218,906,Пр12!I10:I1218)</f>
        <v>0</v>
      </c>
    </row>
    <row r="93" spans="1:5" ht="16.5" hidden="1" thickBot="1" x14ac:dyDescent="0.3">
      <c r="A93" s="62">
        <v>907</v>
      </c>
      <c r="B93" s="65" t="s">
        <v>275</v>
      </c>
      <c r="C93" s="64">
        <f>SUMIF(Пр12!C10:C1218,907,Пр12!G10:G1218)</f>
        <v>0</v>
      </c>
      <c r="D93" s="64">
        <f>SUMIF(Пр12!D10:D1218,907,Пр12!H10:H1218)</f>
        <v>0</v>
      </c>
      <c r="E93" s="64">
        <f>SUMIF(Пр12!E10:E1218,907,Пр12!I10:I1218)</f>
        <v>0</v>
      </c>
    </row>
    <row r="94" spans="1:5" ht="32.25" hidden="1" thickBot="1" x14ac:dyDescent="0.3">
      <c r="A94" s="62">
        <v>908</v>
      </c>
      <c r="B94" s="63" t="s">
        <v>276</v>
      </c>
      <c r="C94" s="64">
        <f>SUMIF(Пр12!C10:C1218,908,Пр12!G10:G1218)</f>
        <v>0</v>
      </c>
      <c r="D94" s="64">
        <f>SUMIF(Пр12!D10:D1218,908,Пр12!H10:H1218)</f>
        <v>0</v>
      </c>
      <c r="E94" s="64">
        <f>SUMIF(Пр12!E10:E1218,908,Пр12!I10:I1218)</f>
        <v>0</v>
      </c>
    </row>
    <row r="95" spans="1:5" ht="16.5" hidden="1" thickBot="1" x14ac:dyDescent="0.3">
      <c r="A95" s="62">
        <v>909</v>
      </c>
      <c r="B95" s="65" t="s">
        <v>277</v>
      </c>
      <c r="C95" s="64">
        <f>SUMIF(Пр12!C10:C1218,909,Пр12!G10:G1218)</f>
        <v>0</v>
      </c>
      <c r="D95" s="64">
        <f>SUMIF(Пр12!D10:D1218,909,Пр12!H10:H1218)</f>
        <v>0</v>
      </c>
      <c r="E95" s="64">
        <f>SUMIF(Пр12!E10:E1218,909,Пр12!I10:I1218)</f>
        <v>0</v>
      </c>
    </row>
    <row r="96" spans="1:5" ht="16.5" thickBot="1" x14ac:dyDescent="0.3">
      <c r="A96" s="59">
        <v>1000</v>
      </c>
      <c r="B96" s="68" t="s">
        <v>278</v>
      </c>
      <c r="C96" s="61">
        <f>C97+C98+C99+C100+C102</f>
        <v>466245115</v>
      </c>
      <c r="D96" s="61">
        <f>D97+D98+D99+D100+D102</f>
        <v>219574</v>
      </c>
      <c r="E96" s="61">
        <f>E97+E98+E99+E100+E102</f>
        <v>466464689</v>
      </c>
    </row>
    <row r="97" spans="1:5" ht="16.5" thickBot="1" x14ac:dyDescent="0.3">
      <c r="A97" s="62">
        <v>1001</v>
      </c>
      <c r="B97" s="65" t="s">
        <v>279</v>
      </c>
      <c r="C97" s="64">
        <f>SUMIF(Пр12!$C10:$C1218,1001,Пр12!G10:G1218)</f>
        <v>4226600</v>
      </c>
      <c r="D97" s="64">
        <f>SUMIF(Пр12!$C10:$C1218,1001,Пр12!H10:H1218)</f>
        <v>17666</v>
      </c>
      <c r="E97" s="64">
        <f>SUMIF(Пр12!$C10:$C1218,1001,Пр12!I10:I1218)</f>
        <v>4244266</v>
      </c>
    </row>
    <row r="98" spans="1:5" ht="16.5" thickBot="1" x14ac:dyDescent="0.3">
      <c r="A98" s="62">
        <v>1002</v>
      </c>
      <c r="B98" s="65" t="s">
        <v>280</v>
      </c>
      <c r="C98" s="64">
        <f>SUMIF(Пр12!$C10:$C1218,1002,Пр12!G10:G1218)</f>
        <v>84020480</v>
      </c>
      <c r="D98" s="64">
        <f>SUMIF(Пр12!$C10:$C1218,1002,Пр12!H10:H1218)</f>
        <v>0</v>
      </c>
      <c r="E98" s="64">
        <f>SUMIF(Пр12!$C10:$C1218,1002,Пр12!I10:I1218)</f>
        <v>84020480</v>
      </c>
    </row>
    <row r="99" spans="1:5" ht="16.5" thickBot="1" x14ac:dyDescent="0.3">
      <c r="A99" s="62">
        <v>1003</v>
      </c>
      <c r="B99" s="65" t="s">
        <v>281</v>
      </c>
      <c r="C99" s="64">
        <f>SUMIF(Пр12!$C10:$C1218,1003,Пр12!G10:G1218)</f>
        <v>241106006</v>
      </c>
      <c r="D99" s="64">
        <f>SUMIF(Пр12!$C10:$C1218,1003,Пр12!H10:H1218)</f>
        <v>-229817</v>
      </c>
      <c r="E99" s="64">
        <f>SUMIF(Пр12!$C10:$C1218,1003,Пр12!I10:I1218)</f>
        <v>240876189</v>
      </c>
    </row>
    <row r="100" spans="1:5" ht="16.5" thickBot="1" x14ac:dyDescent="0.3">
      <c r="A100" s="62">
        <v>1004</v>
      </c>
      <c r="B100" s="63" t="s">
        <v>282</v>
      </c>
      <c r="C100" s="64">
        <f>SUMIF(Пр12!$C10:$C1218,1004,Пр12!G10:G1218)</f>
        <v>121381487</v>
      </c>
      <c r="D100" s="64">
        <f>SUMIF(Пр12!$C10:$C1218,1004,Пр12!H10:H1218)</f>
        <v>411002</v>
      </c>
      <c r="E100" s="64">
        <f>SUMIF(Пр12!$C10:$C1218,1004,Пр12!I10:I1218)</f>
        <v>121792489</v>
      </c>
    </row>
    <row r="101" spans="1:5" ht="32.25" hidden="1" thickBot="1" x14ac:dyDescent="0.3">
      <c r="A101" s="62">
        <v>1005</v>
      </c>
      <c r="B101" s="65" t="s">
        <v>283</v>
      </c>
      <c r="C101" s="64">
        <f>SUMIF(Пр12!C10:C1218,1005,Пр12!G10:G1218)</f>
        <v>0</v>
      </c>
      <c r="D101" s="64">
        <f>SUMIF(Пр12!D10:D1218,1005,Пр12!H10:H1218)</f>
        <v>0</v>
      </c>
      <c r="E101" s="64">
        <f>SUMIF(Пр12!E10:E1218,1005,Пр12!I10:I1218)</f>
        <v>0</v>
      </c>
    </row>
    <row r="102" spans="1:5" ht="16.5" thickBot="1" x14ac:dyDescent="0.3">
      <c r="A102" s="62">
        <v>1006</v>
      </c>
      <c r="B102" s="65" t="s">
        <v>284</v>
      </c>
      <c r="C102" s="64">
        <f>SUMIF(Пр12!$C10:$C1218,1006,Пр12!G10:G1218)</f>
        <v>15510542</v>
      </c>
      <c r="D102" s="64">
        <f>SUMIF(Пр12!$C10:$C1218,1006,Пр12!H10:H1218)</f>
        <v>20723</v>
      </c>
      <c r="E102" s="64">
        <f>SUMIF(Пр12!$C10:$C1218,1006,Пр12!I10:I1218)</f>
        <v>15531265</v>
      </c>
    </row>
    <row r="103" spans="1:5" ht="16.5" thickBot="1" x14ac:dyDescent="0.3">
      <c r="A103" s="59">
        <v>1100</v>
      </c>
      <c r="B103" s="68" t="s">
        <v>285</v>
      </c>
      <c r="C103" s="61">
        <f>SUM(C104:C108)</f>
        <v>40355184</v>
      </c>
      <c r="D103" s="61">
        <f>SUM(D104:D108)</f>
        <v>55900</v>
      </c>
      <c r="E103" s="61">
        <f>SUM(E104:E108)</f>
        <v>40411084</v>
      </c>
    </row>
    <row r="104" spans="1:5" ht="16.5" hidden="1" thickBot="1" x14ac:dyDescent="0.3">
      <c r="A104" s="62">
        <v>1101</v>
      </c>
      <c r="B104" s="65" t="s">
        <v>286</v>
      </c>
      <c r="C104" s="64">
        <f>SUMIF(Пр12!C10:C1218,1101,Пр12!G10:G1218)</f>
        <v>0</v>
      </c>
      <c r="D104" s="64">
        <f>SUMIF(Пр12!D10:D1218,1101,Пр12!H10:H1218)</f>
        <v>0</v>
      </c>
      <c r="E104" s="64">
        <f>SUMIF(Пр12!E10:E1218,1101,Пр12!I10:I1218)</f>
        <v>0</v>
      </c>
    </row>
    <row r="105" spans="1:5" ht="16.5" thickBot="1" x14ac:dyDescent="0.3">
      <c r="A105" s="62">
        <v>1102</v>
      </c>
      <c r="B105" s="71" t="s">
        <v>287</v>
      </c>
      <c r="C105" s="64">
        <f>SUMIF(Пр12!$C10:$C1218,1102,Пр12!G10:G1218)</f>
        <v>40355184</v>
      </c>
      <c r="D105" s="64">
        <f>SUMIF(Пр12!$C10:$C1218,1102,Пр12!H10:H1218)</f>
        <v>55900</v>
      </c>
      <c r="E105" s="64">
        <f>SUMIF(Пр12!$C10:$C1218,1102,Пр12!I10:I1218)</f>
        <v>40411084</v>
      </c>
    </row>
    <row r="106" spans="1:5" ht="16.5" hidden="1" thickBot="1" x14ac:dyDescent="0.3">
      <c r="A106" s="62">
        <v>1103</v>
      </c>
      <c r="B106" s="65" t="s">
        <v>288</v>
      </c>
      <c r="C106" s="64">
        <f>SUMIF(Пр12!C10:C1218,1103,Пр12!G10:G1218)</f>
        <v>0</v>
      </c>
      <c r="D106" s="64">
        <f>SUMIF(Пр12!D10:D1218,1103,Пр12!H10:H1218)</f>
        <v>0</v>
      </c>
      <c r="E106" s="64">
        <f>SUMIF(Пр12!E10:E1218,1103,Пр12!I10:I1218)</f>
        <v>0</v>
      </c>
    </row>
    <row r="107" spans="1:5" ht="32.25" hidden="1" thickBot="1" x14ac:dyDescent="0.3">
      <c r="A107" s="62">
        <v>1104</v>
      </c>
      <c r="B107" s="65" t="s">
        <v>289</v>
      </c>
      <c r="C107" s="64">
        <f>SUMIF(Пр12!C10:C1218,1104,Пр12!G10:G1218)</f>
        <v>0</v>
      </c>
      <c r="D107" s="64">
        <f>SUMIF(Пр12!D10:D1218,1104,Пр12!H10:H1218)</f>
        <v>0</v>
      </c>
      <c r="E107" s="64">
        <f>SUMIF(Пр12!E10:E1218,1104,Пр12!I10:I1218)</f>
        <v>0</v>
      </c>
    </row>
    <row r="108" spans="1:5" ht="16.5" hidden="1" thickBot="1" x14ac:dyDescent="0.3">
      <c r="A108" s="62">
        <v>1105</v>
      </c>
      <c r="B108" s="65" t="s">
        <v>290</v>
      </c>
      <c r="C108" s="64">
        <f>SUMIF(Пр12!C10:C1218,1105,Пр12!G10:G1218)</f>
        <v>0</v>
      </c>
      <c r="D108" s="64">
        <f>SUMIF(Пр12!D10:D1218,1105,Пр12!H10:H1218)</f>
        <v>0</v>
      </c>
      <c r="E108" s="64">
        <f>SUMIF(Пр12!E10:E1218,1105,Пр12!I10:I1218)</f>
        <v>0</v>
      </c>
    </row>
    <row r="109" spans="1:5" ht="16.5" thickBot="1" x14ac:dyDescent="0.3">
      <c r="A109" s="59">
        <v>1200</v>
      </c>
      <c r="B109" s="68" t="s">
        <v>291</v>
      </c>
      <c r="C109" s="61">
        <f>SUM(C110:C113)</f>
        <v>4240713</v>
      </c>
      <c r="D109" s="61">
        <f>SUM(D110:D113)</f>
        <v>0</v>
      </c>
      <c r="E109" s="61">
        <f>SUM(E110:E113)</f>
        <v>4240713</v>
      </c>
    </row>
    <row r="110" spans="1:5" ht="16.5" hidden="1" thickBot="1" x14ac:dyDescent="0.3">
      <c r="A110" s="62">
        <v>1201</v>
      </c>
      <c r="B110" s="65" t="s">
        <v>292</v>
      </c>
      <c r="C110" s="64">
        <f>SUMIF(Пр12!C10:C1218,1201,Пр12!G10:G1218)</f>
        <v>0</v>
      </c>
      <c r="D110" s="64">
        <f>SUMIF(Пр12!D10:D1218,1201,Пр12!H10:H1218)</f>
        <v>0</v>
      </c>
      <c r="E110" s="64">
        <f>SUMIF(Пр12!E10:E1218,1201,Пр12!I10:I1218)</f>
        <v>0</v>
      </c>
    </row>
    <row r="111" spans="1:5" ht="16.5" thickBot="1" x14ac:dyDescent="0.3">
      <c r="A111" s="62">
        <v>1202</v>
      </c>
      <c r="B111" s="65" t="s">
        <v>293</v>
      </c>
      <c r="C111" s="64">
        <f>SUMIF(Пр12!$C10:$C1218,1202,Пр12!G10:G1218)</f>
        <v>4240713</v>
      </c>
      <c r="D111" s="64">
        <f>SUMIF(Пр12!$C10:$C1218,1202,Пр12!H10:H1218)</f>
        <v>0</v>
      </c>
      <c r="E111" s="64">
        <f>SUMIF(Пр12!$C10:$C1218,1202,Пр12!I10:I1218)</f>
        <v>4240713</v>
      </c>
    </row>
    <row r="112" spans="1:5" ht="32.25" hidden="1" thickBot="1" x14ac:dyDescent="0.3">
      <c r="A112" s="62">
        <v>1203</v>
      </c>
      <c r="B112" s="65" t="s">
        <v>294</v>
      </c>
      <c r="C112" s="64">
        <f>SUMIF(Пр12!C10:C1218,1203,Пр12!G10:G1218)</f>
        <v>0</v>
      </c>
      <c r="D112" s="64">
        <f>SUMIF(Пр12!D10:D1218,1203,Пр12!H10:H1218)</f>
        <v>0</v>
      </c>
      <c r="E112" s="64">
        <f>SUMIF(Пр12!E10:E1218,1203,Пр12!I10:I1218)</f>
        <v>0</v>
      </c>
    </row>
    <row r="113" spans="1:5" ht="16.5" hidden="1" thickBot="1" x14ac:dyDescent="0.3">
      <c r="A113" s="62">
        <v>1204</v>
      </c>
      <c r="B113" s="65" t="s">
        <v>295</v>
      </c>
      <c r="C113" s="64">
        <f>SUMIF(Пр12!C10:C1218,1204,Пр12!G10:G1218)</f>
        <v>0</v>
      </c>
      <c r="D113" s="64">
        <f>SUMIF(Пр12!D10:D1218,1204,Пр12!H10:H1218)</f>
        <v>0</v>
      </c>
      <c r="E113" s="64">
        <f>SUMIF(Пр12!E10:E1218,1204,Пр12!I10:I1218)</f>
        <v>0</v>
      </c>
    </row>
    <row r="114" spans="1:5" ht="32.25" thickBot="1" x14ac:dyDescent="0.3">
      <c r="A114" s="59">
        <v>1300</v>
      </c>
      <c r="B114" s="68" t="s">
        <v>296</v>
      </c>
      <c r="C114" s="61">
        <f>SUM(C115:C116)</f>
        <v>1561813</v>
      </c>
      <c r="D114" s="61">
        <f>SUM(D115:D116)</f>
        <v>-635744</v>
      </c>
      <c r="E114" s="61">
        <f>SUM(E115:E116)</f>
        <v>926069</v>
      </c>
    </row>
    <row r="115" spans="1:5" ht="32.25" thickBot="1" x14ac:dyDescent="0.3">
      <c r="A115" s="62">
        <v>1301</v>
      </c>
      <c r="B115" s="65" t="s">
        <v>297</v>
      </c>
      <c r="C115" s="64">
        <f>SUMIF(Пр12!$C10:$C1218,1301,Пр12!G10:G1218)</f>
        <v>1561813</v>
      </c>
      <c r="D115" s="64">
        <f>SUMIF(Пр12!$C10:$C1218,1301,Пр12!H10:H1218)</f>
        <v>-635744</v>
      </c>
      <c r="E115" s="64">
        <f>SUMIF(Пр12!$C10:$C1218,1301,Пр12!I10:I1218)</f>
        <v>926069</v>
      </c>
    </row>
    <row r="116" spans="1:5" ht="16.5" hidden="1" thickBot="1" x14ac:dyDescent="0.3">
      <c r="A116" s="62">
        <v>1302</v>
      </c>
      <c r="B116" s="65" t="s">
        <v>298</v>
      </c>
      <c r="C116" s="64">
        <f>SUMIF(Пр12!C10:C1218,1302,Пр12!G10:G1218)</f>
        <v>0</v>
      </c>
      <c r="D116" s="64">
        <f>SUMIF(Пр12!D10:D1218,1302,Пр12!H10:H1218)</f>
        <v>0</v>
      </c>
      <c r="E116" s="64">
        <f>SUMIF(Пр12!E10:E1218,1302,Пр12!I10:I1218)</f>
        <v>0</v>
      </c>
    </row>
    <row r="117" spans="1:5" ht="63.75" thickBot="1" x14ac:dyDescent="0.3">
      <c r="A117" s="59">
        <v>1400</v>
      </c>
      <c r="B117" s="68" t="s">
        <v>299</v>
      </c>
      <c r="C117" s="61">
        <f>SUM(C118:C120)</f>
        <v>46229075</v>
      </c>
      <c r="D117" s="61">
        <f>SUM(D118:D120)</f>
        <v>0</v>
      </c>
      <c r="E117" s="61">
        <f>SUM(E118:E120)</f>
        <v>46229075</v>
      </c>
    </row>
    <row r="118" spans="1:5" ht="48" thickBot="1" x14ac:dyDescent="0.3">
      <c r="A118" s="62">
        <v>1401</v>
      </c>
      <c r="B118" s="65" t="s">
        <v>300</v>
      </c>
      <c r="C118" s="64">
        <f>SUMIF(Пр12!$C10:$C1218,1401,Пр12!G10:G1218)</f>
        <v>41703000</v>
      </c>
      <c r="D118" s="64">
        <f>SUMIF(Пр12!$C10:$C1218,1401,Пр12!H10:H1218)</f>
        <v>0</v>
      </c>
      <c r="E118" s="64">
        <f>SUMIF(Пр12!$C10:$C1218,1401,Пр12!I10:I1218)</f>
        <v>41703000</v>
      </c>
    </row>
    <row r="119" spans="1:5" ht="16.5" thickBot="1" x14ac:dyDescent="0.3">
      <c r="A119" s="62">
        <v>1402</v>
      </c>
      <c r="B119" s="65" t="s">
        <v>301</v>
      </c>
      <c r="C119" s="64">
        <f>SUMIF(Пр12!C10:C1218,1402,Пр12!G10:G1218)</f>
        <v>4526075</v>
      </c>
      <c r="D119" s="64">
        <f>SUMIF(Пр12!$C11:$C1219,1402,Пр12!H11:H1219)</f>
        <v>0</v>
      </c>
      <c r="E119" s="64">
        <f>SUMIF(Пр12!$C11:$C1219,1402,Пр12!I11:I1219)</f>
        <v>4526075</v>
      </c>
    </row>
    <row r="120" spans="1:5" ht="48" hidden="1" thickBot="1" x14ac:dyDescent="0.3">
      <c r="A120" s="62">
        <v>1403</v>
      </c>
      <c r="B120" s="65" t="s">
        <v>302</v>
      </c>
      <c r="C120" s="64">
        <f>SUMIF(Пр12!C10:C1218,1403,Пр12!G10:G1218)</f>
        <v>0</v>
      </c>
      <c r="D120" s="64">
        <f>SUMIF(Пр12!D10:D1218,1403,Пр12!H10:H1218)</f>
        <v>0</v>
      </c>
      <c r="E120" s="64">
        <f>SUMIF(Пр12!E10:E1218,1403,Пр12!I10:I1218)</f>
        <v>0</v>
      </c>
    </row>
    <row r="121" spans="1:5" ht="16.5" thickBot="1" x14ac:dyDescent="0.3">
      <c r="A121" s="878" t="s">
        <v>177</v>
      </c>
      <c r="B121" s="878"/>
      <c r="C121" s="61">
        <f>C9+C23+C33+C46+C59+C65+C71+C81+C96+C103+C109+C114+C117+2</f>
        <v>2267157687.8400002</v>
      </c>
      <c r="D121" s="61">
        <f>D9+D23+D33+D46+D59+D65+D71+D81+D96+D103+D109+D114+D117</f>
        <v>-16897035.259999998</v>
      </c>
      <c r="E121" s="61">
        <f>E9+E23+E33+E46+E59+E65+E71+E81+E96+E103+E109+E114+E117+1</f>
        <v>2250260651.5799999</v>
      </c>
    </row>
    <row r="122" spans="1:5" ht="16.5" thickBot="1" x14ac:dyDescent="0.3">
      <c r="A122" s="878" t="s">
        <v>3459</v>
      </c>
      <c r="B122" s="878"/>
      <c r="C122" s="61">
        <f>Пр1!J166-Пр_3!C121</f>
        <v>-58875999.970000267</v>
      </c>
      <c r="D122" s="61">
        <f>Пр1!K166-Пр_3!D121</f>
        <v>2425999.2599999979</v>
      </c>
      <c r="E122" s="61">
        <f>Пр1!L166-Пр_3!E121</f>
        <v>-56449999.710000038</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30"/>
  <sheetViews>
    <sheetView showGridLines="0" topLeftCell="A1820" workbookViewId="0">
      <selection activeCell="B1917" sqref="B1917"/>
    </sheetView>
  </sheetViews>
  <sheetFormatPr defaultColWidth="9.140625" defaultRowHeight="12.75" x14ac:dyDescent="0.2"/>
  <cols>
    <col min="1" max="1" width="7.140625" style="385" customWidth="1"/>
    <col min="2" max="2" width="128" style="386" customWidth="1"/>
    <col min="3" max="16384" width="9.140625" style="384"/>
  </cols>
  <sheetData>
    <row r="1" spans="2:2" hidden="1" x14ac:dyDescent="0.2">
      <c r="B1" s="387"/>
    </row>
    <row r="2" spans="2:2" hidden="1" x14ac:dyDescent="0.2"/>
    <row r="3" spans="2:2" hidden="1" x14ac:dyDescent="0.2"/>
    <row r="4" spans="2:2" hidden="1" x14ac:dyDescent="0.2"/>
    <row r="5" spans="2:2" hidden="1" x14ac:dyDescent="0.2"/>
    <row r="6" spans="2:2" hidden="1" x14ac:dyDescent="0.2"/>
    <row r="7" spans="2:2" hidden="1" x14ac:dyDescent="0.2"/>
    <row r="8" spans="2:2" hidden="1" x14ac:dyDescent="0.2"/>
    <row r="9" spans="2:2" hidden="1" x14ac:dyDescent="0.2"/>
    <row r="10" spans="2:2" hidden="1" x14ac:dyDescent="0.2"/>
    <row r="11" spans="2:2" hidden="1" x14ac:dyDescent="0.2"/>
    <row r="12" spans="2:2" hidden="1" x14ac:dyDescent="0.2"/>
    <row r="13" spans="2:2" hidden="1" x14ac:dyDescent="0.2"/>
    <row r="14" spans="2:2" hidden="1" x14ac:dyDescent="0.2"/>
    <row r="15" spans="2:2" hidden="1" x14ac:dyDescent="0.2"/>
    <row r="16" spans="2: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t="10.5" hidden="1" customHeight="1" x14ac:dyDescent="0.2"/>
    <row r="1806" hidden="1" x14ac:dyDescent="0.2"/>
    <row r="1807" hidden="1" x14ac:dyDescent="0.2"/>
    <row r="1808" hidden="1" x14ac:dyDescent="0.2"/>
    <row r="1809" spans="1:2" hidden="1" x14ac:dyDescent="0.2"/>
    <row r="1810" spans="1:2" hidden="1" x14ac:dyDescent="0.2"/>
    <row r="1811" spans="1:2" hidden="1" x14ac:dyDescent="0.2"/>
    <row r="1812" spans="1:2" hidden="1" x14ac:dyDescent="0.2"/>
    <row r="1813" spans="1:2" hidden="1" x14ac:dyDescent="0.2"/>
    <row r="1814" spans="1:2" hidden="1" x14ac:dyDescent="0.2"/>
    <row r="1815" spans="1:2" hidden="1" x14ac:dyDescent="0.2"/>
    <row r="1816" spans="1:2" hidden="1" x14ac:dyDescent="0.2"/>
    <row r="1817" spans="1:2" hidden="1" x14ac:dyDescent="0.2"/>
    <row r="1818" spans="1:2" hidden="1" x14ac:dyDescent="0.2"/>
    <row r="1819" spans="1:2" hidden="1" x14ac:dyDescent="0.2"/>
    <row r="1820" spans="1:2" ht="38.25" x14ac:dyDescent="0.2">
      <c r="A1820" s="388">
        <v>100</v>
      </c>
      <c r="B1820" s="389" t="s">
        <v>3160</v>
      </c>
    </row>
    <row r="1821" spans="1:2" x14ac:dyDescent="0.2">
      <c r="A1821" s="388">
        <v>110</v>
      </c>
      <c r="B1821" s="389" t="s">
        <v>2707</v>
      </c>
    </row>
    <row r="1822" spans="1:2" x14ac:dyDescent="0.2">
      <c r="A1822" s="388">
        <v>111</v>
      </c>
      <c r="B1822" s="389" t="s">
        <v>2708</v>
      </c>
    </row>
    <row r="1823" spans="1:2" x14ac:dyDescent="0.2">
      <c r="A1823" s="388">
        <v>112</v>
      </c>
      <c r="B1823" s="389" t="s">
        <v>2709</v>
      </c>
    </row>
    <row r="1824" spans="1:2" x14ac:dyDescent="0.2">
      <c r="A1824" s="388">
        <v>120</v>
      </c>
      <c r="B1824" s="389" t="s">
        <v>2710</v>
      </c>
    </row>
    <row r="1825" spans="1:2" x14ac:dyDescent="0.2">
      <c r="A1825" s="388">
        <v>121</v>
      </c>
      <c r="B1825" s="389" t="s">
        <v>2708</v>
      </c>
    </row>
    <row r="1826" spans="1:2" x14ac:dyDescent="0.2">
      <c r="A1826" s="388">
        <v>122</v>
      </c>
      <c r="B1826" s="389" t="s">
        <v>2709</v>
      </c>
    </row>
    <row r="1827" spans="1:2" x14ac:dyDescent="0.2">
      <c r="A1827" s="388">
        <v>130</v>
      </c>
      <c r="B1827" s="389" t="s">
        <v>2711</v>
      </c>
    </row>
    <row r="1828" spans="1:2" x14ac:dyDescent="0.2">
      <c r="A1828" s="388">
        <v>131</v>
      </c>
      <c r="B1828" s="389" t="s">
        <v>2712</v>
      </c>
    </row>
    <row r="1829" spans="1:2" x14ac:dyDescent="0.2">
      <c r="A1829" s="388">
        <v>132</v>
      </c>
      <c r="B1829" s="389" t="s">
        <v>2713</v>
      </c>
    </row>
    <row r="1830" spans="1:2" x14ac:dyDescent="0.2">
      <c r="A1830" s="388">
        <v>133</v>
      </c>
      <c r="B1830" s="389" t="s">
        <v>2714</v>
      </c>
    </row>
    <row r="1831" spans="1:2" x14ac:dyDescent="0.2">
      <c r="A1831" s="388">
        <v>134</v>
      </c>
      <c r="B1831" s="389" t="s">
        <v>2715</v>
      </c>
    </row>
    <row r="1832" spans="1:2" x14ac:dyDescent="0.2">
      <c r="A1832" s="388">
        <v>140</v>
      </c>
      <c r="B1832" s="389" t="s">
        <v>2716</v>
      </c>
    </row>
    <row r="1833" spans="1:2" x14ac:dyDescent="0.2">
      <c r="A1833" s="388">
        <v>141</v>
      </c>
      <c r="B1833" s="389" t="s">
        <v>2708</v>
      </c>
    </row>
    <row r="1834" spans="1:2" ht="25.5" x14ac:dyDescent="0.2">
      <c r="A1834" s="388">
        <v>142</v>
      </c>
      <c r="B1834" s="389" t="s">
        <v>2717</v>
      </c>
    </row>
    <row r="1835" spans="1:2" ht="25.5" x14ac:dyDescent="0.2">
      <c r="A1835" s="388">
        <v>200</v>
      </c>
      <c r="B1835" s="389" t="s">
        <v>3159</v>
      </c>
    </row>
    <row r="1836" spans="1:2" x14ac:dyDescent="0.2">
      <c r="A1836" s="388">
        <v>210</v>
      </c>
      <c r="B1836" s="389" t="s">
        <v>2718</v>
      </c>
    </row>
    <row r="1837" spans="1:2" ht="25.5" x14ac:dyDescent="0.2">
      <c r="A1837" s="388">
        <v>211</v>
      </c>
      <c r="B1837" s="389" t="s">
        <v>2719</v>
      </c>
    </row>
    <row r="1838" spans="1:2" ht="25.5" x14ac:dyDescent="0.2">
      <c r="A1838" s="388">
        <v>212</v>
      </c>
      <c r="B1838" s="389" t="s">
        <v>2720</v>
      </c>
    </row>
    <row r="1839" spans="1:2" ht="25.5" x14ac:dyDescent="0.2">
      <c r="A1839" s="388">
        <v>213</v>
      </c>
      <c r="B1839" s="389" t="s">
        <v>2721</v>
      </c>
    </row>
    <row r="1840" spans="1:2" ht="25.5" x14ac:dyDescent="0.2">
      <c r="A1840" s="388">
        <v>214</v>
      </c>
      <c r="B1840" s="389" t="s">
        <v>2722</v>
      </c>
    </row>
    <row r="1841" spans="1:2" ht="25.5" x14ac:dyDescent="0.2">
      <c r="A1841" s="388">
        <v>215</v>
      </c>
      <c r="B1841" s="389" t="s">
        <v>2723</v>
      </c>
    </row>
    <row r="1842" spans="1:2" ht="25.5" x14ac:dyDescent="0.2">
      <c r="A1842" s="388">
        <v>216</v>
      </c>
      <c r="B1842" s="389" t="s">
        <v>2724</v>
      </c>
    </row>
    <row r="1843" spans="1:2" ht="25.5" x14ac:dyDescent="0.2">
      <c r="A1843" s="388">
        <v>217</v>
      </c>
      <c r="B1843" s="389" t="s">
        <v>2725</v>
      </c>
    </row>
    <row r="1844" spans="1:2" ht="25.5" x14ac:dyDescent="0.2">
      <c r="A1844" s="388">
        <v>218</v>
      </c>
      <c r="B1844" s="389" t="s">
        <v>2726</v>
      </c>
    </row>
    <row r="1845" spans="1:2" x14ac:dyDescent="0.2">
      <c r="A1845" s="388">
        <v>219</v>
      </c>
      <c r="B1845" s="389" t="s">
        <v>2727</v>
      </c>
    </row>
    <row r="1846" spans="1:2" ht="25.5" x14ac:dyDescent="0.2">
      <c r="A1846" s="388">
        <v>220</v>
      </c>
      <c r="B1846" s="389" t="s">
        <v>2728</v>
      </c>
    </row>
    <row r="1847" spans="1:2" x14ac:dyDescent="0.2">
      <c r="A1847" s="388">
        <v>221</v>
      </c>
      <c r="B1847" s="389" t="s">
        <v>2729</v>
      </c>
    </row>
    <row r="1848" spans="1:2" x14ac:dyDescent="0.2">
      <c r="A1848" s="388">
        <v>222</v>
      </c>
      <c r="B1848" s="389" t="s">
        <v>2730</v>
      </c>
    </row>
    <row r="1849" spans="1:2" x14ac:dyDescent="0.2">
      <c r="A1849" s="388">
        <v>223</v>
      </c>
      <c r="B1849" s="389" t="s">
        <v>1316</v>
      </c>
    </row>
    <row r="1850" spans="1:2" x14ac:dyDescent="0.2">
      <c r="A1850" s="388">
        <v>224</v>
      </c>
      <c r="B1850" s="389" t="s">
        <v>1317</v>
      </c>
    </row>
    <row r="1851" spans="1:2" x14ac:dyDescent="0.2">
      <c r="A1851" s="388">
        <v>225</v>
      </c>
      <c r="B1851" s="389" t="s">
        <v>1320</v>
      </c>
    </row>
    <row r="1852" spans="1:2" x14ac:dyDescent="0.2">
      <c r="A1852" s="388">
        <v>226</v>
      </c>
      <c r="B1852" s="389" t="s">
        <v>1321</v>
      </c>
    </row>
    <row r="1853" spans="1:2" x14ac:dyDescent="0.2">
      <c r="A1853" s="388">
        <v>230</v>
      </c>
      <c r="B1853" s="389" t="s">
        <v>2731</v>
      </c>
    </row>
    <row r="1854" spans="1:2" x14ac:dyDescent="0.2">
      <c r="A1854" s="388">
        <v>240</v>
      </c>
      <c r="B1854" s="389" t="s">
        <v>2732</v>
      </c>
    </row>
    <row r="1855" spans="1:2" x14ac:dyDescent="0.2">
      <c r="A1855" s="388">
        <v>241</v>
      </c>
      <c r="B1855" s="389" t="s">
        <v>2733</v>
      </c>
    </row>
    <row r="1856" spans="1:2" x14ac:dyDescent="0.2">
      <c r="A1856" s="388">
        <v>242</v>
      </c>
      <c r="B1856" s="389" t="s">
        <v>2734</v>
      </c>
    </row>
    <row r="1857" spans="1:2" x14ac:dyDescent="0.2">
      <c r="A1857" s="388">
        <v>243</v>
      </c>
      <c r="B1857" s="389" t="s">
        <v>2735</v>
      </c>
    </row>
    <row r="1858" spans="1:2" x14ac:dyDescent="0.2">
      <c r="A1858" s="388">
        <v>244</v>
      </c>
      <c r="B1858" s="389" t="s">
        <v>3158</v>
      </c>
    </row>
    <row r="1859" spans="1:2" x14ac:dyDescent="0.2">
      <c r="A1859" s="388">
        <v>300</v>
      </c>
      <c r="B1859" s="389" t="s">
        <v>662</v>
      </c>
    </row>
    <row r="1860" spans="1:2" x14ac:dyDescent="0.2">
      <c r="A1860" s="388">
        <v>310</v>
      </c>
      <c r="B1860" s="389" t="s">
        <v>2736</v>
      </c>
    </row>
    <row r="1861" spans="1:2" x14ac:dyDescent="0.2">
      <c r="A1861" s="388">
        <v>311</v>
      </c>
      <c r="B1861" s="389" t="s">
        <v>2737</v>
      </c>
    </row>
    <row r="1862" spans="1:2" x14ac:dyDescent="0.2">
      <c r="A1862" s="388">
        <v>312</v>
      </c>
      <c r="B1862" s="389" t="s">
        <v>2738</v>
      </c>
    </row>
    <row r="1863" spans="1:2" x14ac:dyDescent="0.2">
      <c r="A1863" s="388">
        <v>313</v>
      </c>
      <c r="B1863" s="389" t="s">
        <v>2739</v>
      </c>
    </row>
    <row r="1864" spans="1:2" x14ac:dyDescent="0.2">
      <c r="A1864" s="388">
        <v>314</v>
      </c>
      <c r="B1864" s="389" t="s">
        <v>2740</v>
      </c>
    </row>
    <row r="1865" spans="1:2" x14ac:dyDescent="0.2">
      <c r="A1865" s="388">
        <v>320</v>
      </c>
      <c r="B1865" s="389" t="s">
        <v>2741</v>
      </c>
    </row>
    <row r="1866" spans="1:2" x14ac:dyDescent="0.2">
      <c r="A1866" s="388">
        <v>321</v>
      </c>
      <c r="B1866" s="389" t="s">
        <v>2742</v>
      </c>
    </row>
    <row r="1867" spans="1:2" x14ac:dyDescent="0.2">
      <c r="A1867" s="388">
        <v>322</v>
      </c>
      <c r="B1867" s="389" t="s">
        <v>2743</v>
      </c>
    </row>
    <row r="1868" spans="1:2" x14ac:dyDescent="0.2">
      <c r="A1868" s="388">
        <v>323</v>
      </c>
      <c r="B1868" s="389" t="s">
        <v>2744</v>
      </c>
    </row>
    <row r="1869" spans="1:2" x14ac:dyDescent="0.2">
      <c r="A1869" s="388">
        <v>330</v>
      </c>
      <c r="B1869" s="389" t="s">
        <v>2745</v>
      </c>
    </row>
    <row r="1870" spans="1:2" x14ac:dyDescent="0.2">
      <c r="A1870" s="388">
        <v>340</v>
      </c>
      <c r="B1870" s="389" t="s">
        <v>2746</v>
      </c>
    </row>
    <row r="1871" spans="1:2" x14ac:dyDescent="0.2">
      <c r="A1871" s="388">
        <v>350</v>
      </c>
      <c r="B1871" s="389" t="s">
        <v>2747</v>
      </c>
    </row>
    <row r="1872" spans="1:2" x14ac:dyDescent="0.2">
      <c r="A1872" s="388">
        <v>360</v>
      </c>
      <c r="B1872" s="389" t="s">
        <v>2748</v>
      </c>
    </row>
    <row r="1873" spans="1:2" ht="12.75" customHeight="1" x14ac:dyDescent="0.2">
      <c r="A1873" s="388">
        <v>400</v>
      </c>
      <c r="B1873" s="389" t="s">
        <v>3161</v>
      </c>
    </row>
    <row r="1874" spans="1:2" x14ac:dyDescent="0.2">
      <c r="A1874" s="388">
        <v>410</v>
      </c>
      <c r="B1874" s="389" t="s">
        <v>2749</v>
      </c>
    </row>
    <row r="1875" spans="1:2" x14ac:dyDescent="0.2">
      <c r="A1875" s="388">
        <v>411</v>
      </c>
      <c r="B1875" s="389" t="s">
        <v>2750</v>
      </c>
    </row>
    <row r="1876" spans="1:2" x14ac:dyDescent="0.2">
      <c r="A1876" s="388">
        <v>412</v>
      </c>
      <c r="B1876" s="389" t="s">
        <v>2751</v>
      </c>
    </row>
    <row r="1877" spans="1:2" x14ac:dyDescent="0.2">
      <c r="A1877" s="388">
        <v>413</v>
      </c>
      <c r="B1877" s="389" t="s">
        <v>2752</v>
      </c>
    </row>
    <row r="1878" spans="1:2" x14ac:dyDescent="0.2">
      <c r="A1878" s="388">
        <v>414</v>
      </c>
      <c r="B1878" s="389" t="s">
        <v>2753</v>
      </c>
    </row>
    <row r="1879" spans="1:2" x14ac:dyDescent="0.2">
      <c r="A1879" s="388">
        <v>415</v>
      </c>
      <c r="B1879" s="389" t="s">
        <v>2754</v>
      </c>
    </row>
    <row r="1880" spans="1:2" x14ac:dyDescent="0.2">
      <c r="A1880" s="388">
        <v>420</v>
      </c>
      <c r="B1880" s="389" t="s">
        <v>2755</v>
      </c>
    </row>
    <row r="1881" spans="1:2" ht="25.5" x14ac:dyDescent="0.2">
      <c r="A1881" s="388">
        <v>421</v>
      </c>
      <c r="B1881" s="389" t="s">
        <v>2756</v>
      </c>
    </row>
    <row r="1882" spans="1:2" ht="25.5" x14ac:dyDescent="0.2">
      <c r="A1882" s="388">
        <v>422</v>
      </c>
      <c r="B1882" s="389" t="s">
        <v>2757</v>
      </c>
    </row>
    <row r="1883" spans="1:2" x14ac:dyDescent="0.2">
      <c r="A1883" s="388">
        <v>430</v>
      </c>
      <c r="B1883" s="389" t="s">
        <v>2758</v>
      </c>
    </row>
    <row r="1884" spans="1:2" x14ac:dyDescent="0.2">
      <c r="A1884" s="388">
        <v>440</v>
      </c>
      <c r="B1884" s="389" t="s">
        <v>2759</v>
      </c>
    </row>
    <row r="1885" spans="1:2" x14ac:dyDescent="0.2">
      <c r="A1885" s="388">
        <v>500</v>
      </c>
      <c r="B1885" s="389" t="s">
        <v>803</v>
      </c>
    </row>
    <row r="1886" spans="1:2" x14ac:dyDescent="0.2">
      <c r="A1886" s="388">
        <v>510</v>
      </c>
      <c r="B1886" s="389" t="s">
        <v>2516</v>
      </c>
    </row>
    <row r="1887" spans="1:2" x14ac:dyDescent="0.2">
      <c r="A1887" s="388">
        <v>511</v>
      </c>
      <c r="B1887" s="389" t="s">
        <v>2760</v>
      </c>
    </row>
    <row r="1888" spans="1:2" x14ac:dyDescent="0.2">
      <c r="A1888" s="388">
        <v>512</v>
      </c>
      <c r="B1888" s="389" t="s">
        <v>2761</v>
      </c>
    </row>
    <row r="1889" spans="1:2" ht="25.5" x14ac:dyDescent="0.2">
      <c r="A1889" s="388">
        <v>513</v>
      </c>
      <c r="B1889" s="389" t="s">
        <v>2762</v>
      </c>
    </row>
    <row r="1890" spans="1:2" x14ac:dyDescent="0.2">
      <c r="A1890" s="388">
        <v>514</v>
      </c>
      <c r="B1890" s="389" t="s">
        <v>2763</v>
      </c>
    </row>
    <row r="1891" spans="1:2" x14ac:dyDescent="0.2">
      <c r="A1891" s="388">
        <v>515</v>
      </c>
      <c r="B1891" s="389" t="s">
        <v>301</v>
      </c>
    </row>
    <row r="1892" spans="1:2" x14ac:dyDescent="0.2">
      <c r="A1892" s="388">
        <v>520</v>
      </c>
      <c r="B1892" s="389" t="s">
        <v>1325</v>
      </c>
    </row>
    <row r="1893" spans="1:2" ht="25.5" x14ac:dyDescent="0.2">
      <c r="A1893" s="388">
        <v>521</v>
      </c>
      <c r="B1893" s="389" t="s">
        <v>2764</v>
      </c>
    </row>
    <row r="1894" spans="1:2" x14ac:dyDescent="0.2">
      <c r="A1894" s="388">
        <v>522</v>
      </c>
      <c r="B1894" s="389" t="s">
        <v>2765</v>
      </c>
    </row>
    <row r="1895" spans="1:2" x14ac:dyDescent="0.2">
      <c r="A1895" s="388">
        <v>530</v>
      </c>
      <c r="B1895" s="389" t="s">
        <v>2766</v>
      </c>
    </row>
    <row r="1896" spans="1:2" x14ac:dyDescent="0.2">
      <c r="A1896" s="388">
        <v>540</v>
      </c>
      <c r="B1896" s="389" t="s">
        <v>2767</v>
      </c>
    </row>
    <row r="1897" spans="1:2" x14ac:dyDescent="0.2">
      <c r="A1897" s="388">
        <v>560</v>
      </c>
      <c r="B1897" s="389" t="s">
        <v>2768</v>
      </c>
    </row>
    <row r="1898" spans="1:2" x14ac:dyDescent="0.2">
      <c r="A1898" s="388">
        <v>570</v>
      </c>
      <c r="B1898" s="389" t="s">
        <v>2769</v>
      </c>
    </row>
    <row r="1899" spans="1:2" x14ac:dyDescent="0.2">
      <c r="A1899" s="388">
        <v>580</v>
      </c>
      <c r="B1899" s="389" t="s">
        <v>2770</v>
      </c>
    </row>
    <row r="1900" spans="1:2" x14ac:dyDescent="0.2">
      <c r="A1900" s="388">
        <v>600</v>
      </c>
      <c r="B1900" s="389" t="s">
        <v>691</v>
      </c>
    </row>
    <row r="1901" spans="1:2" x14ac:dyDescent="0.2">
      <c r="A1901" s="388">
        <v>610</v>
      </c>
      <c r="B1901" s="389" t="s">
        <v>2771</v>
      </c>
    </row>
    <row r="1902" spans="1:2" x14ac:dyDescent="0.2">
      <c r="A1902" s="388">
        <v>611</v>
      </c>
      <c r="B1902" s="389" t="s">
        <v>700</v>
      </c>
    </row>
    <row r="1903" spans="1:2" x14ac:dyDescent="0.2">
      <c r="A1903" s="388">
        <v>612</v>
      </c>
      <c r="B1903" s="389" t="s">
        <v>2772</v>
      </c>
    </row>
    <row r="1904" spans="1:2" x14ac:dyDescent="0.2">
      <c r="A1904" s="388">
        <v>620</v>
      </c>
      <c r="B1904" s="389" t="s">
        <v>2773</v>
      </c>
    </row>
    <row r="1905" spans="1:2" x14ac:dyDescent="0.2">
      <c r="A1905" s="388">
        <v>621</v>
      </c>
      <c r="B1905" s="389" t="s">
        <v>2774</v>
      </c>
    </row>
    <row r="1906" spans="1:2" x14ac:dyDescent="0.2">
      <c r="A1906" s="388">
        <v>622</v>
      </c>
      <c r="B1906" s="389" t="s">
        <v>2775</v>
      </c>
    </row>
    <row r="1907" spans="1:2" x14ac:dyDescent="0.2">
      <c r="A1907" s="388">
        <v>630</v>
      </c>
      <c r="B1907" s="389" t="s">
        <v>2776</v>
      </c>
    </row>
    <row r="1908" spans="1:2" x14ac:dyDescent="0.2">
      <c r="A1908" s="388">
        <v>700</v>
      </c>
      <c r="B1908" s="389" t="s">
        <v>807</v>
      </c>
    </row>
    <row r="1909" spans="1:2" x14ac:dyDescent="0.2">
      <c r="A1909" s="388">
        <v>710</v>
      </c>
      <c r="B1909" s="389" t="s">
        <v>807</v>
      </c>
    </row>
    <row r="1910" spans="1:2" x14ac:dyDescent="0.2">
      <c r="A1910" s="388">
        <v>800</v>
      </c>
      <c r="B1910" s="389" t="s">
        <v>629</v>
      </c>
    </row>
    <row r="1911" spans="1:2" x14ac:dyDescent="0.2">
      <c r="A1911" s="388">
        <v>810</v>
      </c>
      <c r="B1911" s="389" t="s">
        <v>2777</v>
      </c>
    </row>
    <row r="1912" spans="1:2" x14ac:dyDescent="0.2">
      <c r="A1912" s="388">
        <v>820</v>
      </c>
      <c r="B1912" s="389" t="s">
        <v>2778</v>
      </c>
    </row>
    <row r="1913" spans="1:2" x14ac:dyDescent="0.2">
      <c r="A1913" s="388">
        <v>821</v>
      </c>
      <c r="B1913" s="389" t="s">
        <v>2779</v>
      </c>
    </row>
    <row r="1914" spans="1:2" x14ac:dyDescent="0.2">
      <c r="A1914" s="388">
        <v>822</v>
      </c>
      <c r="B1914" s="389" t="s">
        <v>2780</v>
      </c>
    </row>
    <row r="1915" spans="1:2" x14ac:dyDescent="0.2">
      <c r="A1915" s="388">
        <v>823</v>
      </c>
      <c r="B1915" s="389" t="s">
        <v>2781</v>
      </c>
    </row>
    <row r="1916" spans="1:2" x14ac:dyDescent="0.2">
      <c r="A1916" s="388">
        <v>830</v>
      </c>
      <c r="B1916" s="389" t="s">
        <v>2782</v>
      </c>
    </row>
    <row r="1917" spans="1:2" ht="38.25" x14ac:dyDescent="0.2">
      <c r="A1917" s="388">
        <v>831</v>
      </c>
      <c r="B1917" s="390" t="s">
        <v>2783</v>
      </c>
    </row>
    <row r="1918" spans="1:2" ht="51" x14ac:dyDescent="0.2">
      <c r="A1918" s="388">
        <v>832</v>
      </c>
      <c r="B1918" s="390" t="s">
        <v>2784</v>
      </c>
    </row>
    <row r="1919" spans="1:2" x14ac:dyDescent="0.2">
      <c r="A1919" s="388">
        <v>833</v>
      </c>
      <c r="B1919" s="389" t="s">
        <v>2785</v>
      </c>
    </row>
    <row r="1920" spans="1:2" ht="25.5" x14ac:dyDescent="0.2">
      <c r="A1920" s="388">
        <v>840</v>
      </c>
      <c r="B1920" s="389" t="s">
        <v>2786</v>
      </c>
    </row>
    <row r="1921" spans="1:2" x14ac:dyDescent="0.2">
      <c r="A1921" s="388">
        <v>841</v>
      </c>
      <c r="B1921" s="389" t="s">
        <v>2787</v>
      </c>
    </row>
    <row r="1922" spans="1:2" x14ac:dyDescent="0.2">
      <c r="A1922" s="388">
        <v>850</v>
      </c>
      <c r="B1922" s="389" t="s">
        <v>2788</v>
      </c>
    </row>
    <row r="1923" spans="1:2" x14ac:dyDescent="0.2">
      <c r="A1923" s="388">
        <v>851</v>
      </c>
      <c r="B1923" s="389" t="s">
        <v>2789</v>
      </c>
    </row>
    <row r="1924" spans="1:2" ht="12.75" customHeight="1" x14ac:dyDescent="0.2">
      <c r="A1924" s="388">
        <v>852</v>
      </c>
      <c r="B1924" s="389" t="s">
        <v>2790</v>
      </c>
    </row>
    <row r="1925" spans="1:2" x14ac:dyDescent="0.2">
      <c r="A1925" s="388">
        <v>860</v>
      </c>
      <c r="B1925" s="389" t="s">
        <v>2791</v>
      </c>
    </row>
    <row r="1926" spans="1:2" x14ac:dyDescent="0.2">
      <c r="A1926" s="388">
        <v>861</v>
      </c>
      <c r="B1926" s="389" t="s">
        <v>2792</v>
      </c>
    </row>
    <row r="1927" spans="1:2" x14ac:dyDescent="0.2">
      <c r="A1927" s="388">
        <v>862</v>
      </c>
      <c r="B1927" s="389" t="s">
        <v>2793</v>
      </c>
    </row>
    <row r="1928" spans="1:2" x14ac:dyDescent="0.2">
      <c r="A1928" s="388">
        <v>863</v>
      </c>
      <c r="B1928" s="389" t="s">
        <v>2794</v>
      </c>
    </row>
    <row r="1929" spans="1:2" x14ac:dyDescent="0.2">
      <c r="A1929" s="388">
        <v>870</v>
      </c>
      <c r="B1929" s="389" t="s">
        <v>2795</v>
      </c>
    </row>
    <row r="1930" spans="1:2" x14ac:dyDescent="0.2">
      <c r="A1930" s="388">
        <v>880</v>
      </c>
      <c r="B1930" s="389" t="s">
        <v>2796</v>
      </c>
    </row>
  </sheetData>
  <printOptions gridLinesSet="0"/>
  <pageMargins left="0.75" right="0.75" top="1" bottom="1" header="0.5" footer="0.5"/>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ColWidth="9.140625" defaultRowHeight="12.75" x14ac:dyDescent="0.2"/>
  <cols>
    <col min="1" max="1" width="5.85546875" style="128" customWidth="1"/>
    <col min="2" max="2" width="54.42578125" style="128" customWidth="1"/>
    <col min="3" max="4" width="0" style="128" hidden="1" customWidth="1"/>
    <col min="5" max="5" width="13.5703125" style="128" customWidth="1"/>
    <col min="6" max="16384" width="9.140625" style="128"/>
  </cols>
  <sheetData>
    <row r="1" spans="1:5" ht="15.75" x14ac:dyDescent="0.25">
      <c r="A1" s="868" t="s">
        <v>1051</v>
      </c>
      <c r="B1" s="1002"/>
      <c r="C1" s="1002"/>
      <c r="D1" s="1002"/>
      <c r="E1" s="1002"/>
    </row>
    <row r="2" spans="1:5" ht="15.75" x14ac:dyDescent="0.25">
      <c r="B2" s="868" t="s">
        <v>1</v>
      </c>
      <c r="C2" s="868"/>
      <c r="D2" s="868"/>
      <c r="E2" s="868"/>
    </row>
    <row r="3" spans="1:5" ht="15.75" x14ac:dyDescent="0.25">
      <c r="B3" s="868" t="s">
        <v>2</v>
      </c>
      <c r="C3" s="868"/>
      <c r="D3" s="868"/>
      <c r="E3" s="868"/>
    </row>
    <row r="4" spans="1:5" ht="15.75" x14ac:dyDescent="0.25">
      <c r="B4" s="868" t="s">
        <v>1092</v>
      </c>
      <c r="C4" s="868"/>
      <c r="D4" s="868"/>
      <c r="E4" s="868"/>
    </row>
    <row r="5" spans="1:5" x14ac:dyDescent="0.2">
      <c r="B5" s="83"/>
      <c r="C5" s="83"/>
      <c r="D5" s="83"/>
    </row>
    <row r="7" spans="1:5" ht="63.75" customHeight="1" x14ac:dyDescent="0.2">
      <c r="A7" s="1021" t="s">
        <v>2797</v>
      </c>
      <c r="B7" s="1021"/>
      <c r="C7" s="1021"/>
      <c r="D7" s="1021"/>
      <c r="E7" s="1021"/>
    </row>
    <row r="8" spans="1:5" ht="18.75" x14ac:dyDescent="0.2">
      <c r="A8" s="8"/>
      <c r="B8" s="8"/>
      <c r="C8" s="8"/>
      <c r="D8" s="8"/>
      <c r="E8" s="8"/>
    </row>
    <row r="9" spans="1:5" ht="53.25" customHeight="1" x14ac:dyDescent="0.2">
      <c r="A9" s="983" t="s">
        <v>2798</v>
      </c>
      <c r="B9" s="983"/>
      <c r="C9" s="983"/>
      <c r="D9" s="983"/>
      <c r="E9" s="983"/>
    </row>
    <row r="10" spans="1:5" ht="47.25" x14ac:dyDescent="0.2">
      <c r="A10" s="867" t="s">
        <v>904</v>
      </c>
      <c r="B10" s="867"/>
      <c r="C10" s="145" t="s">
        <v>2799</v>
      </c>
      <c r="D10" s="146" t="s">
        <v>1048</v>
      </c>
      <c r="E10" s="9" t="s">
        <v>192</v>
      </c>
    </row>
    <row r="11" spans="1:5" ht="15.75" x14ac:dyDescent="0.25">
      <c r="A11" s="993" t="s">
        <v>1015</v>
      </c>
      <c r="B11" s="994"/>
      <c r="C11" s="391">
        <v>989000</v>
      </c>
      <c r="D11" s="391">
        <v>0</v>
      </c>
      <c r="E11" s="391"/>
    </row>
    <row r="12" spans="1:5" ht="15.75" x14ac:dyDescent="0.25">
      <c r="A12" s="993" t="s">
        <v>1050</v>
      </c>
      <c r="B12" s="994"/>
      <c r="C12" s="391">
        <v>892000</v>
      </c>
      <c r="D12" s="391">
        <v>0</v>
      </c>
      <c r="E12" s="391"/>
    </row>
    <row r="13" spans="1:5" ht="15.75" x14ac:dyDescent="0.25">
      <c r="A13" s="993" t="s">
        <v>1016</v>
      </c>
      <c r="B13" s="994"/>
      <c r="C13" s="391">
        <v>684000</v>
      </c>
      <c r="D13" s="391">
        <v>0</v>
      </c>
      <c r="E13" s="391"/>
    </row>
    <row r="14" spans="1:5" ht="15.75" customHeight="1" x14ac:dyDescent="0.25">
      <c r="A14" s="1022" t="s">
        <v>177</v>
      </c>
      <c r="B14" s="1023"/>
      <c r="C14" s="391"/>
      <c r="D14" s="391"/>
      <c r="E14" s="391"/>
    </row>
  </sheetData>
  <mergeCells count="11">
    <mergeCell ref="A14:B14"/>
    <mergeCell ref="A9:E9"/>
    <mergeCell ref="A10:B10"/>
    <mergeCell ref="A11:B11"/>
    <mergeCell ref="A12:B12"/>
    <mergeCell ref="A13:B13"/>
    <mergeCell ref="A1:E1"/>
    <mergeCell ref="B2:E2"/>
    <mergeCell ref="B3:E3"/>
    <mergeCell ref="B4:E4"/>
    <mergeCell ref="A7:E7"/>
  </mergeCells>
  <printOptions gridLinesSet="0"/>
  <pageMargins left="0.7" right="0.7" top="0.75" bottom="0.75" header="0.5" footer="0.5"/>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ColWidth="9.140625" defaultRowHeight="12.75" x14ac:dyDescent="0.2"/>
  <cols>
    <col min="1" max="1" width="5.85546875" style="128" customWidth="1"/>
    <col min="2" max="2" width="54.42578125" style="128" customWidth="1"/>
    <col min="3" max="4" width="0" style="128" hidden="1" customWidth="1"/>
    <col min="5" max="5" width="13.5703125" style="128" customWidth="1"/>
    <col min="6" max="6" width="12.85546875" style="128" customWidth="1"/>
    <col min="7" max="16384" width="9.140625" style="128"/>
  </cols>
  <sheetData>
    <row r="1" spans="1:6" ht="15.75" x14ac:dyDescent="0.25">
      <c r="A1" s="868" t="s">
        <v>2800</v>
      </c>
      <c r="B1" s="1002"/>
      <c r="C1" s="1002"/>
      <c r="D1" s="1002"/>
      <c r="E1" s="1002"/>
      <c r="F1" s="1002"/>
    </row>
    <row r="2" spans="1:6" ht="15.75" x14ac:dyDescent="0.25">
      <c r="B2" s="868" t="s">
        <v>1</v>
      </c>
      <c r="C2" s="868"/>
      <c r="D2" s="868"/>
      <c r="E2" s="868"/>
      <c r="F2" s="1003"/>
    </row>
    <row r="3" spans="1:6" ht="15.75" x14ac:dyDescent="0.25">
      <c r="B3" s="868" t="s">
        <v>2</v>
      </c>
      <c r="C3" s="868"/>
      <c r="D3" s="868"/>
      <c r="E3" s="868"/>
      <c r="F3" s="1003"/>
    </row>
    <row r="4" spans="1:6" ht="15.75" x14ac:dyDescent="0.25">
      <c r="B4" s="868" t="s">
        <v>1092</v>
      </c>
      <c r="C4" s="868"/>
      <c r="D4" s="868"/>
      <c r="E4" s="868"/>
      <c r="F4" s="1003"/>
    </row>
    <row r="5" spans="1:6" x14ac:dyDescent="0.2">
      <c r="B5" s="83"/>
      <c r="C5" s="83"/>
      <c r="D5" s="83"/>
      <c r="F5" s="48"/>
    </row>
    <row r="6" spans="1:6" x14ac:dyDescent="0.2">
      <c r="F6" s="48"/>
    </row>
    <row r="7" spans="1:6" ht="57" customHeight="1" x14ac:dyDescent="0.2">
      <c r="A7" s="1021" t="s">
        <v>2801</v>
      </c>
      <c r="B7" s="1021"/>
      <c r="C7" s="1021"/>
      <c r="D7" s="1021"/>
      <c r="E7" s="1021"/>
      <c r="F7" s="1003"/>
    </row>
    <row r="8" spans="1:6" ht="18.75" x14ac:dyDescent="0.2">
      <c r="A8" s="8"/>
      <c r="B8" s="8"/>
      <c r="C8" s="8"/>
      <c r="D8" s="8"/>
      <c r="E8" s="8"/>
      <c r="F8" s="48"/>
    </row>
    <row r="9" spans="1:6" ht="48.75" customHeight="1" x14ac:dyDescent="0.2">
      <c r="A9" s="983" t="s">
        <v>2798</v>
      </c>
      <c r="B9" s="983"/>
      <c r="C9" s="983"/>
      <c r="D9" s="983"/>
      <c r="E9" s="983"/>
      <c r="F9" s="1024"/>
    </row>
    <row r="10" spans="1:6" ht="47.25" x14ac:dyDescent="0.2">
      <c r="A10" s="867" t="s">
        <v>904</v>
      </c>
      <c r="B10" s="867"/>
      <c r="C10" s="145" t="s">
        <v>2799</v>
      </c>
      <c r="D10" s="146" t="s">
        <v>1048</v>
      </c>
      <c r="E10" s="9" t="s">
        <v>2802</v>
      </c>
      <c r="F10" s="9" t="s">
        <v>2803</v>
      </c>
    </row>
    <row r="11" spans="1:6" ht="15.75" x14ac:dyDescent="0.25">
      <c r="A11" s="993" t="s">
        <v>1015</v>
      </c>
      <c r="B11" s="994"/>
      <c r="C11" s="391">
        <v>989000</v>
      </c>
      <c r="D11" s="391">
        <v>0</v>
      </c>
      <c r="E11" s="391"/>
      <c r="F11" s="391"/>
    </row>
    <row r="12" spans="1:6" ht="15.75" x14ac:dyDescent="0.25">
      <c r="A12" s="993" t="s">
        <v>1050</v>
      </c>
      <c r="B12" s="994"/>
      <c r="C12" s="391">
        <v>892000</v>
      </c>
      <c r="D12" s="391">
        <v>0</v>
      </c>
      <c r="E12" s="391"/>
      <c r="F12" s="391"/>
    </row>
    <row r="13" spans="1:6" ht="15.75" x14ac:dyDescent="0.25">
      <c r="A13" s="993" t="s">
        <v>1016</v>
      </c>
      <c r="B13" s="994"/>
      <c r="C13" s="391">
        <v>684000</v>
      </c>
      <c r="D13" s="391">
        <v>0</v>
      </c>
      <c r="E13" s="391"/>
      <c r="F13" s="391"/>
    </row>
    <row r="14" spans="1:6" ht="15.75" x14ac:dyDescent="0.25">
      <c r="A14" s="1022" t="s">
        <v>177</v>
      </c>
      <c r="B14" s="1022"/>
      <c r="C14" s="392"/>
      <c r="D14" s="391"/>
      <c r="E14" s="391"/>
      <c r="F14" s="391"/>
    </row>
  </sheetData>
  <mergeCells count="11">
    <mergeCell ref="A14:B14"/>
    <mergeCell ref="A9:F9"/>
    <mergeCell ref="A10:B10"/>
    <mergeCell ref="A11:B11"/>
    <mergeCell ref="A12:B12"/>
    <mergeCell ref="A13:B13"/>
    <mergeCell ref="A1:F1"/>
    <mergeCell ref="B2:F2"/>
    <mergeCell ref="B3:F3"/>
    <mergeCell ref="B4:F4"/>
    <mergeCell ref="A7:F7"/>
  </mergeCells>
  <printOptions gridLinesSet="0"/>
  <pageMargins left="0.7" right="0.7" top="0.75" bottom="0.75" header="0.5" footer="0.5"/>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9.140625" defaultRowHeight="12.75" x14ac:dyDescent="0.2"/>
  <cols>
    <col min="1" max="1" width="5.85546875" style="128" customWidth="1"/>
    <col min="2" max="2" width="54.42578125" style="128" customWidth="1"/>
    <col min="3" max="4" width="0" style="128" hidden="1" customWidth="1"/>
    <col min="5" max="5" width="13.5703125" style="128" customWidth="1"/>
    <col min="6" max="16384" width="9.140625" style="128"/>
  </cols>
  <sheetData>
    <row r="1" spans="1:5" ht="15.75" x14ac:dyDescent="0.25">
      <c r="A1" s="868" t="s">
        <v>1077</v>
      </c>
      <c r="B1" s="1002"/>
      <c r="C1" s="1002"/>
      <c r="D1" s="1002"/>
      <c r="E1" s="1002"/>
    </row>
    <row r="2" spans="1:5" ht="15.75" x14ac:dyDescent="0.25">
      <c r="B2" s="868" t="s">
        <v>1</v>
      </c>
      <c r="C2" s="868"/>
      <c r="D2" s="868"/>
      <c r="E2" s="868"/>
    </row>
    <row r="3" spans="1:5" ht="15.75" x14ac:dyDescent="0.25">
      <c r="B3" s="868" t="s">
        <v>2</v>
      </c>
      <c r="C3" s="868"/>
      <c r="D3" s="868"/>
      <c r="E3" s="868"/>
    </row>
    <row r="4" spans="1:5" ht="15.75" x14ac:dyDescent="0.25">
      <c r="B4" s="868" t="s">
        <v>1092</v>
      </c>
      <c r="C4" s="868"/>
      <c r="D4" s="868"/>
      <c r="E4" s="868"/>
    </row>
    <row r="5" spans="1:5" x14ac:dyDescent="0.2">
      <c r="B5" s="83"/>
      <c r="C5" s="83"/>
      <c r="D5" s="83"/>
    </row>
    <row r="7" spans="1:5" ht="66" customHeight="1" x14ac:dyDescent="0.2">
      <c r="A7" s="1021" t="s">
        <v>2804</v>
      </c>
      <c r="B7" s="1021"/>
      <c r="C7" s="1021"/>
      <c r="D7" s="1021"/>
      <c r="E7" s="1021"/>
    </row>
    <row r="8" spans="1:5" ht="18.75" hidden="1" x14ac:dyDescent="0.2">
      <c r="A8" s="8"/>
      <c r="B8" s="8"/>
      <c r="C8" s="8"/>
      <c r="D8" s="8"/>
      <c r="E8" s="8"/>
    </row>
    <row r="9" spans="1:5" ht="67.5" customHeight="1" x14ac:dyDescent="0.2">
      <c r="A9" s="983" t="s">
        <v>2805</v>
      </c>
      <c r="B9" s="983"/>
      <c r="C9" s="983"/>
      <c r="D9" s="983"/>
      <c r="E9" s="983"/>
    </row>
    <row r="10" spans="1:5" ht="55.5" customHeight="1" x14ac:dyDescent="0.25">
      <c r="A10" s="81"/>
      <c r="B10" s="369"/>
      <c r="C10" s="393"/>
      <c r="D10" s="393"/>
      <c r="E10" s="393"/>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ColWidth="9.140625" defaultRowHeight="12.75" x14ac:dyDescent="0.2"/>
  <cols>
    <col min="1" max="1" width="64" style="128" customWidth="1"/>
    <col min="2" max="3" width="9.140625" style="128" customWidth="1"/>
    <col min="4" max="4" width="18" style="128" customWidth="1"/>
    <col min="5" max="7" width="9.140625" style="128"/>
    <col min="8" max="8" width="43.42578125" style="128" customWidth="1"/>
    <col min="9" max="16384" width="9.140625" style="128"/>
  </cols>
  <sheetData>
    <row r="1" spans="1:4" ht="15.75" x14ac:dyDescent="0.25">
      <c r="A1" s="868" t="s">
        <v>900</v>
      </c>
      <c r="B1" s="868"/>
      <c r="C1" s="868"/>
      <c r="D1" s="868"/>
    </row>
    <row r="2" spans="1:4" ht="15.75" x14ac:dyDescent="0.25">
      <c r="A2" s="868" t="s">
        <v>1</v>
      </c>
      <c r="B2" s="868"/>
      <c r="C2" s="868"/>
      <c r="D2" s="868"/>
    </row>
    <row r="3" spans="1:4" ht="15.75" x14ac:dyDescent="0.25">
      <c r="A3" s="868" t="s">
        <v>2</v>
      </c>
      <c r="B3" s="868"/>
      <c r="C3" s="868"/>
      <c r="D3" s="868"/>
    </row>
    <row r="4" spans="1:4" ht="15.75" x14ac:dyDescent="0.25">
      <c r="A4" s="868" t="s">
        <v>547</v>
      </c>
      <c r="B4" s="868"/>
      <c r="C4" s="868"/>
      <c r="D4" s="868"/>
    </row>
    <row r="5" spans="1:4" x14ac:dyDescent="0.2">
      <c r="A5" s="83"/>
      <c r="B5" s="83"/>
      <c r="C5" s="83"/>
    </row>
    <row r="7" spans="1:4" ht="15.75" x14ac:dyDescent="0.2">
      <c r="A7" s="869" t="s">
        <v>1045</v>
      </c>
      <c r="B7" s="869"/>
      <c r="C7" s="869"/>
      <c r="D7" s="869"/>
    </row>
    <row r="8" spans="1:4" ht="18.75" x14ac:dyDescent="0.2">
      <c r="A8" s="8"/>
      <c r="B8" s="8"/>
      <c r="C8" s="8"/>
    </row>
    <row r="9" spans="1:4" ht="15.75" x14ac:dyDescent="0.2">
      <c r="A9" s="869" t="s">
        <v>1046</v>
      </c>
      <c r="B9" s="869"/>
      <c r="C9" s="869"/>
      <c r="D9" s="869"/>
    </row>
    <row r="10" spans="1:4" ht="18.75" x14ac:dyDescent="0.2">
      <c r="A10" s="7"/>
      <c r="B10" s="7"/>
      <c r="C10" s="7"/>
    </row>
    <row r="11" spans="1:4" ht="18.75" x14ac:dyDescent="0.2">
      <c r="A11" s="7"/>
      <c r="B11" s="7"/>
      <c r="C11" s="7"/>
    </row>
    <row r="12" spans="1:4" ht="47.25" x14ac:dyDescent="0.2">
      <c r="A12" s="314" t="s">
        <v>1012</v>
      </c>
      <c r="B12" s="315" t="s">
        <v>2806</v>
      </c>
      <c r="C12" s="315" t="s">
        <v>1048</v>
      </c>
      <c r="D12" s="9" t="s">
        <v>1049</v>
      </c>
    </row>
    <row r="13" spans="1:4" ht="15.75" x14ac:dyDescent="0.25">
      <c r="A13" s="316" t="s">
        <v>1015</v>
      </c>
      <c r="B13" s="318">
        <v>58000</v>
      </c>
      <c r="C13" s="317"/>
      <c r="D13" s="318">
        <f>SUM(B13:C13)</f>
        <v>58000</v>
      </c>
    </row>
    <row r="14" spans="1:4" ht="15.75" x14ac:dyDescent="0.25">
      <c r="A14" s="316" t="s">
        <v>1050</v>
      </c>
      <c r="B14" s="318">
        <v>58000</v>
      </c>
      <c r="C14" s="317"/>
      <c r="D14" s="318">
        <f>SUM(B14:C14)</f>
        <v>58000</v>
      </c>
    </row>
    <row r="15" spans="1:4" ht="15.75" x14ac:dyDescent="0.25">
      <c r="A15" s="316" t="s">
        <v>1040</v>
      </c>
      <c r="B15" s="318">
        <v>384000</v>
      </c>
      <c r="C15" s="317"/>
      <c r="D15" s="318">
        <f>SUM(B15:C15)</f>
        <v>384000</v>
      </c>
    </row>
    <row r="16" spans="1:4" ht="15.75" x14ac:dyDescent="0.25">
      <c r="A16" s="316" t="s">
        <v>1016</v>
      </c>
      <c r="B16" s="318">
        <v>384000</v>
      </c>
      <c r="C16" s="317"/>
      <c r="D16" s="318">
        <f>SUM(B16:C16)</f>
        <v>384000</v>
      </c>
    </row>
    <row r="17" spans="1:4" ht="15.75" x14ac:dyDescent="0.25">
      <c r="A17" s="319" t="s">
        <v>177</v>
      </c>
      <c r="B17" s="394">
        <v>884000</v>
      </c>
      <c r="C17" s="320">
        <f>SUM(C13:C16)</f>
        <v>0</v>
      </c>
      <c r="D17" s="394">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ColWidth="9.140625" defaultRowHeight="15.75" x14ac:dyDescent="0.25"/>
  <cols>
    <col min="1" max="1" width="59" style="322" customWidth="1"/>
    <col min="2" max="2" width="9.140625" style="322" customWidth="1"/>
    <col min="3" max="3" width="10.140625" style="322" customWidth="1"/>
    <col min="4" max="6" width="14.85546875" style="322" customWidth="1"/>
    <col min="7" max="7" width="14.42578125" style="322" customWidth="1"/>
    <col min="8" max="9" width="9.140625" style="322"/>
    <col min="10" max="10" width="43.42578125" style="322" customWidth="1"/>
    <col min="11" max="16384" width="9.140625" style="322"/>
  </cols>
  <sheetData>
    <row r="1" spans="1:7" x14ac:dyDescent="0.25">
      <c r="A1" s="868" t="s">
        <v>902</v>
      </c>
      <c r="B1" s="868"/>
      <c r="C1" s="868"/>
      <c r="D1" s="868"/>
      <c r="E1" s="868"/>
      <c r="F1" s="868"/>
      <c r="G1" s="868"/>
    </row>
    <row r="2" spans="1:7" x14ac:dyDescent="0.25">
      <c r="A2" s="868" t="s">
        <v>1</v>
      </c>
      <c r="B2" s="868"/>
      <c r="C2" s="868"/>
      <c r="D2" s="868"/>
      <c r="E2" s="868"/>
      <c r="F2" s="868"/>
      <c r="G2" s="868"/>
    </row>
    <row r="3" spans="1:7" x14ac:dyDescent="0.25">
      <c r="A3" s="868" t="s">
        <v>2</v>
      </c>
      <c r="B3" s="868"/>
      <c r="C3" s="868"/>
      <c r="D3" s="868"/>
      <c r="E3" s="868"/>
      <c r="F3" s="868"/>
      <c r="G3" s="868"/>
    </row>
    <row r="4" spans="1:7" x14ac:dyDescent="0.25">
      <c r="A4" s="868" t="s">
        <v>547</v>
      </c>
      <c r="B4" s="868"/>
      <c r="C4" s="868"/>
      <c r="D4" s="868"/>
      <c r="E4" s="868"/>
      <c r="F4" s="868"/>
      <c r="G4" s="868"/>
    </row>
    <row r="5" spans="1:7" x14ac:dyDescent="0.25">
      <c r="A5" s="5"/>
      <c r="B5" s="5"/>
      <c r="C5" s="5"/>
      <c r="D5" s="35"/>
      <c r="E5" s="35"/>
      <c r="F5" s="35"/>
      <c r="G5" s="49"/>
    </row>
    <row r="6" spans="1:7" x14ac:dyDescent="0.25">
      <c r="A6" s="35"/>
      <c r="B6" s="35"/>
      <c r="C6" s="35"/>
      <c r="D6" s="35"/>
      <c r="E6" s="35"/>
      <c r="F6" s="35"/>
      <c r="G6" s="49"/>
    </row>
    <row r="7" spans="1:7" ht="42" customHeight="1" x14ac:dyDescent="0.25">
      <c r="A7" s="869" t="s">
        <v>1052</v>
      </c>
      <c r="B7" s="869"/>
      <c r="C7" s="869"/>
      <c r="D7" s="869"/>
      <c r="E7" s="869"/>
      <c r="F7" s="869"/>
      <c r="G7" s="889"/>
    </row>
    <row r="8" spans="1:7" x14ac:dyDescent="0.25">
      <c r="A8" s="6"/>
      <c r="B8" s="6"/>
      <c r="C8" s="6"/>
      <c r="D8" s="35"/>
      <c r="E8" s="35"/>
      <c r="F8" s="35"/>
      <c r="G8" s="49"/>
    </row>
    <row r="9" spans="1:7" ht="32.25" customHeight="1" x14ac:dyDescent="0.25">
      <c r="A9" s="869" t="s">
        <v>1046</v>
      </c>
      <c r="B9" s="869"/>
      <c r="C9" s="869"/>
      <c r="D9" s="869"/>
      <c r="E9" s="869"/>
      <c r="F9" s="869"/>
      <c r="G9" s="1000"/>
    </row>
    <row r="10" spans="1:7" x14ac:dyDescent="0.25">
      <c r="A10" s="323"/>
      <c r="B10" s="323"/>
      <c r="C10" s="323"/>
      <c r="D10" s="35"/>
      <c r="E10" s="35"/>
      <c r="F10" s="35"/>
      <c r="G10" s="49"/>
    </row>
    <row r="11" spans="1:7" hidden="1" x14ac:dyDescent="0.25">
      <c r="A11" s="323"/>
      <c r="B11" s="323"/>
      <c r="C11" s="323"/>
      <c r="D11" s="35"/>
      <c r="E11" s="35"/>
      <c r="F11" s="35"/>
      <c r="G11" s="49"/>
    </row>
    <row r="12" spans="1:7" ht="47.25" x14ac:dyDescent="0.25">
      <c r="A12" s="314" t="s">
        <v>1012</v>
      </c>
      <c r="B12" s="315" t="s">
        <v>2806</v>
      </c>
      <c r="C12" s="315" t="s">
        <v>1048</v>
      </c>
      <c r="D12" s="9" t="s">
        <v>998</v>
      </c>
      <c r="E12" s="315" t="s">
        <v>2806</v>
      </c>
      <c r="F12" s="315" t="s">
        <v>1048</v>
      </c>
      <c r="G12" s="9" t="s">
        <v>999</v>
      </c>
    </row>
    <row r="13" spans="1:7" x14ac:dyDescent="0.25">
      <c r="A13" s="316" t="s">
        <v>1015</v>
      </c>
      <c r="B13" s="325">
        <v>59000</v>
      </c>
      <c r="C13" s="324"/>
      <c r="D13" s="325">
        <f>SUM(B13:C13)</f>
        <v>59000</v>
      </c>
      <c r="E13" s="325">
        <v>59000</v>
      </c>
      <c r="F13" s="324"/>
      <c r="G13" s="325">
        <f>SUM(E13:F13)</f>
        <v>59000</v>
      </c>
    </row>
    <row r="14" spans="1:7" x14ac:dyDescent="0.25">
      <c r="A14" s="316" t="s">
        <v>1050</v>
      </c>
      <c r="B14" s="325">
        <v>59000</v>
      </c>
      <c r="C14" s="324"/>
      <c r="D14" s="325">
        <f>SUM(B14:C14)</f>
        <v>59000</v>
      </c>
      <c r="E14" s="325">
        <v>59000</v>
      </c>
      <c r="F14" s="324"/>
      <c r="G14" s="325">
        <f>SUM(E14:F14)</f>
        <v>59000</v>
      </c>
    </row>
    <row r="15" spans="1:7" x14ac:dyDescent="0.25">
      <c r="A15" s="316" t="s">
        <v>1040</v>
      </c>
      <c r="B15" s="325">
        <v>384000</v>
      </c>
      <c r="C15" s="324"/>
      <c r="D15" s="325">
        <f>SUM(B15:C15)</f>
        <v>384000</v>
      </c>
      <c r="E15" s="325">
        <v>384000</v>
      </c>
      <c r="F15" s="324"/>
      <c r="G15" s="325">
        <f>SUM(E15:F15)</f>
        <v>384000</v>
      </c>
    </row>
    <row r="16" spans="1:7" x14ac:dyDescent="0.25">
      <c r="A16" s="316" t="s">
        <v>1016</v>
      </c>
      <c r="B16" s="325">
        <v>384000</v>
      </c>
      <c r="C16" s="324"/>
      <c r="D16" s="325">
        <f>SUM(B16:C16)</f>
        <v>384000</v>
      </c>
      <c r="E16" s="325">
        <v>384000</v>
      </c>
      <c r="F16" s="324"/>
      <c r="G16" s="325">
        <f>SUM(E16:F16)</f>
        <v>384000</v>
      </c>
    </row>
    <row r="17" spans="1:7" x14ac:dyDescent="0.25">
      <c r="A17" s="319" t="s">
        <v>177</v>
      </c>
      <c r="B17" s="327">
        <v>886000</v>
      </c>
      <c r="C17" s="326">
        <f>SUM(C13:C16)</f>
        <v>0</v>
      </c>
      <c r="D17" s="325">
        <f>SUM(B17:C17)</f>
        <v>886000</v>
      </c>
      <c r="E17" s="327">
        <v>886000</v>
      </c>
      <c r="F17" s="326">
        <f>SUM(F13:F16)</f>
        <v>0</v>
      </c>
      <c r="G17" s="325">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showGridLines="0" view="pageBreakPreview" topLeftCell="A59" zoomScale="115" zoomScaleSheetLayoutView="115" workbookViewId="0">
      <selection activeCell="E114" sqref="E114"/>
    </sheetView>
  </sheetViews>
  <sheetFormatPr defaultColWidth="9.140625" defaultRowHeight="12.75" x14ac:dyDescent="0.2"/>
  <cols>
    <col min="1" max="1" width="10.7109375" style="41" customWidth="1"/>
    <col min="2" max="2" width="50.5703125" style="41" customWidth="1"/>
    <col min="3" max="3" width="15" style="41" customWidth="1"/>
    <col min="4" max="4" width="14.28515625" style="41" customWidth="1"/>
    <col min="5" max="5" width="14.7109375" style="41" customWidth="1"/>
    <col min="6" max="6" width="14.28515625" style="41" customWidth="1"/>
    <col min="7" max="7" width="12.28515625" style="41" customWidth="1"/>
    <col min="8" max="8" width="14.28515625" style="41" bestFit="1" customWidth="1"/>
    <col min="9" max="16384" width="9.140625" style="41"/>
  </cols>
  <sheetData>
    <row r="1" spans="1:8" ht="15.75" x14ac:dyDescent="0.25">
      <c r="A1" s="868" t="s">
        <v>304</v>
      </c>
      <c r="B1" s="868"/>
      <c r="C1" s="868"/>
      <c r="D1" s="868"/>
      <c r="E1" s="868"/>
      <c r="F1" s="868"/>
      <c r="G1" s="868"/>
      <c r="H1" s="868"/>
    </row>
    <row r="2" spans="1:8" ht="15.75" x14ac:dyDescent="0.25">
      <c r="A2" s="868" t="s">
        <v>1</v>
      </c>
      <c r="B2" s="868"/>
      <c r="C2" s="868"/>
      <c r="D2" s="868"/>
      <c r="E2" s="868"/>
      <c r="F2" s="868"/>
      <c r="G2" s="868"/>
      <c r="H2" s="868"/>
    </row>
    <row r="3" spans="1:8" ht="15.75" x14ac:dyDescent="0.25">
      <c r="A3" s="868" t="s">
        <v>2</v>
      </c>
      <c r="B3" s="868"/>
      <c r="C3" s="868"/>
      <c r="D3" s="868"/>
      <c r="E3" s="868"/>
      <c r="F3" s="868"/>
      <c r="G3" s="868"/>
      <c r="H3" s="868"/>
    </row>
    <row r="4" spans="1:8" ht="15.75" x14ac:dyDescent="0.25">
      <c r="A4" s="868" t="s">
        <v>3140</v>
      </c>
      <c r="B4" s="868"/>
      <c r="C4" s="868"/>
      <c r="D4" s="868"/>
      <c r="E4" s="868"/>
      <c r="F4" s="868"/>
      <c r="G4" s="868"/>
      <c r="H4" s="868"/>
    </row>
    <row r="5" spans="1:8" ht="1.5" customHeight="1" x14ac:dyDescent="0.2">
      <c r="A5" s="879" t="s">
        <v>3131</v>
      </c>
      <c r="B5" s="879"/>
      <c r="C5" s="879"/>
      <c r="D5" s="879"/>
      <c r="E5" s="879"/>
      <c r="F5" s="879"/>
      <c r="G5" s="879"/>
      <c r="H5" s="879"/>
    </row>
    <row r="6" spans="1:8" ht="71.25" customHeight="1" x14ac:dyDescent="0.2">
      <c r="A6" s="879"/>
      <c r="B6" s="879"/>
      <c r="C6" s="879"/>
      <c r="D6" s="879"/>
      <c r="E6" s="879"/>
      <c r="F6" s="879"/>
      <c r="G6" s="879"/>
      <c r="H6" s="879"/>
    </row>
    <row r="7" spans="1:8" ht="16.5" thickBot="1" x14ac:dyDescent="0.3">
      <c r="A7" s="55"/>
      <c r="B7" s="51"/>
      <c r="C7" s="880"/>
      <c r="D7" s="880"/>
      <c r="E7" s="880"/>
      <c r="F7" s="880"/>
      <c r="G7" s="880"/>
      <c r="H7" s="880"/>
    </row>
    <row r="8" spans="1:8" ht="32.25" thickBot="1" x14ac:dyDescent="0.25">
      <c r="A8" s="56" t="s">
        <v>190</v>
      </c>
      <c r="B8" s="57" t="s">
        <v>191</v>
      </c>
      <c r="C8" s="57" t="s">
        <v>341</v>
      </c>
      <c r="D8" s="57" t="s">
        <v>997</v>
      </c>
      <c r="E8" s="57" t="s">
        <v>341</v>
      </c>
      <c r="F8" s="57" t="s">
        <v>3141</v>
      </c>
      <c r="G8" s="57" t="s">
        <v>997</v>
      </c>
      <c r="H8" s="57" t="s">
        <v>3141</v>
      </c>
    </row>
    <row r="9" spans="1:8" ht="16.5" thickBot="1" x14ac:dyDescent="0.3">
      <c r="A9" s="59">
        <v>100</v>
      </c>
      <c r="B9" s="60" t="s">
        <v>193</v>
      </c>
      <c r="C9" s="61">
        <f t="shared" ref="C9:H9" si="0">SUM(C10:C22)</f>
        <v>94992483</v>
      </c>
      <c r="D9" s="61">
        <f t="shared" ca="1" si="0"/>
        <v>0</v>
      </c>
      <c r="E9" s="61">
        <f t="shared" ca="1" si="0"/>
        <v>94992483</v>
      </c>
      <c r="F9" s="61">
        <f t="shared" ca="1" si="0"/>
        <v>82163238</v>
      </c>
      <c r="G9" s="61">
        <f t="shared" ca="1" si="0"/>
        <v>0</v>
      </c>
      <c r="H9" s="61">
        <f t="shared" ca="1" si="0"/>
        <v>82163238</v>
      </c>
    </row>
    <row r="10" spans="1:8" ht="32.25" hidden="1" thickBot="1" x14ac:dyDescent="0.3">
      <c r="A10" s="62">
        <v>101</v>
      </c>
      <c r="B10" s="63" t="s">
        <v>194</v>
      </c>
      <c r="C10" s="64">
        <f>SUMIF(Пр.13!C$10:C$467,101,Пр.13!G$10:G$467)</f>
        <v>0</v>
      </c>
      <c r="D10" s="64">
        <f>SUMIF(Пр.13!D$10:D$467,101,Пр.13!H$10:H$467)</f>
        <v>0</v>
      </c>
      <c r="E10" s="64">
        <f>SUMIF(Пр.13!C$10:C$467,101,Пр.13!I$10:I$467)</f>
        <v>0</v>
      </c>
      <c r="F10" s="64">
        <f>SUMIF(Пр.13!D$10:D$467,101,Пр.13!J$10:J$467)</f>
        <v>0</v>
      </c>
      <c r="G10" s="64">
        <f>SUMIF(Пр.13!E$10:E$467,101,Пр.13!K$10:K$467)</f>
        <v>0</v>
      </c>
      <c r="H10" s="64">
        <f>SUMIF(Пр.13!F$10:F$467,101,Пр.13!L$10:L$467)</f>
        <v>0</v>
      </c>
    </row>
    <row r="11" spans="1:8" ht="48" thickBot="1" x14ac:dyDescent="0.3">
      <c r="A11" s="62">
        <v>102</v>
      </c>
      <c r="B11" s="65" t="s">
        <v>195</v>
      </c>
      <c r="C11" s="64">
        <f>SUMIF(Пр.13!C$10:C471,102,Пр.13!G$10:G471)</f>
        <v>1511279</v>
      </c>
      <c r="D11" s="64">
        <f ca="1">SUMIF(Пр.13!C$10:D471,102,Пр.13!H$10:H471)</f>
        <v>0</v>
      </c>
      <c r="E11" s="64">
        <f ca="1">SUMIF(Пр.13!C$10:E471,102,Пр.13!I$10:I471)</f>
        <v>1511279</v>
      </c>
      <c r="F11" s="64">
        <f>SUMIF(Пр.13!$C$10:$C471,$A11,Пр.13!J$10:J471)</f>
        <v>1511279</v>
      </c>
      <c r="G11" s="64">
        <f>SUMIF(Пр.13!$C$10:$C471,$A11,Пр.13!K$10:K471)</f>
        <v>0</v>
      </c>
      <c r="H11" s="64">
        <f>SUMIF(Пр.13!$C$10:$C471,$A11,Пр.13!L$10:L471)</f>
        <v>1511279</v>
      </c>
    </row>
    <row r="12" spans="1:8" ht="63.75" hidden="1" thickBot="1" x14ac:dyDescent="0.3">
      <c r="A12" s="62">
        <v>103</v>
      </c>
      <c r="B12" s="65" t="s">
        <v>196</v>
      </c>
      <c r="C12" s="64">
        <f>SUMIF(Пр.13!C$10:C472,103,Пр.13!G$10:G472)</f>
        <v>0</v>
      </c>
      <c r="D12" s="64">
        <f ca="1">SUMIF(Пр.13!C$10:D472,103,Пр.13!H$10:H472)</f>
        <v>0</v>
      </c>
      <c r="E12" s="64">
        <f ca="1">SUMIF(Пр.13!C$10:E472,103,Пр.13!I$10:I472)</f>
        <v>0</v>
      </c>
      <c r="F12" s="64">
        <f ca="1">SUMIF(Пр.13!D$10:F472,103,Пр.13!J$10:J472)</f>
        <v>0</v>
      </c>
      <c r="G12" s="64">
        <f ca="1">SUMIF(Пр.13!E$10:G472,103,Пр.13!K$10:K472)</f>
        <v>0</v>
      </c>
      <c r="H12" s="64">
        <f ca="1">SUMIF(Пр.13!F$10:H472,103,Пр.13!L$10:L472)</f>
        <v>0</v>
      </c>
    </row>
    <row r="13" spans="1:8" ht="63.75" thickBot="1" x14ac:dyDescent="0.3">
      <c r="A13" s="62">
        <v>104</v>
      </c>
      <c r="B13" s="65" t="s">
        <v>197</v>
      </c>
      <c r="C13" s="64">
        <f>SUMIF(Пр.13!C$10:C473,104,Пр.13!G$10:G473)</f>
        <v>25979850</v>
      </c>
      <c r="D13" s="64">
        <f ca="1">SUMIF(Пр.13!C$10:D473,104,Пр.13!H$10:H473)</f>
        <v>0</v>
      </c>
      <c r="E13" s="64">
        <f>SUMIF(Пр.13!$C$10:$C473,$A13,Пр.13!I$10:I473)</f>
        <v>25979850</v>
      </c>
      <c r="F13" s="64">
        <f>SUMIF(Пр.13!$C$10:$C473,$A13,Пр.13!J$10:J473)</f>
        <v>25979850</v>
      </c>
      <c r="G13" s="64">
        <f>SUMIF(Пр.13!$C$10:$C473,$A13,Пр.13!K$10:K473)</f>
        <v>0</v>
      </c>
      <c r="H13" s="64">
        <f>SUMIF(Пр.13!$C$10:$C473,$A13,Пр.13!L$10:L473)</f>
        <v>25979850</v>
      </c>
    </row>
    <row r="14" spans="1:8" ht="16.5" hidden="1" thickBot="1" x14ac:dyDescent="0.3">
      <c r="A14" s="62">
        <v>105</v>
      </c>
      <c r="B14" s="65" t="s">
        <v>198</v>
      </c>
      <c r="C14" s="64">
        <f>SUMIF(Пр.13!C$10:C474,105,Пр.13!G$10:G474)</f>
        <v>0</v>
      </c>
      <c r="D14" s="64">
        <f ca="1">SUMIF(Пр.13!C$10:D474,105,Пр.13!H$10:H474)</f>
        <v>0</v>
      </c>
      <c r="E14" s="64">
        <f>SUMIF(Пр.13!$C$10:$C474,$A14,Пр.13!I$10:I474)</f>
        <v>0</v>
      </c>
      <c r="F14" s="64">
        <f>SUMIF(Пр.13!$C$10:$C474,$A14,Пр.13!J$10:J474)</f>
        <v>0</v>
      </c>
      <c r="G14" s="64">
        <f>SUMIF(Пр.13!$C$10:$C474,$A14,Пр.13!K$10:K474)</f>
        <v>0</v>
      </c>
      <c r="H14" s="64">
        <f>SUMIF(Пр.13!$C$10:$C474,$A14,Пр.13!L$10:L474)</f>
        <v>0</v>
      </c>
    </row>
    <row r="15" spans="1:8" ht="48" thickBot="1" x14ac:dyDescent="0.3">
      <c r="A15" s="62">
        <v>106</v>
      </c>
      <c r="B15" s="65" t="s">
        <v>199</v>
      </c>
      <c r="C15" s="64">
        <f>SUMIF(Пр.13!C$10:C475,106,Пр.13!G$10:G475)</f>
        <v>14712117</v>
      </c>
      <c r="D15" s="64">
        <f ca="1">SUMIF(Пр.13!C$10:D475,106,Пр.13!H$10:H475)</f>
        <v>0</v>
      </c>
      <c r="E15" s="64">
        <f>SUMIF(Пр.13!$C$10:$C475,$A15,Пр.13!I$10:I475)</f>
        <v>14712117</v>
      </c>
      <c r="F15" s="64">
        <f>SUMIF(Пр.13!$C$10:$C475,$A15,Пр.13!J$10:J475)</f>
        <v>14712117</v>
      </c>
      <c r="G15" s="64">
        <f>SUMIF(Пр.13!$C$10:$C475,$A15,Пр.13!K$10:K475)</f>
        <v>0</v>
      </c>
      <c r="H15" s="64">
        <f>SUMIF(Пр.13!$C$10:$C475,$A15,Пр.13!L$10:L475)</f>
        <v>14712117</v>
      </c>
    </row>
    <row r="16" spans="1:8" ht="32.25" hidden="1" thickBot="1" x14ac:dyDescent="0.3">
      <c r="A16" s="62">
        <v>107</v>
      </c>
      <c r="B16" s="65" t="s">
        <v>200</v>
      </c>
      <c r="C16" s="64">
        <f>SUMIF(Пр.13!C$10:C476,107,Пр.13!G$10:G476)</f>
        <v>0</v>
      </c>
      <c r="D16" s="64">
        <f ca="1">SUMIF(Пр.13!C$10:D476,107,Пр.13!H$10:H476)</f>
        <v>0</v>
      </c>
      <c r="E16" s="64">
        <f>SUMIF(Пр.13!$C$10:$C476,$A16,Пр.13!I$10:I476)</f>
        <v>0</v>
      </c>
      <c r="F16" s="64">
        <f>SUMIF(Пр.13!$C$10:$C476,$A16,Пр.13!J$10:J476)</f>
        <v>0</v>
      </c>
      <c r="G16" s="64">
        <f>SUMIF(Пр.13!$C$10:$C476,$A16,Пр.13!K$10:K476)</f>
        <v>0</v>
      </c>
      <c r="H16" s="64">
        <f>SUMIF(Пр.13!$C$10:$C476,$A16,Пр.13!L$10:L476)</f>
        <v>0</v>
      </c>
    </row>
    <row r="17" spans="1:8" ht="32.25" hidden="1" thickBot="1" x14ac:dyDescent="0.3">
      <c r="A17" s="62">
        <v>108</v>
      </c>
      <c r="B17" s="65" t="s">
        <v>201</v>
      </c>
      <c r="C17" s="64">
        <f>SUMIF(Пр.13!C$10:C477,108,Пр.13!G$10:G477)</f>
        <v>0</v>
      </c>
      <c r="D17" s="64">
        <f ca="1">SUMIF(Пр.13!C$10:D477,108,Пр.13!H$10:H477)</f>
        <v>0</v>
      </c>
      <c r="E17" s="64">
        <f>SUMIF(Пр.13!$C$10:$C477,$A17,Пр.13!I$10:I477)</f>
        <v>0</v>
      </c>
      <c r="F17" s="64">
        <f>SUMIF(Пр.13!$C$10:$C477,$A17,Пр.13!J$10:J477)</f>
        <v>0</v>
      </c>
      <c r="G17" s="64">
        <f>SUMIF(Пр.13!$C$10:$C477,$A17,Пр.13!K$10:K477)</f>
        <v>0</v>
      </c>
      <c r="H17" s="64">
        <f>SUMIF(Пр.13!$C$10:$C477,$A17,Пр.13!L$10:L477)</f>
        <v>0</v>
      </c>
    </row>
    <row r="18" spans="1:8" ht="16.5" hidden="1" thickBot="1" x14ac:dyDescent="0.3">
      <c r="A18" s="62">
        <v>109</v>
      </c>
      <c r="B18" s="65" t="s">
        <v>202</v>
      </c>
      <c r="C18" s="64">
        <f>SUMIF(Пр.13!C$10:C478,109,Пр.13!G$10:G478)</f>
        <v>0</v>
      </c>
      <c r="D18" s="64">
        <f ca="1">SUMIF(Пр.13!C$10:D478,109,Пр.13!H$10:H478)</f>
        <v>0</v>
      </c>
      <c r="E18" s="64">
        <f>SUMIF(Пр.13!$C$10:$C478,$A18,Пр.13!I$10:I478)</f>
        <v>0</v>
      </c>
      <c r="F18" s="64">
        <f>SUMIF(Пр.13!$C$10:$C478,$A18,Пр.13!J$10:J478)</f>
        <v>0</v>
      </c>
      <c r="G18" s="64">
        <f>SUMIF(Пр.13!$C$10:$C478,$A18,Пр.13!K$10:K478)</f>
        <v>0</v>
      </c>
      <c r="H18" s="64">
        <f>SUMIF(Пр.13!$C$10:$C478,$A18,Пр.13!L$10:L478)</f>
        <v>0</v>
      </c>
    </row>
    <row r="19" spans="1:8" ht="16.5" hidden="1" thickBot="1" x14ac:dyDescent="0.3">
      <c r="A19" s="62">
        <v>110</v>
      </c>
      <c r="B19" s="65" t="s">
        <v>203</v>
      </c>
      <c r="C19" s="64">
        <f>SUMIF(Пр.13!C$10:C479,110,Пр.13!G$10:G479)</f>
        <v>0</v>
      </c>
      <c r="D19" s="64">
        <f ca="1">SUMIF(Пр.13!C$10:D479,110,Пр.13!H$10:H479)</f>
        <v>0</v>
      </c>
      <c r="E19" s="64">
        <f>SUMIF(Пр.13!$C$10:$C479,$A19,Пр.13!I$10:I479)</f>
        <v>0</v>
      </c>
      <c r="F19" s="64">
        <f>SUMIF(Пр.13!$C$10:$C479,$A19,Пр.13!J$10:J479)</f>
        <v>0</v>
      </c>
      <c r="G19" s="64">
        <f>SUMIF(Пр.13!$C$10:$C479,$A19,Пр.13!K$10:K479)</f>
        <v>0</v>
      </c>
      <c r="H19" s="64">
        <f>SUMIF(Пр.13!$C$10:$C479,$A19,Пр.13!L$10:L479)</f>
        <v>0</v>
      </c>
    </row>
    <row r="20" spans="1:8" ht="16.5" thickBot="1" x14ac:dyDescent="0.3">
      <c r="A20" s="62">
        <v>111</v>
      </c>
      <c r="B20" s="65" t="s">
        <v>204</v>
      </c>
      <c r="C20" s="64">
        <f>SUMIF(Пр.13!C$10:C480,111,Пр.13!G$10:G480)</f>
        <v>3000000</v>
      </c>
      <c r="D20" s="64">
        <f ca="1">SUMIF(Пр.13!C$10:D480,111,Пр.13!H$10:H480)</f>
        <v>0</v>
      </c>
      <c r="E20" s="64">
        <f>SUMIF(Пр.13!$C$10:$C480,$A20,Пр.13!I$10:I480)</f>
        <v>3000000</v>
      </c>
      <c r="F20" s="64">
        <f>SUMIF(Пр.13!$C$10:$C480,$A20,Пр.13!J$10:J480)</f>
        <v>3000000</v>
      </c>
      <c r="G20" s="64">
        <f>SUMIF(Пр.13!$C$10:$C480,$A20,Пр.13!K$10:K480)</f>
        <v>0</v>
      </c>
      <c r="H20" s="64">
        <f>SUMIF(Пр.13!$C$10:$C480,$A20,Пр.13!L$10:L480)</f>
        <v>3000000</v>
      </c>
    </row>
    <row r="21" spans="1:8" ht="32.25" hidden="1" thickBot="1" x14ac:dyDescent="0.3">
      <c r="A21" s="62">
        <v>112</v>
      </c>
      <c r="B21" s="65" t="s">
        <v>205</v>
      </c>
      <c r="C21" s="64">
        <f>SUMIF(Пр.13!C$10:C481,112,Пр.13!G$10:G481)</f>
        <v>0</v>
      </c>
      <c r="D21" s="64">
        <f ca="1">SUMIF(Пр.13!C$10:D481,112,Пр.13!H$10:H481)</f>
        <v>0</v>
      </c>
      <c r="E21" s="64">
        <f ca="1">SUMIF(Пр.13!C$10:E481,112,Пр.13!I$10:I481)</f>
        <v>0</v>
      </c>
      <c r="F21" s="64">
        <f>SUMIF(Пр.13!$C$10:$C481,$A21,Пр.13!J$10:J481)</f>
        <v>0</v>
      </c>
      <c r="G21" s="64">
        <f>SUMIF(Пр.13!$C$10:$C481,$A21,Пр.13!K$10:K481)</f>
        <v>0</v>
      </c>
      <c r="H21" s="64">
        <f>SUMIF(Пр.13!$C$10:$C481,$A21,Пр.13!L$10:L481)</f>
        <v>0</v>
      </c>
    </row>
    <row r="22" spans="1:8" ht="16.5" thickBot="1" x14ac:dyDescent="0.3">
      <c r="A22" s="62">
        <v>113</v>
      </c>
      <c r="B22" s="65" t="s">
        <v>206</v>
      </c>
      <c r="C22" s="64">
        <f>SUMIF(Пр.13!C$10:C482,113,Пр.13!G$10:G482)</f>
        <v>49789237</v>
      </c>
      <c r="D22" s="64">
        <f ca="1">SUMIF(Пр.13!C$10:D482,113,Пр.13!H$10:H482)</f>
        <v>0</v>
      </c>
      <c r="E22" s="64">
        <f ca="1">SUMIF(Пр.13!C$10:E482,113,Пр.13!I$10:I482)</f>
        <v>49789237</v>
      </c>
      <c r="F22" s="64">
        <f>SUMIF(Пр.13!$C$10:$C482,$A22,Пр.13!J$10:J482)</f>
        <v>36959992</v>
      </c>
      <c r="G22" s="64">
        <f>SUMIF(Пр.13!$C$10:$C482,$A22,Пр.13!K$10:K482)</f>
        <v>0</v>
      </c>
      <c r="H22" s="64">
        <f>SUMIF(Пр.13!$C$10:$C482,$A22,Пр.13!L$10:L482)</f>
        <v>36959992</v>
      </c>
    </row>
    <row r="23" spans="1:8" ht="16.5" thickBot="1" x14ac:dyDescent="0.3">
      <c r="A23" s="59">
        <v>200</v>
      </c>
      <c r="B23" s="66" t="s">
        <v>207</v>
      </c>
      <c r="C23" s="61">
        <f t="shared" ref="C23:H23" ca="1" si="1">SUM(C24:C32)</f>
        <v>747678</v>
      </c>
      <c r="D23" s="61">
        <f t="shared" ca="1" si="1"/>
        <v>0</v>
      </c>
      <c r="E23" s="61">
        <f t="shared" ca="1" si="1"/>
        <v>747678</v>
      </c>
      <c r="F23" s="61">
        <f t="shared" ca="1" si="1"/>
        <v>774994</v>
      </c>
      <c r="G23" s="61">
        <f t="shared" ca="1" si="1"/>
        <v>0</v>
      </c>
      <c r="H23" s="61">
        <f t="shared" ca="1" si="1"/>
        <v>774994</v>
      </c>
    </row>
    <row r="24" spans="1:8" ht="16.5" hidden="1" thickBot="1" x14ac:dyDescent="0.3">
      <c r="A24" s="62">
        <v>201</v>
      </c>
      <c r="B24" s="65" t="s">
        <v>208</v>
      </c>
      <c r="C24" s="64">
        <f>SUMIF(Пр.13!$C10:$C467,201,Пр.13!G10:G467)</f>
        <v>0</v>
      </c>
      <c r="D24" s="64">
        <f>SUMIF(Пр.13!$C10:$C467,201,Пр.13!H10:H467)</f>
        <v>0</v>
      </c>
      <c r="E24" s="64">
        <f>SUMIF(Пр.13!$C10:$C467,201,Пр.13!I10:I467)</f>
        <v>0</v>
      </c>
      <c r="F24" s="64">
        <f>SUMIF(Пр.13!$C10:$C467,201,Пр.13!J10:J467)</f>
        <v>0</v>
      </c>
      <c r="G24" s="64">
        <f>SUMIF(Пр.13!$C10:$C467,201,Пр.13!K10:K467)</f>
        <v>0</v>
      </c>
      <c r="H24" s="64">
        <f>SUMIF(Пр.13!$C10:$C467,201,Пр.13!L10:L467)</f>
        <v>0</v>
      </c>
    </row>
    <row r="25" spans="1:8" ht="32.25" hidden="1" thickBot="1" x14ac:dyDescent="0.3">
      <c r="A25" s="62">
        <v>202</v>
      </c>
      <c r="B25" s="65" t="s">
        <v>209</v>
      </c>
      <c r="C25" s="64">
        <f>SUMIF(Пр.13!$C10:$C467,202,Пр.13!G10:G467)</f>
        <v>0</v>
      </c>
      <c r="D25" s="64">
        <f>SUMIF(Пр.13!$C10:$C467,202,Пр.13!H10:H467)</f>
        <v>0</v>
      </c>
      <c r="E25" s="64">
        <f>SUMIF(Пр.13!$C10:$C467,202,Пр.13!I10:I467)</f>
        <v>0</v>
      </c>
      <c r="F25" s="64">
        <f>SUMIF(Пр.13!$C10:$C467,202,Пр.13!J10:J467)</f>
        <v>0</v>
      </c>
      <c r="G25" s="64">
        <f>SUMIF(Пр.13!$C10:$C467,202,Пр.13!K10:K467)</f>
        <v>0</v>
      </c>
      <c r="H25" s="64">
        <f>SUMIF(Пр.13!$C10:$C467,202,Пр.13!L10:L467)</f>
        <v>0</v>
      </c>
    </row>
    <row r="26" spans="1:8" ht="16.5" thickBot="1" x14ac:dyDescent="0.3">
      <c r="A26" s="62">
        <v>203</v>
      </c>
      <c r="B26" s="65" t="s">
        <v>210</v>
      </c>
      <c r="C26" s="64">
        <f ca="1">SUMIF(Пр.13!$C10:$C471,203,Пр.13!G10:G467)</f>
        <v>747678</v>
      </c>
      <c r="D26" s="64">
        <f ca="1">SUMIF(Пр.13!$C10:$C471,203,Пр.13!H10:H467)</f>
        <v>0</v>
      </c>
      <c r="E26" s="64">
        <f ca="1">SUMIF(Пр.13!$C10:$C471,203,Пр.13!I10:I467)</f>
        <v>747678</v>
      </c>
      <c r="F26" s="64">
        <f ca="1">SUMIF(Пр.13!$C10:$C471,203,Пр.13!J10:J467)</f>
        <v>774994</v>
      </c>
      <c r="G26" s="64">
        <f ca="1">SUMIF(Пр.13!$C10:$C471,203,Пр.13!K10:K467)</f>
        <v>0</v>
      </c>
      <c r="H26" s="64">
        <f ca="1">SUMIF(Пр.13!$C10:$C471,203,Пр.13!L10:L467)</f>
        <v>774994</v>
      </c>
    </row>
    <row r="27" spans="1:8" ht="16.5" hidden="1" thickBot="1" x14ac:dyDescent="0.3">
      <c r="A27" s="62">
        <v>204</v>
      </c>
      <c r="B27" s="65" t="s">
        <v>211</v>
      </c>
      <c r="C27" s="64">
        <f ca="1">SUMIF(Пр.13!$C14:$C472,204,Пр.13!G14:G467)</f>
        <v>0</v>
      </c>
      <c r="D27" s="64">
        <f ca="1">SUMIF(Пр.13!$C14:$C472,204,Пр.13!H14:H467)</f>
        <v>0</v>
      </c>
      <c r="E27" s="64">
        <f ca="1">SUMIF(Пр.13!$C14:$C472,204,Пр.13!I14:I467)</f>
        <v>0</v>
      </c>
      <c r="F27" s="64">
        <f ca="1">SUMIF(Пр.13!$C14:$C472,204,Пр.13!J14:J467)</f>
        <v>0</v>
      </c>
      <c r="G27" s="64">
        <f ca="1">SUMIF(Пр.13!$C14:$C472,204,Пр.13!K14:K467)</f>
        <v>0</v>
      </c>
      <c r="H27" s="64">
        <f ca="1">SUMIF(Пр.13!$C14:$C472,204,Пр.13!L14:L467)</f>
        <v>0</v>
      </c>
    </row>
    <row r="28" spans="1:8" ht="48" hidden="1" thickBot="1" x14ac:dyDescent="0.3">
      <c r="A28" s="62">
        <v>205</v>
      </c>
      <c r="B28" s="65" t="s">
        <v>212</v>
      </c>
      <c r="C28" s="64">
        <f ca="1">SUMIF(Пр.13!$C15:$C473,205,Пр.13!G15:G467)</f>
        <v>0</v>
      </c>
      <c r="D28" s="64">
        <f ca="1">SUMIF(Пр.13!$C15:$C473,205,Пр.13!H15:H467)</f>
        <v>0</v>
      </c>
      <c r="E28" s="64">
        <f ca="1">SUMIF(Пр.13!$C15:$C473,205,Пр.13!I15:I467)</f>
        <v>0</v>
      </c>
      <c r="F28" s="64">
        <f ca="1">SUMIF(Пр.13!$C15:$C473,205,Пр.13!J15:J467)</f>
        <v>0</v>
      </c>
      <c r="G28" s="64">
        <f ca="1">SUMIF(Пр.13!$C15:$C473,205,Пр.13!K15:K467)</f>
        <v>0</v>
      </c>
      <c r="H28" s="64">
        <f ca="1">SUMIF(Пр.13!$C15:$C473,205,Пр.13!L15:L467)</f>
        <v>0</v>
      </c>
    </row>
    <row r="29" spans="1:8" ht="16.5" hidden="1" thickBot="1" x14ac:dyDescent="0.3">
      <c r="A29" s="62">
        <v>206</v>
      </c>
      <c r="B29" s="65" t="s">
        <v>213</v>
      </c>
      <c r="C29" s="64">
        <f ca="1">SUMIF(Пр.13!$C15:$C474,206,Пр.13!G15:G467)</f>
        <v>0</v>
      </c>
      <c r="D29" s="64">
        <f ca="1">SUMIF(Пр.13!$C15:$C474,206,Пр.13!H15:H467)</f>
        <v>0</v>
      </c>
      <c r="E29" s="64">
        <f ca="1">SUMIF(Пр.13!$C15:$C474,206,Пр.13!I15:I467)</f>
        <v>0</v>
      </c>
      <c r="F29" s="64">
        <f ca="1">SUMIF(Пр.13!$C15:$C474,206,Пр.13!J15:J467)</f>
        <v>0</v>
      </c>
      <c r="G29" s="64">
        <f ca="1">SUMIF(Пр.13!$C15:$C474,206,Пр.13!K15:K467)</f>
        <v>0</v>
      </c>
      <c r="H29" s="64">
        <f ca="1">SUMIF(Пр.13!$C15:$C474,206,Пр.13!L15:L467)</f>
        <v>0</v>
      </c>
    </row>
    <row r="30" spans="1:8" ht="32.25" hidden="1" thickBot="1" x14ac:dyDescent="0.3">
      <c r="A30" s="62">
        <v>207</v>
      </c>
      <c r="B30" s="65" t="s">
        <v>214</v>
      </c>
      <c r="C30" s="64">
        <f ca="1">SUMIF(Пр.13!$C16:$C475,207,Пр.13!G16:G467)</f>
        <v>0</v>
      </c>
      <c r="D30" s="64">
        <f ca="1">SUMIF(Пр.13!$C16:$C475,207,Пр.13!H16:H467)</f>
        <v>0</v>
      </c>
      <c r="E30" s="64">
        <f ca="1">SUMIF(Пр.13!$C16:$C475,207,Пр.13!I16:I467)</f>
        <v>0</v>
      </c>
      <c r="F30" s="64">
        <f ca="1">SUMIF(Пр.13!$C16:$C475,207,Пр.13!J16:J467)</f>
        <v>0</v>
      </c>
      <c r="G30" s="64">
        <f ca="1">SUMIF(Пр.13!$C16:$C475,207,Пр.13!K16:K467)</f>
        <v>0</v>
      </c>
      <c r="H30" s="64">
        <f ca="1">SUMIF(Пр.13!$C16:$C475,207,Пр.13!L16:L467)</f>
        <v>0</v>
      </c>
    </row>
    <row r="31" spans="1:8" ht="32.25" hidden="1" thickBot="1" x14ac:dyDescent="0.3">
      <c r="A31" s="62">
        <v>208</v>
      </c>
      <c r="B31" s="65" t="s">
        <v>215</v>
      </c>
      <c r="C31" s="64">
        <f ca="1">SUMIF(Пр.13!$C17:$C476,208,Пр.13!G17:G467)</f>
        <v>0</v>
      </c>
      <c r="D31" s="64">
        <f ca="1">SUMIF(Пр.13!$C17:$C476,208,Пр.13!H17:H467)</f>
        <v>0</v>
      </c>
      <c r="E31" s="64">
        <f ca="1">SUMIF(Пр.13!$C17:$C476,208,Пр.13!I17:I467)</f>
        <v>0</v>
      </c>
      <c r="F31" s="64">
        <f ca="1">SUMIF(Пр.13!$C17:$C476,208,Пр.13!J17:J467)</f>
        <v>0</v>
      </c>
      <c r="G31" s="64">
        <f ca="1">SUMIF(Пр.13!$C17:$C476,208,Пр.13!K17:K467)</f>
        <v>0</v>
      </c>
      <c r="H31" s="64">
        <f ca="1">SUMIF(Пр.13!$C17:$C476,208,Пр.13!L17:L467)</f>
        <v>0</v>
      </c>
    </row>
    <row r="32" spans="1:8" ht="32.25" hidden="1" thickBot="1" x14ac:dyDescent="0.3">
      <c r="A32" s="62">
        <v>209</v>
      </c>
      <c r="B32" s="65" t="s">
        <v>216</v>
      </c>
      <c r="C32" s="64">
        <f ca="1">SUMIF(Пр.13!$C18:$C477,209,Пр.13!G18:G467)</f>
        <v>0</v>
      </c>
      <c r="D32" s="64">
        <f ca="1">SUMIF(Пр.13!$C18:$C477,209,Пр.13!H18:H467)</f>
        <v>0</v>
      </c>
      <c r="E32" s="64">
        <f ca="1">SUMIF(Пр.13!$C18:$C477,209,Пр.13!I18:I467)</f>
        <v>0</v>
      </c>
      <c r="F32" s="64">
        <f ca="1">SUMIF(Пр.13!$C18:$C477,209,Пр.13!J18:J467)</f>
        <v>0</v>
      </c>
      <c r="G32" s="64">
        <f ca="1">SUMIF(Пр.13!$C18:$C477,209,Пр.13!K18:K467)</f>
        <v>0</v>
      </c>
      <c r="H32" s="64">
        <f ca="1">SUMIF(Пр.13!$C18:$C477,209,Пр.13!L18:L467)</f>
        <v>0</v>
      </c>
    </row>
    <row r="33" spans="1:8" ht="36" hidden="1" customHeight="1" thickBot="1" x14ac:dyDescent="0.3">
      <c r="A33" s="59">
        <v>300</v>
      </c>
      <c r="B33" s="66" t="s">
        <v>217</v>
      </c>
      <c r="C33" s="61">
        <f t="shared" ref="C33:H33" ca="1" si="2">SUM(C34:C45)</f>
        <v>0</v>
      </c>
      <c r="D33" s="61">
        <f t="shared" ca="1" si="2"/>
        <v>0</v>
      </c>
      <c r="E33" s="61">
        <f t="shared" ca="1" si="2"/>
        <v>0</v>
      </c>
      <c r="F33" s="61">
        <f t="shared" ca="1" si="2"/>
        <v>0</v>
      </c>
      <c r="G33" s="61">
        <f t="shared" ca="1" si="2"/>
        <v>0</v>
      </c>
      <c r="H33" s="61">
        <f t="shared" ca="1" si="2"/>
        <v>0</v>
      </c>
    </row>
    <row r="34" spans="1:8" ht="16.5" hidden="1" thickBot="1" x14ac:dyDescent="0.3">
      <c r="A34" s="62">
        <v>303</v>
      </c>
      <c r="B34" s="65" t="s">
        <v>218</v>
      </c>
      <c r="C34" s="64">
        <f>SUMIF(Пр.13!$C10:$C467,303,Пр.13!G10:G467)</f>
        <v>0</v>
      </c>
      <c r="D34" s="64">
        <f>SUMIF(Пр.13!$C10:$C467,303,Пр.13!H10:H467)</f>
        <v>0</v>
      </c>
      <c r="E34" s="64">
        <f>SUMIF(Пр.13!$C10:$C467,303,Пр.13!I10:I467)</f>
        <v>0</v>
      </c>
      <c r="F34" s="64">
        <f>SUMIF(Пр.13!$C10:$C467,303,Пр.13!J10:J467)</f>
        <v>0</v>
      </c>
      <c r="G34" s="64">
        <f>SUMIF(Пр.13!$C10:$C467,303,Пр.13!K10:K467)</f>
        <v>0</v>
      </c>
      <c r="H34" s="64">
        <f>SUMIF(Пр.13!$C10:$C467,303,Пр.13!L10:L467)</f>
        <v>0</v>
      </c>
    </row>
    <row r="35" spans="1:8" ht="16.5" hidden="1" thickBot="1" x14ac:dyDescent="0.3">
      <c r="A35" s="62">
        <v>304</v>
      </c>
      <c r="B35" s="65" t="s">
        <v>219</v>
      </c>
      <c r="C35" s="64">
        <f>SUMIF(Пр.13!$C11:$C467,304,Пр.13!G11:G467)</f>
        <v>0</v>
      </c>
      <c r="D35" s="64">
        <f>SUMIF(Пр.13!$C11:$C467,304,Пр.13!H11:H467)</f>
        <v>0</v>
      </c>
      <c r="E35" s="64">
        <f>SUMIF(Пр.13!$C11:$C467,304,Пр.13!I11:I467)</f>
        <v>0</v>
      </c>
      <c r="F35" s="64">
        <f>SUMIF(Пр.13!$C11:$C467,304,Пр.13!J11:J467)</f>
        <v>0</v>
      </c>
      <c r="G35" s="64">
        <f>SUMIF(Пр.13!$C11:$C467,304,Пр.13!K11:K467)</f>
        <v>0</v>
      </c>
      <c r="H35" s="64">
        <f>SUMIF(Пр.13!$C11:$C467,304,Пр.13!L11:L467)</f>
        <v>0</v>
      </c>
    </row>
    <row r="36" spans="1:8" ht="16.5" hidden="1" thickBot="1" x14ac:dyDescent="0.3">
      <c r="A36" s="62">
        <v>305</v>
      </c>
      <c r="B36" s="65" t="s">
        <v>220</v>
      </c>
      <c r="C36" s="64">
        <f ca="1">SUMIF(Пр.13!$C12:$C471,305,Пр.13!G12:G467)</f>
        <v>0</v>
      </c>
      <c r="D36" s="64">
        <f ca="1">SUMIF(Пр.13!$C12:$C471,305,Пр.13!H12:H467)</f>
        <v>0</v>
      </c>
      <c r="E36" s="64">
        <f ca="1">SUMIF(Пр.13!$C12:$C471,305,Пр.13!I12:I467)</f>
        <v>0</v>
      </c>
      <c r="F36" s="64">
        <f ca="1">SUMIF(Пр.13!$C12:$C471,305,Пр.13!J12:J467)</f>
        <v>0</v>
      </c>
      <c r="G36" s="64">
        <f ca="1">SUMIF(Пр.13!$C12:$C471,305,Пр.13!K12:K467)</f>
        <v>0</v>
      </c>
      <c r="H36" s="64">
        <f ca="1">SUMIF(Пр.13!$C12:$C471,305,Пр.13!L12:L467)</f>
        <v>0</v>
      </c>
    </row>
    <row r="37" spans="1:8" ht="16.5" hidden="1" thickBot="1" x14ac:dyDescent="0.3">
      <c r="A37" s="62">
        <v>306</v>
      </c>
      <c r="B37" s="65" t="s">
        <v>221</v>
      </c>
      <c r="C37" s="64">
        <f ca="1">SUMIF(Пр.13!$C14:$C472,306,Пр.13!G14:G467)</f>
        <v>0</v>
      </c>
      <c r="D37" s="64">
        <f ca="1">SUMIF(Пр.13!$C14:$C472,306,Пр.13!H14:H467)</f>
        <v>0</v>
      </c>
      <c r="E37" s="64">
        <f ca="1">SUMIF(Пр.13!$C14:$C472,306,Пр.13!I14:I467)</f>
        <v>0</v>
      </c>
      <c r="F37" s="64">
        <f ca="1">SUMIF(Пр.13!$C14:$C472,306,Пр.13!J14:J467)</f>
        <v>0</v>
      </c>
      <c r="G37" s="64">
        <f ca="1">SUMIF(Пр.13!$C14:$C472,306,Пр.13!K14:K467)</f>
        <v>0</v>
      </c>
      <c r="H37" s="64">
        <f ca="1">SUMIF(Пр.13!$C14:$C472,306,Пр.13!L14:L467)</f>
        <v>0</v>
      </c>
    </row>
    <row r="38" spans="1:8" ht="16.5" hidden="1" thickBot="1" x14ac:dyDescent="0.3">
      <c r="A38" s="62">
        <v>307</v>
      </c>
      <c r="B38" s="65" t="s">
        <v>222</v>
      </c>
      <c r="C38" s="64">
        <f ca="1">SUMIF(Пр.13!$C15:$C473,307,Пр.13!G15:G467)</f>
        <v>0</v>
      </c>
      <c r="D38" s="64">
        <f ca="1">SUMIF(Пр.13!$C15:$C473,307,Пр.13!H15:H467)</f>
        <v>0</v>
      </c>
      <c r="E38" s="64">
        <f ca="1">SUMIF(Пр.13!$C15:$C473,307,Пр.13!I15:I467)</f>
        <v>0</v>
      </c>
      <c r="F38" s="64">
        <f ca="1">SUMIF(Пр.13!$C15:$C473,307,Пр.13!J15:J467)</f>
        <v>0</v>
      </c>
      <c r="G38" s="64">
        <f ca="1">SUMIF(Пр.13!$C15:$C473,307,Пр.13!K15:K467)</f>
        <v>0</v>
      </c>
      <c r="H38" s="64">
        <f ca="1">SUMIF(Пр.13!$C15:$C473,307,Пр.13!L15:L467)</f>
        <v>0</v>
      </c>
    </row>
    <row r="39" spans="1:8" ht="32.25" hidden="1" thickBot="1" x14ac:dyDescent="0.3">
      <c r="A39" s="62">
        <v>308</v>
      </c>
      <c r="B39" s="65" t="s">
        <v>223</v>
      </c>
      <c r="C39" s="64">
        <f ca="1">SUMIF(Пр.13!$C15:$C474,308,Пр.13!G15:G467)</f>
        <v>0</v>
      </c>
      <c r="D39" s="64">
        <f ca="1">SUMIF(Пр.13!$C15:$C474,308,Пр.13!H15:H467)</f>
        <v>0</v>
      </c>
      <c r="E39" s="64">
        <f ca="1">SUMIF(Пр.13!$C15:$C474,308,Пр.13!I15:I467)</f>
        <v>0</v>
      </c>
      <c r="F39" s="64">
        <f ca="1">SUMIF(Пр.13!$C15:$C474,308,Пр.13!J15:J467)</f>
        <v>0</v>
      </c>
      <c r="G39" s="64">
        <f ca="1">SUMIF(Пр.13!$C15:$C474,308,Пр.13!K15:K467)</f>
        <v>0</v>
      </c>
      <c r="H39" s="64">
        <f ca="1">SUMIF(Пр.13!$C15:$C474,308,Пр.13!L15:L467)</f>
        <v>0</v>
      </c>
    </row>
    <row r="40" spans="1:8" ht="48" hidden="1" thickBot="1" x14ac:dyDescent="0.3">
      <c r="A40" s="62">
        <v>309</v>
      </c>
      <c r="B40" s="65" t="s">
        <v>224</v>
      </c>
      <c r="C40" s="64">
        <f ca="1">SUMIF(Пр.13!$C16:$C475,309,Пр.13!G16:G467)</f>
        <v>0</v>
      </c>
      <c r="D40" s="64">
        <f ca="1">SUMIF(Пр.13!$C16:$C475,309,Пр.13!H16:H467)</f>
        <v>0</v>
      </c>
      <c r="E40" s="64">
        <f ca="1">SUMIF(Пр.13!$C16:$C475,309,Пр.13!I16:I467)</f>
        <v>0</v>
      </c>
      <c r="F40" s="64">
        <f ca="1">SUMIF(Пр.13!$C16:$C475,309,Пр.13!J16:J467)</f>
        <v>0</v>
      </c>
      <c r="G40" s="64">
        <f ca="1">SUMIF(Пр.13!$C16:$C475,309,Пр.13!K16:K467)</f>
        <v>0</v>
      </c>
      <c r="H40" s="64">
        <f ca="1">SUMIF(Пр.13!$C16:$C475,309,Пр.13!L16:L467)</f>
        <v>0</v>
      </c>
    </row>
    <row r="41" spans="1:8" ht="16.5" hidden="1" thickBot="1" x14ac:dyDescent="0.3">
      <c r="A41" s="62">
        <v>310</v>
      </c>
      <c r="B41" s="65" t="s">
        <v>225</v>
      </c>
      <c r="C41" s="64">
        <f ca="1">SUMIF(Пр.13!$C17:$C476,310,Пр.13!G17:G467)</f>
        <v>0</v>
      </c>
      <c r="D41" s="64">
        <f ca="1">SUMIF(Пр.13!$C17:$C476,310,Пр.13!H17:H467)</f>
        <v>0</v>
      </c>
      <c r="E41" s="64">
        <f ca="1">SUMIF(Пр.13!$C17:$C476,310,Пр.13!I17:I467)</f>
        <v>0</v>
      </c>
      <c r="F41" s="64">
        <f ca="1">SUMIF(Пр.13!$C17:$C476,310,Пр.13!J17:J467)</f>
        <v>0</v>
      </c>
      <c r="G41" s="64">
        <f ca="1">SUMIF(Пр.13!$C17:$C476,310,Пр.13!K17:K467)</f>
        <v>0</v>
      </c>
      <c r="H41" s="64">
        <f ca="1">SUMIF(Пр.13!$C17:$C476,310,Пр.13!L17:L467)</f>
        <v>0</v>
      </c>
    </row>
    <row r="42" spans="1:8" ht="16.5" hidden="1" thickBot="1" x14ac:dyDescent="0.3">
      <c r="A42" s="62">
        <v>311</v>
      </c>
      <c r="B42" s="65" t="s">
        <v>226</v>
      </c>
      <c r="C42" s="64">
        <f ca="1">SUMIF(Пр.13!$C18:$C477,311,Пр.13!G18:G467)</f>
        <v>0</v>
      </c>
      <c r="D42" s="64">
        <f ca="1">SUMIF(Пр.13!$C18:$C477,311,Пр.13!H18:H467)</f>
        <v>0</v>
      </c>
      <c r="E42" s="64">
        <f ca="1">SUMIF(Пр.13!$C18:$C477,311,Пр.13!I18:I467)</f>
        <v>0</v>
      </c>
      <c r="F42" s="64">
        <f ca="1">SUMIF(Пр.13!$C18:$C477,311,Пр.13!J18:J467)</f>
        <v>0</v>
      </c>
      <c r="G42" s="64">
        <f ca="1">SUMIF(Пр.13!$C18:$C477,311,Пр.13!K18:K467)</f>
        <v>0</v>
      </c>
      <c r="H42" s="64">
        <f ca="1">SUMIF(Пр.13!$C18:$C477,311,Пр.13!L18:L467)</f>
        <v>0</v>
      </c>
    </row>
    <row r="43" spans="1:8" ht="48" hidden="1" thickBot="1" x14ac:dyDescent="0.3">
      <c r="A43" s="62">
        <v>312</v>
      </c>
      <c r="B43" s="65" t="s">
        <v>227</v>
      </c>
      <c r="C43" s="64">
        <f ca="1">SUMIF(Пр.13!$C21:$C478,312,Пр.13!G21:G467)</f>
        <v>0</v>
      </c>
      <c r="D43" s="64">
        <f ca="1">SUMIF(Пр.13!$C21:$C478,312,Пр.13!H21:H467)</f>
        <v>0</v>
      </c>
      <c r="E43" s="64">
        <f ca="1">SUMIF(Пр.13!$C21:$C478,312,Пр.13!I21:I467)</f>
        <v>0</v>
      </c>
      <c r="F43" s="64">
        <f ca="1">SUMIF(Пр.13!$C21:$C478,312,Пр.13!J21:J467)</f>
        <v>0</v>
      </c>
      <c r="G43" s="64">
        <f ca="1">SUMIF(Пр.13!$C21:$C478,312,Пр.13!K21:K467)</f>
        <v>0</v>
      </c>
      <c r="H43" s="64">
        <f ca="1">SUMIF(Пр.13!$C21:$C478,312,Пр.13!L21:L467)</f>
        <v>0</v>
      </c>
    </row>
    <row r="44" spans="1:8" ht="48" hidden="1" thickBot="1" x14ac:dyDescent="0.3">
      <c r="A44" s="62">
        <v>313</v>
      </c>
      <c r="B44" s="65" t="s">
        <v>228</v>
      </c>
      <c r="C44" s="64">
        <f ca="1">SUMIF(Пр.13!$C21:$C479,313,Пр.13!G21:G467)</f>
        <v>0</v>
      </c>
      <c r="D44" s="64">
        <f ca="1">SUMIF(Пр.13!$C21:$C479,313,Пр.13!H21:H467)</f>
        <v>0</v>
      </c>
      <c r="E44" s="64">
        <f ca="1">SUMIF(Пр.13!$C21:$C479,313,Пр.13!I21:I467)</f>
        <v>0</v>
      </c>
      <c r="F44" s="64">
        <f ca="1">SUMIF(Пр.13!$C21:$C479,313,Пр.13!J21:J467)</f>
        <v>0</v>
      </c>
      <c r="G44" s="64">
        <f ca="1">SUMIF(Пр.13!$C21:$C479,313,Пр.13!K21:K467)</f>
        <v>0</v>
      </c>
      <c r="H44" s="64">
        <f ca="1">SUMIF(Пр.13!$C21:$C479,313,Пр.13!L21:L467)</f>
        <v>0</v>
      </c>
    </row>
    <row r="45" spans="1:8" ht="48" hidden="1" thickBot="1" x14ac:dyDescent="0.3">
      <c r="A45" s="62">
        <v>314</v>
      </c>
      <c r="B45" s="65" t="s">
        <v>229</v>
      </c>
      <c r="C45" s="64">
        <f ca="1">SUMIF(Пр.13!$C21:$C480,314,Пр.13!G21:G467)</f>
        <v>0</v>
      </c>
      <c r="D45" s="64">
        <f ca="1">SUMIF(Пр.13!$C21:$C480,314,Пр.13!H21:H467)</f>
        <v>0</v>
      </c>
      <c r="E45" s="64">
        <f ca="1">SUMIF(Пр.13!$C21:$C480,314,Пр.13!I21:I467)</f>
        <v>0</v>
      </c>
      <c r="F45" s="64">
        <f ca="1">SUMIF(Пр.13!$C21:$C480,314,Пр.13!J21:J467)</f>
        <v>0</v>
      </c>
      <c r="G45" s="64">
        <f ca="1">SUMIF(Пр.13!$C21:$C480,314,Пр.13!K21:K467)</f>
        <v>0</v>
      </c>
      <c r="H45" s="64">
        <f ca="1">SUMIF(Пр.13!$C21:$C480,314,Пр.13!L21:L467)</f>
        <v>0</v>
      </c>
    </row>
    <row r="46" spans="1:8" ht="16.5" thickBot="1" x14ac:dyDescent="0.3">
      <c r="A46" s="59">
        <v>400</v>
      </c>
      <c r="B46" s="66" t="s">
        <v>230</v>
      </c>
      <c r="C46" s="61">
        <f t="shared" ref="C46:H46" ca="1" si="3">SUM(C47:C58)</f>
        <v>31028565</v>
      </c>
      <c r="D46" s="61">
        <f t="shared" ca="1" si="3"/>
        <v>0</v>
      </c>
      <c r="E46" s="61">
        <f t="shared" ca="1" si="3"/>
        <v>31028565</v>
      </c>
      <c r="F46" s="61">
        <f t="shared" ca="1" si="3"/>
        <v>25165715</v>
      </c>
      <c r="G46" s="61">
        <f t="shared" ca="1" si="3"/>
        <v>0</v>
      </c>
      <c r="H46" s="61">
        <f t="shared" ca="1" si="3"/>
        <v>25165715</v>
      </c>
    </row>
    <row r="47" spans="1:8" ht="15.75" hidden="1" customHeight="1" thickBot="1" x14ac:dyDescent="0.3">
      <c r="A47" s="62">
        <v>401</v>
      </c>
      <c r="B47" s="67" t="s">
        <v>231</v>
      </c>
      <c r="C47" s="64">
        <f>SUMIF(Пр.13!$C10:$C467,401,Пр.13!G10:G467)</f>
        <v>0</v>
      </c>
      <c r="D47" s="64">
        <f>SUMIF(Пр.13!$C10:$C467,401,Пр.13!H10:H467)</f>
        <v>0</v>
      </c>
      <c r="E47" s="64">
        <f>SUMIF(Пр.13!$C10:$C467,401,Пр.13!I10:I467)</f>
        <v>0</v>
      </c>
      <c r="F47" s="64">
        <f>SUMIF(Пр.13!$C10:$C467,401,Пр.13!J10:J467)</f>
        <v>0</v>
      </c>
      <c r="G47" s="64">
        <f>SUMIF(Пр.13!$C10:$C467,401,Пр.13!K10:K467)</f>
        <v>0</v>
      </c>
      <c r="H47" s="64">
        <f>SUMIF(Пр.13!$C10:$C467,401,Пр.13!L10:L467)</f>
        <v>0</v>
      </c>
    </row>
    <row r="48" spans="1:8" ht="16.5" hidden="1" thickBot="1" x14ac:dyDescent="0.3">
      <c r="A48" s="62">
        <v>402</v>
      </c>
      <c r="B48" s="63" t="s">
        <v>232</v>
      </c>
      <c r="C48" s="64">
        <f>SUMIF(Пр.13!$C11:$C467,402,Пр.13!G11:G467)</f>
        <v>0</v>
      </c>
      <c r="D48" s="64">
        <f>SUMIF(Пр.13!$C11:$C467,402,Пр.13!H11:H467)</f>
        <v>0</v>
      </c>
      <c r="E48" s="64">
        <f>SUMIF(Пр.13!$C11:$C467,402,Пр.13!I11:I467)</f>
        <v>0</v>
      </c>
      <c r="F48" s="64">
        <f>SUMIF(Пр.13!$C11:$C467,402,Пр.13!J11:J467)</f>
        <v>0</v>
      </c>
      <c r="G48" s="64">
        <f>SUMIF(Пр.13!$C11:$C467,402,Пр.13!K11:K467)</f>
        <v>0</v>
      </c>
      <c r="H48" s="64">
        <f>SUMIF(Пр.13!$C11:$C467,402,Пр.13!L11:L467)</f>
        <v>0</v>
      </c>
    </row>
    <row r="49" spans="1:8" ht="32.25" hidden="1" thickBot="1" x14ac:dyDescent="0.3">
      <c r="A49" s="62">
        <v>403</v>
      </c>
      <c r="B49" s="65" t="s">
        <v>233</v>
      </c>
      <c r="C49" s="64">
        <f ca="1">SUMIF(Пр.13!$C12:$C471,403,Пр.13!G12:G467)</f>
        <v>0</v>
      </c>
      <c r="D49" s="64">
        <f ca="1">SUMIF(Пр.13!$C12:$C471,403,Пр.13!H12:H467)</f>
        <v>0</v>
      </c>
      <c r="E49" s="64">
        <f ca="1">SUMIF(Пр.13!$C12:$C471,403,Пр.13!I12:I467)</f>
        <v>0</v>
      </c>
      <c r="F49" s="64">
        <f ca="1">SUMIF(Пр.13!$C12:$C471,403,Пр.13!J12:J467)</f>
        <v>0</v>
      </c>
      <c r="G49" s="64">
        <f ca="1">SUMIF(Пр.13!$C12:$C471,403,Пр.13!K12:K467)</f>
        <v>0</v>
      </c>
      <c r="H49" s="64">
        <f ca="1">SUMIF(Пр.13!$C12:$C471,403,Пр.13!L12:L467)</f>
        <v>0</v>
      </c>
    </row>
    <row r="50" spans="1:8" ht="16.5" hidden="1" thickBot="1" x14ac:dyDescent="0.3">
      <c r="A50" s="62">
        <v>404</v>
      </c>
      <c r="B50" s="65" t="s">
        <v>234</v>
      </c>
      <c r="C50" s="64">
        <f ca="1">SUMIF(Пр.13!$C14:$C472,404,Пр.13!G14:G467)</f>
        <v>0</v>
      </c>
      <c r="D50" s="64">
        <f ca="1">SUMIF(Пр.13!$C14:$C472,404,Пр.13!H14:H467)</f>
        <v>0</v>
      </c>
      <c r="E50" s="64">
        <f ca="1">SUMIF(Пр.13!$C14:$C472,404,Пр.13!I14:I467)</f>
        <v>0</v>
      </c>
      <c r="F50" s="64">
        <f ca="1">SUMIF(Пр.13!$C14:$C472,404,Пр.13!J14:J467)</f>
        <v>0</v>
      </c>
      <c r="G50" s="64">
        <f ca="1">SUMIF(Пр.13!$C14:$C472,404,Пр.13!K14:K467)</f>
        <v>0</v>
      </c>
      <c r="H50" s="64">
        <f ca="1">SUMIF(Пр.13!$C14:$C472,404,Пр.13!L14:L467)</f>
        <v>0</v>
      </c>
    </row>
    <row r="51" spans="1:8" ht="16.5" thickBot="1" x14ac:dyDescent="0.3">
      <c r="A51" s="62">
        <v>405</v>
      </c>
      <c r="B51" s="65" t="s">
        <v>235</v>
      </c>
      <c r="C51" s="64">
        <f ca="1">SUMIF(Пр.13!$C15:$C473,405,Пр.13!G15:G467)</f>
        <v>693475</v>
      </c>
      <c r="D51" s="64">
        <f ca="1">SUMIF(Пр.13!$C15:$C473,405,Пр.13!H15:H467)</f>
        <v>0</v>
      </c>
      <c r="E51" s="64">
        <f ca="1">SUMIF(Пр.13!$C15:$C473,405,Пр.13!I15:I467)</f>
        <v>693475</v>
      </c>
      <c r="F51" s="64">
        <f ca="1">SUMIF(Пр.13!$C15:$C473,405,Пр.13!J15:J467)</f>
        <v>693475</v>
      </c>
      <c r="G51" s="64">
        <f ca="1">SUMIF(Пр.13!$C15:$C473,405,Пр.13!K15:K467)</f>
        <v>0</v>
      </c>
      <c r="H51" s="64">
        <f ca="1">SUMIF(Пр.13!$C15:$C473,405,Пр.13!L15:L467)</f>
        <v>693475</v>
      </c>
    </row>
    <row r="52" spans="1:8" ht="16.5" hidden="1" thickBot="1" x14ac:dyDescent="0.3">
      <c r="A52" s="62">
        <v>406</v>
      </c>
      <c r="B52" s="65" t="s">
        <v>236</v>
      </c>
      <c r="C52" s="64">
        <f ca="1">SUMIF(Пр.13!$C15:$C474,406,Пр.13!G15:G467)</f>
        <v>0</v>
      </c>
      <c r="D52" s="64">
        <f ca="1">SUMIF(Пр.13!$C15:$C474,406,Пр.13!H15:H467)</f>
        <v>0</v>
      </c>
      <c r="E52" s="64">
        <f ca="1">SUMIF(Пр.13!$C15:$C474,406,Пр.13!I15:I467)</f>
        <v>0</v>
      </c>
      <c r="F52" s="64">
        <f ca="1">SUMIF(Пр.13!$C15:$C474,406,Пр.13!J15:J467)</f>
        <v>0</v>
      </c>
      <c r="G52" s="64">
        <f ca="1">SUMIF(Пр.13!$C15:$C474,406,Пр.13!K15:K467)</f>
        <v>0</v>
      </c>
      <c r="H52" s="64">
        <f ca="1">SUMIF(Пр.13!$C15:$C474,406,Пр.13!L15:L467)</f>
        <v>0</v>
      </c>
    </row>
    <row r="53" spans="1:8" ht="16.5" hidden="1" thickBot="1" x14ac:dyDescent="0.3">
      <c r="A53" s="62">
        <v>407</v>
      </c>
      <c r="B53" s="65" t="s">
        <v>237</v>
      </c>
      <c r="C53" s="64">
        <f ca="1">SUMIF(Пр.13!$C16:$C475,407,Пр.13!G16:G467)</f>
        <v>0</v>
      </c>
      <c r="D53" s="64">
        <f ca="1">SUMIF(Пр.13!$C16:$C475,407,Пр.13!H16:H467)</f>
        <v>0</v>
      </c>
      <c r="E53" s="64">
        <f ca="1">SUMIF(Пр.13!$C16:$C475,407,Пр.13!I16:I467)</f>
        <v>0</v>
      </c>
      <c r="F53" s="64">
        <f ca="1">SUMIF(Пр.13!$C16:$C475,407,Пр.13!J16:J467)</f>
        <v>0</v>
      </c>
      <c r="G53" s="64">
        <f ca="1">SUMIF(Пр.13!$C16:$C475,407,Пр.13!K16:K467)</f>
        <v>0</v>
      </c>
      <c r="H53" s="64">
        <f ca="1">SUMIF(Пр.13!$C16:$C475,407,Пр.13!L16:L467)</f>
        <v>0</v>
      </c>
    </row>
    <row r="54" spans="1:8" ht="16.5" thickBot="1" x14ac:dyDescent="0.3">
      <c r="A54" s="62">
        <v>408</v>
      </c>
      <c r="B54" s="65" t="s">
        <v>238</v>
      </c>
      <c r="C54" s="64">
        <f ca="1">SUMIF(Пр.13!$C17:$C476,408,Пр.13!G17:G467)</f>
        <v>10000000</v>
      </c>
      <c r="D54" s="64">
        <f ca="1">SUMIF(Пр.13!$C17:$C476,408,Пр.13!H17:H467)</f>
        <v>0</v>
      </c>
      <c r="E54" s="64">
        <f ca="1">SUMIF(Пр.13!$C17:$C476,408,Пр.13!I17:I467)</f>
        <v>10000000</v>
      </c>
      <c r="F54" s="64">
        <f ca="1">SUMIF(Пр.13!$C17:$C476,408,Пр.13!J17:J467)</f>
        <v>0</v>
      </c>
      <c r="G54" s="64">
        <f ca="1">SUMIF(Пр.13!$C17:$C476,408,Пр.13!K17:K467)</f>
        <v>0</v>
      </c>
      <c r="H54" s="64">
        <f ca="1">SUMIF(Пр.13!$C17:$C476,408,Пр.13!L17:L467)</f>
        <v>0</v>
      </c>
    </row>
    <row r="55" spans="1:8" ht="16.5" thickBot="1" x14ac:dyDescent="0.3">
      <c r="A55" s="62">
        <v>409</v>
      </c>
      <c r="B55" s="65" t="s">
        <v>239</v>
      </c>
      <c r="C55" s="64">
        <f ca="1">SUMIF(Пр.13!$C18:$C477,409,Пр.13!G18:G467)</f>
        <v>20335090</v>
      </c>
      <c r="D55" s="64">
        <f ca="1">SUMIF(Пр.13!$C18:$C477,409,Пр.13!H18:H467)</f>
        <v>0</v>
      </c>
      <c r="E55" s="64">
        <f ca="1">SUMIF(Пр.13!$C18:$C477,409,Пр.13!I18:I467)</f>
        <v>20335090</v>
      </c>
      <c r="F55" s="64">
        <f ca="1">SUMIF(Пр.13!$C18:$C477,409,Пр.13!J18:J467)</f>
        <v>24472240</v>
      </c>
      <c r="G55" s="64">
        <f ca="1">SUMIF(Пр.13!$C18:$C477,409,Пр.13!K18:K467)</f>
        <v>0</v>
      </c>
      <c r="H55" s="64">
        <f ca="1">SUMIF(Пр.13!$C18:$C477,409,Пр.13!L18:L467)</f>
        <v>24472240</v>
      </c>
    </row>
    <row r="56" spans="1:8" ht="16.5" hidden="1" thickBot="1" x14ac:dyDescent="0.3">
      <c r="A56" s="62">
        <v>410</v>
      </c>
      <c r="B56" s="65" t="s">
        <v>240</v>
      </c>
      <c r="C56" s="64">
        <f ca="1">SUMIF(Пр.13!$C21:$C478,410,Пр.13!G21:G467)</f>
        <v>0</v>
      </c>
      <c r="D56" s="64">
        <f ca="1">SUMIF(Пр.13!$C21:$C478,410,Пр.13!H21:H467)</f>
        <v>0</v>
      </c>
      <c r="E56" s="64">
        <f ca="1">SUMIF(Пр.13!$C21:$C478,410,Пр.13!I21:I467)</f>
        <v>0</v>
      </c>
      <c r="F56" s="64">
        <f ca="1">SUMIF(Пр.13!$C21:$C478,410,Пр.13!J21:J467)</f>
        <v>0</v>
      </c>
      <c r="G56" s="64">
        <f ca="1">SUMIF(Пр.13!$C21:$C478,410,Пр.13!K21:K467)</f>
        <v>0</v>
      </c>
      <c r="H56" s="64">
        <f ca="1">SUMIF(Пр.13!$C21:$C478,410,Пр.13!L21:L467)</f>
        <v>0</v>
      </c>
    </row>
    <row r="57" spans="1:8" ht="32.25" hidden="1" thickBot="1" x14ac:dyDescent="0.3">
      <c r="A57" s="62">
        <v>411</v>
      </c>
      <c r="B57" s="65" t="s">
        <v>241</v>
      </c>
      <c r="C57" s="64">
        <f ca="1">SUMIF(Пр.13!$C21:$C479,411,Пр.13!G21:G467)</f>
        <v>0</v>
      </c>
      <c r="D57" s="64">
        <f ca="1">SUMIF(Пр.13!$C21:$C479,411,Пр.13!H21:H467)</f>
        <v>0</v>
      </c>
      <c r="E57" s="64">
        <f ca="1">SUMIF(Пр.13!$C21:$C479,411,Пр.13!I21:I467)</f>
        <v>0</v>
      </c>
      <c r="F57" s="64">
        <f ca="1">SUMIF(Пр.13!$C21:$C479,411,Пр.13!J21:J467)</f>
        <v>0</v>
      </c>
      <c r="G57" s="64">
        <f ca="1">SUMIF(Пр.13!$C21:$C479,411,Пр.13!K21:K467)</f>
        <v>0</v>
      </c>
      <c r="H57" s="64">
        <f ca="1">SUMIF(Пр.13!$C21:$C479,411,Пр.13!L21:L467)</f>
        <v>0</v>
      </c>
    </row>
    <row r="58" spans="1:8" ht="32.25" hidden="1" thickBot="1" x14ac:dyDescent="0.3">
      <c r="A58" s="62">
        <v>412</v>
      </c>
      <c r="B58" s="65" t="s">
        <v>242</v>
      </c>
      <c r="C58" s="64">
        <f ca="1">SUMIF(Пр.13!$C10:$C480,412,Пр.13!G10:G467)</f>
        <v>0</v>
      </c>
      <c r="D58" s="64">
        <f ca="1">SUMIF(Пр.13!$C10:$C480,412,Пр.13!H10:H467)</f>
        <v>0</v>
      </c>
      <c r="E58" s="64">
        <f ca="1">SUMIF(Пр.13!$C10:$C480,412,Пр.13!I10:I467)</f>
        <v>0</v>
      </c>
      <c r="F58" s="64">
        <f ca="1">SUMIF(Пр.13!$C10:$C480,412,Пр.13!J10:J467)</f>
        <v>0</v>
      </c>
      <c r="G58" s="64">
        <f ca="1">SUMIF(Пр.13!$C10:$C480,412,Пр.13!K10:K467)</f>
        <v>0</v>
      </c>
      <c r="H58" s="64">
        <f ca="1">SUMIF(Пр.13!$C10:$C480,412,Пр.13!L10:L467)</f>
        <v>0</v>
      </c>
    </row>
    <row r="59" spans="1:8" ht="32.25" thickBot="1" x14ac:dyDescent="0.3">
      <c r="A59" s="59">
        <v>500</v>
      </c>
      <c r="B59" s="66" t="s">
        <v>243</v>
      </c>
      <c r="C59" s="61">
        <f t="shared" ref="C59:H59" ca="1" si="4">SUM(C60:C64)</f>
        <v>8475404</v>
      </c>
      <c r="D59" s="61">
        <f t="shared" ca="1" si="4"/>
        <v>0</v>
      </c>
      <c r="E59" s="61">
        <f t="shared" ca="1" si="4"/>
        <v>8475404</v>
      </c>
      <c r="F59" s="61">
        <f t="shared" ca="1" si="4"/>
        <v>8475404</v>
      </c>
      <c r="G59" s="61">
        <f t="shared" ca="1" si="4"/>
        <v>0</v>
      </c>
      <c r="H59" s="61">
        <f t="shared" ca="1" si="4"/>
        <v>8475404</v>
      </c>
    </row>
    <row r="60" spans="1:8" ht="16.5" hidden="1" thickBot="1" x14ac:dyDescent="0.3">
      <c r="A60" s="62">
        <v>501</v>
      </c>
      <c r="B60" s="65" t="s">
        <v>244</v>
      </c>
      <c r="C60" s="64">
        <f>SUMIF(Пр.13!$C10:$C467,501,Пр.13!G10:G467)</f>
        <v>0</v>
      </c>
      <c r="D60" s="64">
        <f>SUMIF(Пр.13!$C10:$C467,501,Пр.13!H10:H467)</f>
        <v>0</v>
      </c>
      <c r="E60" s="64">
        <f>SUMIF(Пр.13!$C10:$C467,501,Пр.13!I10:I467)</f>
        <v>0</v>
      </c>
      <c r="F60" s="64">
        <f>SUMIF(Пр.13!$C10:$C467,501,Пр.13!J10:J467)</f>
        <v>0</v>
      </c>
      <c r="G60" s="64">
        <f>SUMIF(Пр.13!$C10:$C467,501,Пр.13!K10:K467)</f>
        <v>0</v>
      </c>
      <c r="H60" s="64">
        <f>SUMIF(Пр.13!$C10:$C467,501,Пр.13!L10:L467)</f>
        <v>0</v>
      </c>
    </row>
    <row r="61" spans="1:8" ht="16.5" thickBot="1" x14ac:dyDescent="0.3">
      <c r="A61" s="62">
        <v>502</v>
      </c>
      <c r="B61" s="65" t="s">
        <v>245</v>
      </c>
      <c r="C61" s="64">
        <f>SUMIF(Пр.13!$C11:$C467,502,Пр.13!G11:G467)</f>
        <v>3000000</v>
      </c>
      <c r="D61" s="64">
        <f>SUMIF(Пр.13!$C11:$C467,502,Пр.13!H11:H467)</f>
        <v>0</v>
      </c>
      <c r="E61" s="64">
        <f>SUMIF(Пр.13!$C11:$C467,502,Пр.13!I11:I467)</f>
        <v>3000000</v>
      </c>
      <c r="F61" s="64">
        <f>SUMIF(Пр.13!$C11:$C467,502,Пр.13!J11:J467)</f>
        <v>3000000</v>
      </c>
      <c r="G61" s="64">
        <f>SUMIF(Пр.13!$C11:$C467,502,Пр.13!K11:K467)</f>
        <v>0</v>
      </c>
      <c r="H61" s="64">
        <f>SUMIF(Пр.13!$C11:$C467,502,Пр.13!L11:L467)</f>
        <v>3000000</v>
      </c>
    </row>
    <row r="62" spans="1:8" ht="16.5" hidden="1" thickBot="1" x14ac:dyDescent="0.3">
      <c r="A62" s="62">
        <v>503</v>
      </c>
      <c r="B62" s="63" t="s">
        <v>246</v>
      </c>
      <c r="C62" s="64">
        <f ca="1">SUMIF(Пр.13!$C12:$C471,503,Пр.13!G12:G467)</f>
        <v>0</v>
      </c>
      <c r="D62" s="64">
        <f ca="1">SUMIF(Пр.13!$C12:$C471,503,Пр.13!H12:H467)</f>
        <v>0</v>
      </c>
      <c r="E62" s="64">
        <f ca="1">SUMIF(Пр.13!$C12:$C471,503,Пр.13!I12:I467)</f>
        <v>0</v>
      </c>
      <c r="F62" s="64">
        <f ca="1">SUMIF(Пр.13!$C12:$C471,503,Пр.13!J12:J467)</f>
        <v>0</v>
      </c>
      <c r="G62" s="64">
        <f ca="1">SUMIF(Пр.13!$C12:$C471,503,Пр.13!K12:K467)</f>
        <v>0</v>
      </c>
      <c r="H62" s="64">
        <f ca="1">SUMIF(Пр.13!$C12:$C471,503,Пр.13!L12:L467)</f>
        <v>0</v>
      </c>
    </row>
    <row r="63" spans="1:8" ht="32.25" hidden="1" thickBot="1" x14ac:dyDescent="0.3">
      <c r="A63" s="62">
        <v>504</v>
      </c>
      <c r="B63" s="65" t="s">
        <v>247</v>
      </c>
      <c r="C63" s="64">
        <f ca="1">SUMIF(Пр.13!$C14:$C472,504,Пр.13!G14:G467)</f>
        <v>0</v>
      </c>
      <c r="D63" s="64">
        <f ca="1">SUMIF(Пр.13!$C14:$C472,504,Пр.13!H14:H467)</f>
        <v>0</v>
      </c>
      <c r="E63" s="64">
        <f ca="1">SUMIF(Пр.13!$C14:$C472,504,Пр.13!I14:I467)</f>
        <v>0</v>
      </c>
      <c r="F63" s="64">
        <f ca="1">SUMIF(Пр.13!$C14:$C472,504,Пр.13!J14:J467)</f>
        <v>0</v>
      </c>
      <c r="G63" s="64">
        <f ca="1">SUMIF(Пр.13!$C14:$C472,504,Пр.13!K14:K467)</f>
        <v>0</v>
      </c>
      <c r="H63" s="64">
        <f ca="1">SUMIF(Пр.13!$C14:$C472,504,Пр.13!L14:L467)</f>
        <v>0</v>
      </c>
    </row>
    <row r="64" spans="1:8" ht="32.25" thickBot="1" x14ac:dyDescent="0.3">
      <c r="A64" s="62">
        <v>505</v>
      </c>
      <c r="B64" s="65" t="s">
        <v>248</v>
      </c>
      <c r="C64" s="64">
        <f ca="1">SUMIF(Пр.13!$C15:$C473,505,Пр.13!G15:G467)</f>
        <v>5475404</v>
      </c>
      <c r="D64" s="64">
        <f ca="1">SUMIF(Пр.13!$C15:$C473,505,Пр.13!H15:H467)</f>
        <v>0</v>
      </c>
      <c r="E64" s="64">
        <f ca="1">SUMIF(Пр.13!$C15:$C473,505,Пр.13!I15:I467)</f>
        <v>5475404</v>
      </c>
      <c r="F64" s="64">
        <f ca="1">SUMIF(Пр.13!$C15:$C473,505,Пр.13!J15:J467)</f>
        <v>5475404</v>
      </c>
      <c r="G64" s="64">
        <f ca="1">SUMIF(Пр.13!$C15:$C473,505,Пр.13!K15:K467)</f>
        <v>0</v>
      </c>
      <c r="H64" s="64">
        <f ca="1">SUMIF(Пр.13!$C15:$C473,505,Пр.13!L15:L467)</f>
        <v>5475404</v>
      </c>
    </row>
    <row r="65" spans="1:8" ht="16.5" hidden="1" thickBot="1" x14ac:dyDescent="0.3">
      <c r="A65" s="59">
        <v>600</v>
      </c>
      <c r="B65" s="68" t="s">
        <v>249</v>
      </c>
      <c r="C65" s="61">
        <f t="shared" ref="C65:H65" si="5">SUM(C66:C70)</f>
        <v>0</v>
      </c>
      <c r="D65" s="61">
        <f t="shared" si="5"/>
        <v>0</v>
      </c>
      <c r="E65" s="61">
        <f t="shared" si="5"/>
        <v>0</v>
      </c>
      <c r="F65" s="61">
        <f t="shared" si="5"/>
        <v>0</v>
      </c>
      <c r="G65" s="61">
        <f t="shared" si="5"/>
        <v>0</v>
      </c>
      <c r="H65" s="61">
        <f t="shared" si="5"/>
        <v>0</v>
      </c>
    </row>
    <row r="66" spans="1:8" ht="16.5" hidden="1" thickBot="1" x14ac:dyDescent="0.3">
      <c r="A66" s="62">
        <v>601</v>
      </c>
      <c r="B66" s="63" t="s">
        <v>250</v>
      </c>
      <c r="C66" s="64">
        <f>SUMIF(Пр.13!$C10:$C467,601,Пр.13!G10:G467)</f>
        <v>0</v>
      </c>
      <c r="D66" s="64">
        <f>SUMIF(Пр.13!$C10:$C467,601,Пр.13!H10:H467)</f>
        <v>0</v>
      </c>
      <c r="E66" s="64">
        <f>SUMIF(Пр.13!$C10:$C467,601,Пр.13!I10:I467)</f>
        <v>0</v>
      </c>
      <c r="F66" s="64">
        <f>SUMIF(Пр.13!$C10:$C467,601,Пр.13!J10:J467)</f>
        <v>0</v>
      </c>
      <c r="G66" s="64">
        <f>SUMIF(Пр.13!$C10:$C467,601,Пр.13!K10:K467)</f>
        <v>0</v>
      </c>
      <c r="H66" s="64">
        <f>SUMIF(Пр.13!$C10:$C467,601,Пр.13!L10:L467)</f>
        <v>0</v>
      </c>
    </row>
    <row r="67" spans="1:8" ht="16.5" hidden="1" thickBot="1" x14ac:dyDescent="0.3">
      <c r="A67" s="62">
        <v>602</v>
      </c>
      <c r="B67" s="65" t="s">
        <v>251</v>
      </c>
      <c r="C67" s="64">
        <f>SUMIF(Пр.13!$C11:$C467,602,Пр.13!G11:G467)</f>
        <v>0</v>
      </c>
      <c r="D67" s="64">
        <f>SUMIF(Пр.13!$C11:$C467,602,Пр.13!H11:H467)</f>
        <v>0</v>
      </c>
      <c r="E67" s="64">
        <f>SUMIF(Пр.13!$C11:$C467,602,Пр.13!I11:I467)</f>
        <v>0</v>
      </c>
      <c r="F67" s="64">
        <f>SUMIF(Пр.13!$C11:$C467,602,Пр.13!J11:J467)</f>
        <v>0</v>
      </c>
      <c r="G67" s="64">
        <f>SUMIF(Пр.13!$C11:$C467,602,Пр.13!K11:K467)</f>
        <v>0</v>
      </c>
      <c r="H67" s="64">
        <f>SUMIF(Пр.13!$C11:$C467,602,Пр.13!L11:L467)</f>
        <v>0</v>
      </c>
    </row>
    <row r="68" spans="1:8" ht="32.25" hidden="1" thickBot="1" x14ac:dyDescent="0.3">
      <c r="A68" s="62">
        <v>603</v>
      </c>
      <c r="B68" s="65" t="s">
        <v>252</v>
      </c>
      <c r="C68" s="64">
        <f>SUMIF(Пр.13!$C12:$C471,603,Пр.13!G12:G471)</f>
        <v>0</v>
      </c>
      <c r="D68" s="64">
        <f>SUMIF(Пр.13!$C12:$C471,603,Пр.13!H12:H471)</f>
        <v>0</v>
      </c>
      <c r="E68" s="64">
        <f>SUMIF(Пр.13!$C12:$C471,603,Пр.13!I12:I471)</f>
        <v>0</v>
      </c>
      <c r="F68" s="64">
        <f>SUMIF(Пр.13!$C12:$C471,603,Пр.13!J12:J471)</f>
        <v>0</v>
      </c>
      <c r="G68" s="64">
        <f>SUMIF(Пр.13!$C12:$C471,603,Пр.13!K12:K471)</f>
        <v>0</v>
      </c>
      <c r="H68" s="64">
        <f>SUMIF(Пр.13!$C12:$C471,603,Пр.13!L12:L471)</f>
        <v>0</v>
      </c>
    </row>
    <row r="69" spans="1:8" ht="32.25" hidden="1" thickBot="1" x14ac:dyDescent="0.3">
      <c r="A69" s="62">
        <v>604</v>
      </c>
      <c r="B69" s="65" t="s">
        <v>253</v>
      </c>
      <c r="C69" s="64">
        <f>SUMIF(Пр.13!$C14:$C472,604,Пр.13!G14:G472)</f>
        <v>0</v>
      </c>
      <c r="D69" s="64">
        <f>SUMIF(Пр.13!$C14:$C472,604,Пр.13!H14:H472)</f>
        <v>0</v>
      </c>
      <c r="E69" s="64">
        <f>SUMIF(Пр.13!$C14:$C472,604,Пр.13!I14:I472)</f>
        <v>0</v>
      </c>
      <c r="F69" s="64">
        <f>SUMIF(Пр.13!$C14:$C472,604,Пр.13!J14:J472)</f>
        <v>0</v>
      </c>
      <c r="G69" s="64">
        <f>SUMIF(Пр.13!$C14:$C472,604,Пр.13!K14:K472)</f>
        <v>0</v>
      </c>
      <c r="H69" s="64">
        <f>SUMIF(Пр.13!$C14:$C472,604,Пр.13!L14:L472)</f>
        <v>0</v>
      </c>
    </row>
    <row r="70" spans="1:8" ht="32.25" hidden="1" thickBot="1" x14ac:dyDescent="0.3">
      <c r="A70" s="62">
        <v>605</v>
      </c>
      <c r="B70" s="65" t="s">
        <v>254</v>
      </c>
      <c r="C70" s="64">
        <f>SUMIF(Пр.13!$C15:$C473,605,Пр.13!G15:G473)</f>
        <v>0</v>
      </c>
      <c r="D70" s="64">
        <f>SUMIF(Пр.13!$C15:$C473,605,Пр.13!H15:H473)</f>
        <v>0</v>
      </c>
      <c r="E70" s="64">
        <f>SUMIF(Пр.13!$C15:$C473,605,Пр.13!I15:I473)</f>
        <v>0</v>
      </c>
      <c r="F70" s="64">
        <f>SUMIF(Пр.13!$C15:$C473,605,Пр.13!J15:J473)</f>
        <v>0</v>
      </c>
      <c r="G70" s="64">
        <f>SUMIF(Пр.13!$C15:$C473,605,Пр.13!K15:K473)</f>
        <v>0</v>
      </c>
      <c r="H70" s="64">
        <f>SUMIF(Пр.13!$C15:$C473,605,Пр.13!L15:L473)</f>
        <v>0</v>
      </c>
    </row>
    <row r="71" spans="1:8" ht="16.5" thickBot="1" x14ac:dyDescent="0.3">
      <c r="A71" s="59">
        <v>700</v>
      </c>
      <c r="B71" s="68" t="s">
        <v>255</v>
      </c>
      <c r="C71" s="61">
        <f t="shared" ref="C71:H71" si="6">SUM(C72:C80)</f>
        <v>862649813</v>
      </c>
      <c r="D71" s="61">
        <f t="shared" si="6"/>
        <v>0</v>
      </c>
      <c r="E71" s="61">
        <f t="shared" si="6"/>
        <v>862649813</v>
      </c>
      <c r="F71" s="61">
        <f t="shared" si="6"/>
        <v>725352259</v>
      </c>
      <c r="G71" s="61">
        <f t="shared" si="6"/>
        <v>0</v>
      </c>
      <c r="H71" s="61">
        <f t="shared" si="6"/>
        <v>725352259</v>
      </c>
    </row>
    <row r="72" spans="1:8" ht="16.5" thickBot="1" x14ac:dyDescent="0.3">
      <c r="A72" s="62">
        <v>701</v>
      </c>
      <c r="B72" s="65" t="s">
        <v>256</v>
      </c>
      <c r="C72" s="64">
        <f>SUMIF(Пр.13!$C10:$C507,701,Пр.13!G10:G507)</f>
        <v>365941675</v>
      </c>
      <c r="D72" s="64">
        <f>SUMIF(Пр.13!$C10:$C507,701,Пр.13!H10:H507)</f>
        <v>0</v>
      </c>
      <c r="E72" s="64">
        <f>SUMIF(Пр.13!$C10:$C507,701,Пр.13!I10:I507)</f>
        <v>365941675</v>
      </c>
      <c r="F72" s="64">
        <f>SUMIF(Пр.13!$C10:$C507,701,Пр.13!J10:J507)</f>
        <v>311620410</v>
      </c>
      <c r="G72" s="64">
        <f>SUMIF(Пр.13!$C10:$C507,701,Пр.13!K10:K507)</f>
        <v>0</v>
      </c>
      <c r="H72" s="64">
        <f>SUMIF(Пр.13!$C10:$C507,701,Пр.13!L10:L507)</f>
        <v>311620410</v>
      </c>
    </row>
    <row r="73" spans="1:8" ht="16.5" thickBot="1" x14ac:dyDescent="0.3">
      <c r="A73" s="62">
        <v>702</v>
      </c>
      <c r="B73" s="65" t="s">
        <v>257</v>
      </c>
      <c r="C73" s="64">
        <f>SUMIF(Пр.13!$C10:$C508,702,Пр.13!G10:G508)</f>
        <v>388710089</v>
      </c>
      <c r="D73" s="64">
        <f>SUMIF(Пр.13!$C10:$C508,702,Пр.13!H10:H508)</f>
        <v>0</v>
      </c>
      <c r="E73" s="64">
        <f>SUMIF(Пр.13!$C10:$C508,702,Пр.13!I10:I508)</f>
        <v>388710089</v>
      </c>
      <c r="F73" s="64">
        <f>SUMIF(Пр.13!$C10:$C508,702,Пр.13!J10:J508)</f>
        <v>352733800</v>
      </c>
      <c r="G73" s="64">
        <f>SUMIF(Пр.13!$C10:$C508,702,Пр.13!K10:K508)</f>
        <v>0</v>
      </c>
      <c r="H73" s="64">
        <f>SUMIF(Пр.13!$C10:$C508,702,Пр.13!L10:L508)</f>
        <v>352733800</v>
      </c>
    </row>
    <row r="74" spans="1:8" ht="16.5" thickBot="1" x14ac:dyDescent="0.3">
      <c r="A74" s="62">
        <v>703</v>
      </c>
      <c r="B74" s="497" t="s">
        <v>2916</v>
      </c>
      <c r="C74" s="64">
        <f>SUMIF(Пр.13!$C82:$C509,703,Пр.13!G82:G509)</f>
        <v>59000000</v>
      </c>
      <c r="D74" s="64">
        <f>SUMIF(Пр.13!$C82:$C509,703,Пр.13!H82:H509)</f>
        <v>0</v>
      </c>
      <c r="E74" s="64">
        <f>SUMIF(Пр.13!$C82:$C509,703,Пр.13!I82:I509)</f>
        <v>59000000</v>
      </c>
      <c r="F74" s="64">
        <f>SUMIF(Пр.13!$C82:$C509,703,Пр.13!J82:J509)</f>
        <v>21000000</v>
      </c>
      <c r="G74" s="64">
        <f>SUMIF(Пр.13!$C82:$C509,703,Пр.13!K82:K509)</f>
        <v>0</v>
      </c>
      <c r="H74" s="64">
        <f>SUMIF(Пр.13!$C82:$C509,703,Пр.13!L82:L509)</f>
        <v>21000000</v>
      </c>
    </row>
    <row r="75" spans="1:8" ht="16.5" hidden="1" thickBot="1" x14ac:dyDescent="0.3">
      <c r="A75" s="62">
        <v>704</v>
      </c>
      <c r="B75" s="65" t="s">
        <v>258</v>
      </c>
      <c r="C75" s="64">
        <f>SUMIF(Пр.13!$C82:$C510,304,Пр.13!G82:G510)</f>
        <v>0</v>
      </c>
      <c r="D75" s="64">
        <f>SUMIF(Пр.13!$C82:$C510,304,Пр.13!H82:H510)</f>
        <v>0</v>
      </c>
      <c r="E75" s="64">
        <f>SUMIF(Пр.13!$C82:$C510,304,Пр.13!I82:I510)</f>
        <v>0</v>
      </c>
      <c r="F75" s="64">
        <f>SUMIF(Пр.13!$C82:$C510,304,Пр.13!J82:J510)</f>
        <v>0</v>
      </c>
      <c r="G75" s="64">
        <f>SUMIF(Пр.13!$C82:$C510,304,Пр.13!K82:K510)</f>
        <v>0</v>
      </c>
      <c r="H75" s="64">
        <f>SUMIF(Пр.13!$C82:$C510,304,Пр.13!L82:L510)</f>
        <v>0</v>
      </c>
    </row>
    <row r="76" spans="1:8" ht="32.25" thickBot="1" x14ac:dyDescent="0.3">
      <c r="A76" s="62">
        <v>705</v>
      </c>
      <c r="B76" s="65" t="s">
        <v>259</v>
      </c>
      <c r="C76" s="64">
        <f>SUMIF(Пр.13!$C82:$C511,705,Пр.13!G82:G511)</f>
        <v>1247200</v>
      </c>
      <c r="D76" s="64">
        <f>SUMIF(Пр.13!$C82:$C511,705,Пр.13!H82:H511)</f>
        <v>0</v>
      </c>
      <c r="E76" s="64">
        <f>SUMIF(Пр.13!$C82:$C511,705,Пр.13!I82:I511)</f>
        <v>1247200</v>
      </c>
      <c r="F76" s="64">
        <f>SUMIF(Пр.13!$C82:$C511,705,Пр.13!J82:J511)</f>
        <v>1247200</v>
      </c>
      <c r="G76" s="64">
        <f>SUMIF(Пр.13!$C82:$C511,705,Пр.13!K82:K511)</f>
        <v>0</v>
      </c>
      <c r="H76" s="64">
        <f>SUMIF(Пр.13!$C82:$C511,705,Пр.13!L82:L511)</f>
        <v>1247200</v>
      </c>
    </row>
    <row r="77" spans="1:8" ht="32.25" hidden="1" thickBot="1" x14ac:dyDescent="0.3">
      <c r="A77" s="69">
        <v>706</v>
      </c>
      <c r="B77" s="70" t="s">
        <v>260</v>
      </c>
      <c r="C77" s="64">
        <f>SUMIF(Пр.13!$C15:$C474,706,Пр.13!F15:F474)</f>
        <v>0</v>
      </c>
      <c r="D77" s="64">
        <f>SUMIF(Пр.13!$C15:$C474,706,Пр.13!G15:G474)</f>
        <v>0</v>
      </c>
      <c r="E77" s="64">
        <f>SUMIF(Пр.13!$C15:$C474,706,Пр.13!H15:H474)</f>
        <v>0</v>
      </c>
      <c r="F77" s="64">
        <f>SUMIF(Пр.13!$C15:$C474,706,Пр.13!I15:I474)</f>
        <v>0</v>
      </c>
      <c r="G77" s="64">
        <f>SUMIF(Пр.13!$C15:$C474,706,Пр.13!J15:J474)</f>
        <v>0</v>
      </c>
      <c r="H77" s="64">
        <f>SUMIF(Пр.13!$C15:$C474,706,Пр.13!K15:K474)</f>
        <v>0</v>
      </c>
    </row>
    <row r="78" spans="1:8" ht="16.5" thickBot="1" x14ac:dyDescent="0.3">
      <c r="A78" s="62">
        <v>707</v>
      </c>
      <c r="B78" s="497" t="s">
        <v>2918</v>
      </c>
      <c r="C78" s="64">
        <f>SUMIF(Пр.13!$C10:$C513,707,Пр.13!G10:G513)</f>
        <v>11396850</v>
      </c>
      <c r="D78" s="64">
        <f>SUMIF(Пр.13!$C10:$C513,707,Пр.13!H10:H513)</f>
        <v>0</v>
      </c>
      <c r="E78" s="64">
        <f>SUMIF(Пр.13!$C10:$C513,707,Пр.13!I10:I513)</f>
        <v>11396850</v>
      </c>
      <c r="F78" s="64">
        <f>SUMIF(Пр.13!$C10:$C513,707,Пр.13!J10:J513)</f>
        <v>7396850</v>
      </c>
      <c r="G78" s="64">
        <f>SUMIF(Пр.13!$C10:$C513,707,Пр.13!K10:K513)</f>
        <v>0</v>
      </c>
      <c r="H78" s="64">
        <f>SUMIF(Пр.13!$C10:$C513,707,Пр.13!L10:L513)</f>
        <v>7396850</v>
      </c>
    </row>
    <row r="79" spans="1:8" ht="32.25" hidden="1" thickBot="1" x14ac:dyDescent="0.3">
      <c r="A79" s="62">
        <v>708</v>
      </c>
      <c r="B79" s="65" t="s">
        <v>261</v>
      </c>
      <c r="C79" s="64">
        <f>SUMIF(Пр.13!$C17:$C476,7081,Пр.13!F17:F476)</f>
        <v>0</v>
      </c>
      <c r="D79" s="64">
        <f>SUMIF(Пр.13!$C17:$C476,7081,Пр.13!G17:G476)</f>
        <v>0</v>
      </c>
      <c r="E79" s="64">
        <f>SUMIF(Пр.13!$C17:$C476,7081,Пр.13!H17:H476)</f>
        <v>0</v>
      </c>
      <c r="F79" s="64">
        <f>SUMIF(Пр.13!$C17:$C476,7081,Пр.13!I17:I476)</f>
        <v>0</v>
      </c>
      <c r="G79" s="64">
        <f>SUMIF(Пр.13!$C17:$C476,7081,Пр.13!J17:J476)</f>
        <v>0</v>
      </c>
      <c r="H79" s="64">
        <f>SUMIF(Пр.13!$C17:$C476,7081,Пр.13!K17:K476)</f>
        <v>0</v>
      </c>
    </row>
    <row r="80" spans="1:8" ht="16.5" thickBot="1" x14ac:dyDescent="0.3">
      <c r="A80" s="62">
        <v>709</v>
      </c>
      <c r="B80" s="65" t="s">
        <v>262</v>
      </c>
      <c r="C80" s="64">
        <f>SUMIF(Пр.13!$C10:$C515,709,Пр.13!G10:G515)</f>
        <v>36353999</v>
      </c>
      <c r="D80" s="64">
        <f>SUMIF(Пр.13!$C10:$C515,709,Пр.13!H10:H515)</f>
        <v>0</v>
      </c>
      <c r="E80" s="64">
        <f>SUMIF(Пр.13!$C10:$C515,709,Пр.13!I10:I515)</f>
        <v>36353999</v>
      </c>
      <c r="F80" s="64">
        <f>SUMIF(Пр.13!$C10:$C515,709,Пр.13!J10:J515)</f>
        <v>31353999</v>
      </c>
      <c r="G80" s="64">
        <f>SUMIF(Пр.13!$C10:$C515,709,Пр.13!K10:K515)</f>
        <v>0</v>
      </c>
      <c r="H80" s="64">
        <f>SUMIF(Пр.13!$C10:$C515,709,Пр.13!L10:L515)</f>
        <v>31353999</v>
      </c>
    </row>
    <row r="81" spans="1:8" ht="16.5" thickBot="1" x14ac:dyDescent="0.3">
      <c r="A81" s="59">
        <v>800</v>
      </c>
      <c r="B81" s="68" t="s">
        <v>263</v>
      </c>
      <c r="C81" s="61">
        <f t="shared" ref="C81:H81" si="7">SUM(C82:C85)</f>
        <v>86274673</v>
      </c>
      <c r="D81" s="61">
        <f t="shared" si="7"/>
        <v>0</v>
      </c>
      <c r="E81" s="61">
        <f t="shared" si="7"/>
        <v>86274673</v>
      </c>
      <c r="F81" s="61">
        <f t="shared" si="7"/>
        <v>49274673</v>
      </c>
      <c r="G81" s="61">
        <f t="shared" si="7"/>
        <v>0</v>
      </c>
      <c r="H81" s="61">
        <f t="shared" si="7"/>
        <v>49274673</v>
      </c>
    </row>
    <row r="82" spans="1:8" ht="16.5" thickBot="1" x14ac:dyDescent="0.3">
      <c r="A82" s="62">
        <v>801</v>
      </c>
      <c r="B82" s="65" t="s">
        <v>264</v>
      </c>
      <c r="C82" s="64">
        <f>SUMIF(Пр.13!$C10:$C467,801,Пр.13!G10:G467)</f>
        <v>58000000</v>
      </c>
      <c r="D82" s="64">
        <f>SUMIF(Пр.13!$C10:$C467,801,Пр.13!H10:H467)</f>
        <v>0</v>
      </c>
      <c r="E82" s="64">
        <f>SUMIF(Пр.13!$C10:$C467,801,Пр.13!I10:I467)</f>
        <v>58000000</v>
      </c>
      <c r="F82" s="64">
        <f>SUMIF(Пр.13!$C10:$C467,801,Пр.13!J10:J467)</f>
        <v>21000000</v>
      </c>
      <c r="G82" s="64">
        <f>SUMIF(Пр.13!$C10:$C467,801,Пр.13!K10:K467)</f>
        <v>0</v>
      </c>
      <c r="H82" s="64">
        <f>SUMIF(Пр.13!$C10:$C467,801,Пр.13!L10:L467)</f>
        <v>21000000</v>
      </c>
    </row>
    <row r="83" spans="1:8" ht="16.5" hidden="1" thickBot="1" x14ac:dyDescent="0.3">
      <c r="A83" s="62">
        <v>802</v>
      </c>
      <c r="B83" s="65" t="s">
        <v>265</v>
      </c>
      <c r="C83" s="64">
        <f>SUMIF(Пр.13!$C11:$C467,802,Пр.13!G11:G467)</f>
        <v>0</v>
      </c>
      <c r="D83" s="64">
        <f>SUMIF(Пр.13!$C11:$C467,802,Пр.13!H11:H467)</f>
        <v>0</v>
      </c>
      <c r="E83" s="64">
        <f>SUMIF(Пр.13!$C11:$C467,802,Пр.13!I11:I467)</f>
        <v>0</v>
      </c>
      <c r="F83" s="64">
        <f>SUMIF(Пр.13!$C11:$C467,802,Пр.13!J11:J467)</f>
        <v>0</v>
      </c>
      <c r="G83" s="64">
        <f>SUMIF(Пр.13!$C11:$C467,802,Пр.13!K11:K467)</f>
        <v>0</v>
      </c>
      <c r="H83" s="64">
        <f>SUMIF(Пр.13!$C11:$C467,802,Пр.13!L11:L467)</f>
        <v>0</v>
      </c>
    </row>
    <row r="84" spans="1:8" ht="32.25" hidden="1" thickBot="1" x14ac:dyDescent="0.3">
      <c r="A84" s="62">
        <v>803</v>
      </c>
      <c r="B84" s="65" t="s">
        <v>266</v>
      </c>
      <c r="C84" s="64">
        <f>SUMIF(Пр.13!$C12:$C471,803,Пр.13!G12:G471)</f>
        <v>0</v>
      </c>
      <c r="D84" s="64">
        <f>SUMIF(Пр.13!$C12:$C471,803,Пр.13!H12:H471)</f>
        <v>0</v>
      </c>
      <c r="E84" s="64">
        <f>SUMIF(Пр.13!$C12:$C471,803,Пр.13!I12:I471)</f>
        <v>0</v>
      </c>
      <c r="F84" s="64">
        <f>SUMIF(Пр.13!$C12:$C471,803,Пр.13!J12:J471)</f>
        <v>0</v>
      </c>
      <c r="G84" s="64">
        <f>SUMIF(Пр.13!$C12:$C471,803,Пр.13!K12:K471)</f>
        <v>0</v>
      </c>
      <c r="H84" s="64">
        <f>SUMIF(Пр.13!$C12:$C471,803,Пр.13!L12:L471)</f>
        <v>0</v>
      </c>
    </row>
    <row r="85" spans="1:8" ht="32.25" thickBot="1" x14ac:dyDescent="0.3">
      <c r="A85" s="62">
        <v>804</v>
      </c>
      <c r="B85" s="65" t="s">
        <v>267</v>
      </c>
      <c r="C85" s="64">
        <f>SUMIF(Пр.13!$C14:$C472,804,Пр.13!G14:G472)</f>
        <v>28274673</v>
      </c>
      <c r="D85" s="64">
        <f>SUMIF(Пр.13!$C14:$C472,804,Пр.13!H14:H472)</f>
        <v>0</v>
      </c>
      <c r="E85" s="64">
        <f>SUMIF(Пр.13!$C14:$C472,804,Пр.13!I14:I472)</f>
        <v>28274673</v>
      </c>
      <c r="F85" s="64">
        <f>SUMIF(Пр.13!$C14:$C472,804,Пр.13!J14:J472)</f>
        <v>28274673</v>
      </c>
      <c r="G85" s="64">
        <f>SUMIF(Пр.13!$C14:$C472,804,Пр.13!K14:K472)</f>
        <v>0</v>
      </c>
      <c r="H85" s="64">
        <f>SUMIF(Пр.13!$C14:$C472,804,Пр.13!L14:L472)</f>
        <v>28274673</v>
      </c>
    </row>
    <row r="86" spans="1:8" ht="16.5" hidden="1" thickBot="1" x14ac:dyDescent="0.3">
      <c r="A86" s="59">
        <v>900</v>
      </c>
      <c r="B86" s="68" t="s">
        <v>268</v>
      </c>
      <c r="C86" s="61">
        <f t="shared" ref="C86:H86" si="8">SUM(C87:C95)</f>
        <v>0</v>
      </c>
      <c r="D86" s="61">
        <f t="shared" si="8"/>
        <v>0</v>
      </c>
      <c r="E86" s="61">
        <f t="shared" si="8"/>
        <v>0</v>
      </c>
      <c r="F86" s="61">
        <f t="shared" si="8"/>
        <v>0</v>
      </c>
      <c r="G86" s="61">
        <f t="shared" si="8"/>
        <v>0</v>
      </c>
      <c r="H86" s="61">
        <f t="shared" si="8"/>
        <v>0</v>
      </c>
    </row>
    <row r="87" spans="1:8" ht="16.5" hidden="1" thickBot="1" x14ac:dyDescent="0.3">
      <c r="A87" s="62">
        <v>901</v>
      </c>
      <c r="B87" s="65" t="s">
        <v>269</v>
      </c>
      <c r="C87" s="64">
        <f>SUMIF(Пр.13!$C10:$C467,901,Пр.13!G10:G467)</f>
        <v>0</v>
      </c>
      <c r="D87" s="64">
        <f>SUMIF(Пр.13!$C10:$C467,901,Пр.13!H10:H467)</f>
        <v>0</v>
      </c>
      <c r="E87" s="64">
        <f>SUMIF(Пр.13!$C10:$C467,901,Пр.13!I10:I467)</f>
        <v>0</v>
      </c>
      <c r="F87" s="64">
        <f>SUMIF(Пр.13!$C10:$C467,901,Пр.13!J10:J467)</f>
        <v>0</v>
      </c>
      <c r="G87" s="64">
        <f>SUMIF(Пр.13!$C10:$C467,901,Пр.13!K10:K467)</f>
        <v>0</v>
      </c>
      <c r="H87" s="64">
        <f>SUMIF(Пр.13!$C10:$C467,901,Пр.13!L10:L467)</f>
        <v>0</v>
      </c>
    </row>
    <row r="88" spans="1:8" ht="16.5" hidden="1" thickBot="1" x14ac:dyDescent="0.3">
      <c r="A88" s="62">
        <v>902</v>
      </c>
      <c r="B88" s="65" t="s">
        <v>270</v>
      </c>
      <c r="C88" s="64">
        <f>SUMIF(Пр.13!$C11:$C467,902,Пр.13!G11:G467)</f>
        <v>0</v>
      </c>
      <c r="D88" s="64">
        <f>SUMIF(Пр.13!$C11:$C467,902,Пр.13!H11:H467)</f>
        <v>0</v>
      </c>
      <c r="E88" s="64">
        <f>SUMIF(Пр.13!$C11:$C467,902,Пр.13!I11:I467)</f>
        <v>0</v>
      </c>
      <c r="F88" s="64">
        <f>SUMIF(Пр.13!$C11:$C467,902,Пр.13!J11:J467)</f>
        <v>0</v>
      </c>
      <c r="G88" s="64">
        <f>SUMIF(Пр.13!$C11:$C467,902,Пр.13!K11:K467)</f>
        <v>0</v>
      </c>
      <c r="H88" s="64">
        <f>SUMIF(Пр.13!$C11:$C467,902,Пр.13!L11:L467)</f>
        <v>0</v>
      </c>
    </row>
    <row r="89" spans="1:8" ht="32.25" hidden="1" thickBot="1" x14ac:dyDescent="0.3">
      <c r="A89" s="62">
        <v>903</v>
      </c>
      <c r="B89" s="65" t="s">
        <v>271</v>
      </c>
      <c r="C89" s="64">
        <f>SUMIF(Пр.13!$C12:$C471,903,Пр.13!G12:G471)</f>
        <v>0</v>
      </c>
      <c r="D89" s="64">
        <f>SUMIF(Пр.13!$C12:$C471,903,Пр.13!H12:H471)</f>
        <v>0</v>
      </c>
      <c r="E89" s="64">
        <f>SUMIF(Пр.13!$C12:$C471,903,Пр.13!I12:I471)</f>
        <v>0</v>
      </c>
      <c r="F89" s="64">
        <f>SUMIF(Пр.13!$C12:$C471,903,Пр.13!J12:J471)</f>
        <v>0</v>
      </c>
      <c r="G89" s="64">
        <f>SUMIF(Пр.13!$C12:$C471,903,Пр.13!K12:K471)</f>
        <v>0</v>
      </c>
      <c r="H89" s="64">
        <f>SUMIF(Пр.13!$C12:$C471,903,Пр.13!L12:L471)</f>
        <v>0</v>
      </c>
    </row>
    <row r="90" spans="1:8" ht="16.5" hidden="1" thickBot="1" x14ac:dyDescent="0.3">
      <c r="A90" s="62">
        <v>904</v>
      </c>
      <c r="B90" s="65" t="s">
        <v>272</v>
      </c>
      <c r="C90" s="64">
        <f>SUMIF(Пр.13!$C14:$C472,904,Пр.13!G14:G472)</f>
        <v>0</v>
      </c>
      <c r="D90" s="64">
        <f>SUMIF(Пр.13!$C14:$C472,904,Пр.13!H14:H472)</f>
        <v>0</v>
      </c>
      <c r="E90" s="64">
        <f>SUMIF(Пр.13!$C14:$C472,904,Пр.13!I14:I472)</f>
        <v>0</v>
      </c>
      <c r="F90" s="64">
        <f>SUMIF(Пр.13!$C14:$C472,904,Пр.13!J14:J472)</f>
        <v>0</v>
      </c>
      <c r="G90" s="64">
        <f>SUMIF(Пр.13!$C14:$C472,904,Пр.13!K14:K472)</f>
        <v>0</v>
      </c>
      <c r="H90" s="64">
        <f>SUMIF(Пр.13!$C14:$C472,904,Пр.13!L14:L472)</f>
        <v>0</v>
      </c>
    </row>
    <row r="91" spans="1:8" ht="16.5" hidden="1" thickBot="1" x14ac:dyDescent="0.3">
      <c r="A91" s="62">
        <v>905</v>
      </c>
      <c r="B91" s="71" t="s">
        <v>273</v>
      </c>
      <c r="C91" s="64">
        <f>SUMIF(Пр.13!$C15:$C473,905,Пр.13!G15:G473)</f>
        <v>0</v>
      </c>
      <c r="D91" s="64">
        <f>SUMIF(Пр.13!$C15:$C473,905,Пр.13!H15:H473)</f>
        <v>0</v>
      </c>
      <c r="E91" s="64">
        <f>SUMIF(Пр.13!$C15:$C473,905,Пр.13!I15:I473)</f>
        <v>0</v>
      </c>
      <c r="F91" s="64">
        <f>SUMIF(Пр.13!$C15:$C473,905,Пр.13!J15:J473)</f>
        <v>0</v>
      </c>
      <c r="G91" s="64">
        <f>SUMIF(Пр.13!$C15:$C473,905,Пр.13!K15:K473)</f>
        <v>0</v>
      </c>
      <c r="H91" s="64">
        <f>SUMIF(Пр.13!$C15:$C473,905,Пр.13!L15:L473)</f>
        <v>0</v>
      </c>
    </row>
    <row r="92" spans="1:8" ht="32.25" hidden="1" thickBot="1" x14ac:dyDescent="0.3">
      <c r="A92" s="62">
        <v>906</v>
      </c>
      <c r="B92" s="71" t="s">
        <v>274</v>
      </c>
      <c r="C92" s="64">
        <f>SUMIF(Пр.13!$C15:$C474,906,Пр.13!F15:F474)</f>
        <v>0</v>
      </c>
      <c r="D92" s="64">
        <f>SUMIF(Пр.13!$C15:$C474,906,Пр.13!G15:G474)</f>
        <v>0</v>
      </c>
      <c r="E92" s="64">
        <f>SUMIF(Пр.13!$C15:$C474,906,Пр.13!H15:H474)</f>
        <v>0</v>
      </c>
      <c r="F92" s="64">
        <f>SUMIF(Пр.13!$C15:$C474,906,Пр.13!I15:I474)</f>
        <v>0</v>
      </c>
      <c r="G92" s="64">
        <f>SUMIF(Пр.13!$C15:$C474,906,Пр.13!J15:J474)</f>
        <v>0</v>
      </c>
      <c r="H92" s="64">
        <f>SUMIF(Пр.13!$C15:$C474,906,Пр.13!K15:K474)</f>
        <v>0</v>
      </c>
    </row>
    <row r="93" spans="1:8" ht="16.5" hidden="1" thickBot="1" x14ac:dyDescent="0.3">
      <c r="A93" s="62">
        <v>907</v>
      </c>
      <c r="B93" s="65" t="s">
        <v>275</v>
      </c>
      <c r="C93" s="64">
        <f>SUMIF(Пр.13!$C16:$C475,907,Пр.13!F16:F475)</f>
        <v>0</v>
      </c>
      <c r="D93" s="64">
        <f>SUMIF(Пр.13!$C16:$C475,907,Пр.13!G16:G475)</f>
        <v>0</v>
      </c>
      <c r="E93" s="64">
        <f>SUMIF(Пр.13!$C16:$C475,907,Пр.13!H16:H475)</f>
        <v>0</v>
      </c>
      <c r="F93" s="64">
        <f>SUMIF(Пр.13!$C16:$C475,907,Пр.13!I16:I475)</f>
        <v>0</v>
      </c>
      <c r="G93" s="64">
        <f>SUMIF(Пр.13!$C16:$C475,907,Пр.13!J16:J475)</f>
        <v>0</v>
      </c>
      <c r="H93" s="64">
        <f>SUMIF(Пр.13!$C16:$C475,907,Пр.13!K16:K475)</f>
        <v>0</v>
      </c>
    </row>
    <row r="94" spans="1:8" ht="32.25" hidden="1" thickBot="1" x14ac:dyDescent="0.3">
      <c r="A94" s="62">
        <v>908</v>
      </c>
      <c r="B94" s="63" t="s">
        <v>276</v>
      </c>
      <c r="C94" s="64">
        <f>SUMIF(Пр.13!$C17:$C476,908,Пр.13!F17:F476)</f>
        <v>0</v>
      </c>
      <c r="D94" s="64">
        <f>SUMIF(Пр.13!$C17:$C476,908,Пр.13!G17:G476)</f>
        <v>0</v>
      </c>
      <c r="E94" s="64">
        <f>SUMIF(Пр.13!$C17:$C476,908,Пр.13!H17:H476)</f>
        <v>0</v>
      </c>
      <c r="F94" s="64">
        <f>SUMIF(Пр.13!$C17:$C476,908,Пр.13!I17:I476)</f>
        <v>0</v>
      </c>
      <c r="G94" s="64">
        <f>SUMIF(Пр.13!$C17:$C476,908,Пр.13!J17:J476)</f>
        <v>0</v>
      </c>
      <c r="H94" s="64">
        <f>SUMIF(Пр.13!$C17:$C476,908,Пр.13!K17:K476)</f>
        <v>0</v>
      </c>
    </row>
    <row r="95" spans="1:8" ht="16.5" hidden="1" thickBot="1" x14ac:dyDescent="0.3">
      <c r="A95" s="62">
        <v>909</v>
      </c>
      <c r="B95" s="65" t="s">
        <v>277</v>
      </c>
      <c r="C95" s="64">
        <f>SUMIF(Пр.13!$C18:$C477,909,Пр.13!F18:F477)</f>
        <v>0</v>
      </c>
      <c r="D95" s="64">
        <f>SUMIF(Пр.13!$C18:$C477,909,Пр.13!G18:G477)</f>
        <v>0</v>
      </c>
      <c r="E95" s="64">
        <f>SUMIF(Пр.13!$C18:$C477,909,Пр.13!H18:H477)</f>
        <v>0</v>
      </c>
      <c r="F95" s="64">
        <f>SUMIF(Пр.13!$C18:$C477,909,Пр.13!I18:I477)</f>
        <v>0</v>
      </c>
      <c r="G95" s="64">
        <f>SUMIF(Пр.13!$C18:$C477,909,Пр.13!J18:J477)</f>
        <v>0</v>
      </c>
      <c r="H95" s="64">
        <f>SUMIF(Пр.13!$C18:$C477,909,Пр.13!K18:K477)</f>
        <v>0</v>
      </c>
    </row>
    <row r="96" spans="1:8" ht="16.5" thickBot="1" x14ac:dyDescent="0.3">
      <c r="A96" s="59">
        <v>1000</v>
      </c>
      <c r="B96" s="68" t="s">
        <v>278</v>
      </c>
      <c r="C96" s="61">
        <f t="shared" ref="C96:H96" si="9">SUM(C97:C102)</f>
        <v>418340220</v>
      </c>
      <c r="D96" s="61">
        <f t="shared" si="9"/>
        <v>0</v>
      </c>
      <c r="E96" s="61">
        <f t="shared" si="9"/>
        <v>418340220</v>
      </c>
      <c r="F96" s="61">
        <f t="shared" si="9"/>
        <v>419541389</v>
      </c>
      <c r="G96" s="61">
        <f t="shared" si="9"/>
        <v>0</v>
      </c>
      <c r="H96" s="61">
        <f t="shared" si="9"/>
        <v>419541389</v>
      </c>
    </row>
    <row r="97" spans="1:8" ht="16.5" thickBot="1" x14ac:dyDescent="0.3">
      <c r="A97" s="62">
        <v>1001</v>
      </c>
      <c r="B97" s="65" t="s">
        <v>279</v>
      </c>
      <c r="C97" s="64">
        <f>SUMIF(Пр.13!$C10:$C467,1001,Пр.13!G10:G467)</f>
        <v>4445700</v>
      </c>
      <c r="D97" s="64">
        <f>SUMIF(Пр.13!$C10:$C467,1001,Пр.13!H10:H467)</f>
        <v>0</v>
      </c>
      <c r="E97" s="64">
        <f>SUMIF(Пр.13!$C10:$C467,1001,Пр.13!I10:I467)</f>
        <v>4445700</v>
      </c>
      <c r="F97" s="64">
        <f>SUMIF(Пр.13!$C10:$C467,1001,Пр.13!J10:J467)</f>
        <v>4445700</v>
      </c>
      <c r="G97" s="64">
        <f>SUMIF(Пр.13!$C10:$C467,1001,Пр.13!K10:K467)</f>
        <v>0</v>
      </c>
      <c r="H97" s="64">
        <f>SUMIF(Пр.13!$C10:$C467,1001,Пр.13!L10:L467)</f>
        <v>4445700</v>
      </c>
    </row>
    <row r="98" spans="1:8" ht="16.5" thickBot="1" x14ac:dyDescent="0.3">
      <c r="A98" s="62">
        <v>1002</v>
      </c>
      <c r="B98" s="65" t="s">
        <v>280</v>
      </c>
      <c r="C98" s="64">
        <f>SUMIF(Пр.13!$C11:$C467,1002,Пр.13!G11:G467)</f>
        <v>63968211</v>
      </c>
      <c r="D98" s="64">
        <f>SUMIF(Пр.13!$C11:$C467,1002,Пр.13!H11:H467)</f>
        <v>0</v>
      </c>
      <c r="E98" s="64">
        <f>SUMIF(Пр.13!$C11:$C467,1002,Пр.13!I11:I467)</f>
        <v>63968211</v>
      </c>
      <c r="F98" s="64">
        <f>SUMIF(Пр.13!$C11:$C467,1002,Пр.13!J11:J467)</f>
        <v>63968211</v>
      </c>
      <c r="G98" s="64">
        <f>SUMIF(Пр.13!$C11:$C467,1002,Пр.13!K11:K467)</f>
        <v>0</v>
      </c>
      <c r="H98" s="64">
        <f>SUMIF(Пр.13!$C11:$C467,1002,Пр.13!L11:L467)</f>
        <v>63968211</v>
      </c>
    </row>
    <row r="99" spans="1:8" ht="16.5" thickBot="1" x14ac:dyDescent="0.3">
      <c r="A99" s="62">
        <v>1003</v>
      </c>
      <c r="B99" s="65" t="s">
        <v>281</v>
      </c>
      <c r="C99" s="64">
        <f>SUMIF(Пр.13!$C12:$C471,1003,Пр.13!G12:G471)</f>
        <v>236230992</v>
      </c>
      <c r="D99" s="64">
        <f>SUMIF(Пр.13!$C12:$C471,1003,Пр.13!H12:H471)</f>
        <v>0</v>
      </c>
      <c r="E99" s="64">
        <f>SUMIF(Пр.13!$C12:$C471,1003,Пр.13!I12:I471)</f>
        <v>236230992</v>
      </c>
      <c r="F99" s="64">
        <f>SUMIF(Пр.13!$C12:$C471,1003,Пр.13!J12:J471)</f>
        <v>236524992</v>
      </c>
      <c r="G99" s="64">
        <f>SUMIF(Пр.13!$C12:$C471,1003,Пр.13!K12:K471)</f>
        <v>0</v>
      </c>
      <c r="H99" s="64">
        <f>SUMIF(Пр.13!$C12:$C471,1003,Пр.13!L12:L471)</f>
        <v>236524992</v>
      </c>
    </row>
    <row r="100" spans="1:8" ht="16.5" thickBot="1" x14ac:dyDescent="0.3">
      <c r="A100" s="62">
        <v>1004</v>
      </c>
      <c r="B100" s="63" t="s">
        <v>282</v>
      </c>
      <c r="C100" s="64">
        <f>SUMIF(Пр.13!$C14:$C472,1004,Пр.13!G14:G472)</f>
        <v>99935617</v>
      </c>
      <c r="D100" s="64">
        <f>SUMIF(Пр.13!$C14:$C472,1004,Пр.13!H14:H472)</f>
        <v>0</v>
      </c>
      <c r="E100" s="64">
        <f>SUMIF(Пр.13!$C14:$C472,1004,Пр.13!I14:I472)</f>
        <v>99935617</v>
      </c>
      <c r="F100" s="64">
        <f>SUMIF(Пр.13!$C14:$C472,1004,Пр.13!J14:J472)</f>
        <v>100842786</v>
      </c>
      <c r="G100" s="64">
        <f>SUMIF(Пр.13!$C14:$C472,1004,Пр.13!K14:K472)</f>
        <v>0</v>
      </c>
      <c r="H100" s="64">
        <f>SUMIF(Пр.13!$C14:$C472,1004,Пр.13!L14:L472)</f>
        <v>100842786</v>
      </c>
    </row>
    <row r="101" spans="1:8" ht="32.25" hidden="1" thickBot="1" x14ac:dyDescent="0.3">
      <c r="A101" s="62">
        <v>1005</v>
      </c>
      <c r="B101" s="65" t="s">
        <v>283</v>
      </c>
      <c r="C101" s="64">
        <f>SUMIF(Пр.13!$C15:$C473,1005,Пр.13!G15:G473)</f>
        <v>0</v>
      </c>
      <c r="D101" s="64">
        <f>SUMIF(Пр.13!$C15:$C473,1005,Пр.13!H15:H473)</f>
        <v>0</v>
      </c>
      <c r="E101" s="64">
        <f>SUMIF(Пр.13!$C15:$C473,1005,Пр.13!I15:I473)</f>
        <v>0</v>
      </c>
      <c r="F101" s="64">
        <f>SUMIF(Пр.13!$C15:$C473,1005,Пр.13!J15:J473)</f>
        <v>0</v>
      </c>
      <c r="G101" s="64">
        <f>SUMIF(Пр.13!$C15:$C473,1005,Пр.13!K15:K473)</f>
        <v>0</v>
      </c>
      <c r="H101" s="64">
        <f>SUMIF(Пр.13!$C15:$C473,1005,Пр.13!L15:L473)</f>
        <v>0</v>
      </c>
    </row>
    <row r="102" spans="1:8" ht="16.5" thickBot="1" x14ac:dyDescent="0.3">
      <c r="A102" s="62">
        <v>1006</v>
      </c>
      <c r="B102" s="65" t="s">
        <v>284</v>
      </c>
      <c r="C102" s="64">
        <f>SUMIF(Пр.13!$C16:$C474,1006,Пр.13!G16:G474)</f>
        <v>13759700</v>
      </c>
      <c r="D102" s="64">
        <f>SUMIF(Пр.13!$C16:$C474,1006,Пр.13!H16:H474)</f>
        <v>0</v>
      </c>
      <c r="E102" s="64">
        <f>SUMIF(Пр.13!$C16:$C474,1006,Пр.13!I16:I474)</f>
        <v>13759700</v>
      </c>
      <c r="F102" s="64">
        <f>SUMIF(Пр.13!$C16:$C474,1006,Пр.13!J16:J474)</f>
        <v>13759700</v>
      </c>
      <c r="G102" s="64">
        <f>SUMIF(Пр.13!$C16:$C474,1006,Пр.13!K16:K474)</f>
        <v>0</v>
      </c>
      <c r="H102" s="64">
        <f>SUMIF(Пр.13!$C16:$C474,1006,Пр.13!L16:L474)</f>
        <v>13759700</v>
      </c>
    </row>
    <row r="103" spans="1:8" ht="16.5" thickBot="1" x14ac:dyDescent="0.3">
      <c r="A103" s="59">
        <v>1100</v>
      </c>
      <c r="B103" s="68" t="s">
        <v>285</v>
      </c>
      <c r="C103" s="61">
        <f t="shared" ref="C103:H103" si="10">SUM(C104:C108)</f>
        <v>30000000</v>
      </c>
      <c r="D103" s="61">
        <f t="shared" si="10"/>
        <v>0</v>
      </c>
      <c r="E103" s="61">
        <f t="shared" si="10"/>
        <v>30000000</v>
      </c>
      <c r="F103" s="61">
        <f t="shared" si="10"/>
        <v>13278841</v>
      </c>
      <c r="G103" s="61">
        <f t="shared" si="10"/>
        <v>0</v>
      </c>
      <c r="H103" s="61">
        <f t="shared" si="10"/>
        <v>13278841</v>
      </c>
    </row>
    <row r="104" spans="1:8" ht="16.5" hidden="1" thickBot="1" x14ac:dyDescent="0.3">
      <c r="A104" s="62">
        <v>1101</v>
      </c>
      <c r="B104" s="65" t="s">
        <v>286</v>
      </c>
      <c r="C104" s="64">
        <f>SUMIF(Пр.13!$C10:$C467,1101,Пр.13!G10:G467)</f>
        <v>0</v>
      </c>
      <c r="D104" s="64">
        <f>SUMIF(Пр.13!$C10:$C467,1101,Пр.13!H10:H467)</f>
        <v>0</v>
      </c>
      <c r="E104" s="64">
        <f>SUMIF(Пр.13!$C10:$C467,1101,Пр.13!I10:I467)</f>
        <v>0</v>
      </c>
      <c r="F104" s="64">
        <f>SUMIF(Пр.13!$C10:$C467,1101,Пр.13!J10:J467)</f>
        <v>0</v>
      </c>
      <c r="G104" s="64">
        <f>SUMIF(Пр.13!$C10:$C467,1101,Пр.13!K10:K467)</f>
        <v>0</v>
      </c>
      <c r="H104" s="64">
        <f>SUMIF(Пр.13!$C10:$C467,1101,Пр.13!L10:L467)</f>
        <v>0</v>
      </c>
    </row>
    <row r="105" spans="1:8" ht="16.5" thickBot="1" x14ac:dyDescent="0.3">
      <c r="A105" s="62">
        <v>1102</v>
      </c>
      <c r="B105" s="71" t="s">
        <v>287</v>
      </c>
      <c r="C105" s="64">
        <f>SUMIF(Пр.13!$C11:$C467,1102,Пр.13!G11:G467)</f>
        <v>30000000</v>
      </c>
      <c r="D105" s="64">
        <f>SUMIF(Пр.13!$C11:$C467,1102,Пр.13!H11:H467)</f>
        <v>0</v>
      </c>
      <c r="E105" s="64">
        <f>SUMIF(Пр.13!$C11:$C467,1102,Пр.13!I11:I467)</f>
        <v>30000000</v>
      </c>
      <c r="F105" s="64">
        <f>SUMIF(Пр.13!$C11:$C467,1102,Пр.13!J11:J467)</f>
        <v>13278841</v>
      </c>
      <c r="G105" s="64">
        <f>SUMIF(Пр.13!$C11:$C467,1102,Пр.13!K11:K467)</f>
        <v>0</v>
      </c>
      <c r="H105" s="64">
        <f>SUMIF(Пр.13!$C11:$C467,1102,Пр.13!L11:L467)</f>
        <v>13278841</v>
      </c>
    </row>
    <row r="106" spans="1:8" ht="16.5" hidden="1" thickBot="1" x14ac:dyDescent="0.3">
      <c r="A106" s="62">
        <v>1103</v>
      </c>
      <c r="B106" s="65" t="s">
        <v>288</v>
      </c>
      <c r="C106" s="64">
        <f>SUMIF(Пр.13!$C12:$C471,1103,Пр.13!G12:G471)</f>
        <v>0</v>
      </c>
      <c r="D106" s="64">
        <f>SUMIF(Пр.13!$C12:$C471,1103,Пр.13!H12:H471)</f>
        <v>0</v>
      </c>
      <c r="E106" s="64">
        <f>SUMIF(Пр.13!$C12:$C471,1103,Пр.13!I12:I471)</f>
        <v>0</v>
      </c>
      <c r="F106" s="64">
        <f>SUMIF(Пр.13!$C12:$C471,1103,Пр.13!J12:J471)</f>
        <v>0</v>
      </c>
      <c r="G106" s="64">
        <f>SUMIF(Пр.13!$C12:$C471,1103,Пр.13!K12:K471)</f>
        <v>0</v>
      </c>
      <c r="H106" s="64">
        <f>SUMIF(Пр.13!$C12:$C471,1103,Пр.13!L12:L471)</f>
        <v>0</v>
      </c>
    </row>
    <row r="107" spans="1:8" ht="32.25" hidden="1" thickBot="1" x14ac:dyDescent="0.3">
      <c r="A107" s="62">
        <v>1104</v>
      </c>
      <c r="B107" s="65" t="s">
        <v>289</v>
      </c>
      <c r="C107" s="64">
        <f>SUMIF(Пр.13!$C14:$C472,1104,Пр.13!G14:G472)</f>
        <v>0</v>
      </c>
      <c r="D107" s="64">
        <f>SUMIF(Пр.13!$C14:$C472,1104,Пр.13!H14:H472)</f>
        <v>0</v>
      </c>
      <c r="E107" s="64">
        <f>SUMIF(Пр.13!$C14:$C472,1104,Пр.13!I14:I472)</f>
        <v>0</v>
      </c>
      <c r="F107" s="64">
        <f>SUMIF(Пр.13!$C14:$C472,1104,Пр.13!J14:J472)</f>
        <v>0</v>
      </c>
      <c r="G107" s="64">
        <f>SUMIF(Пр.13!$C14:$C472,1104,Пр.13!K14:K472)</f>
        <v>0</v>
      </c>
      <c r="H107" s="64">
        <f>SUMIF(Пр.13!$C14:$C472,1104,Пр.13!L14:L472)</f>
        <v>0</v>
      </c>
    </row>
    <row r="108" spans="1:8" ht="32.25" hidden="1" thickBot="1" x14ac:dyDescent="0.3">
      <c r="A108" s="62">
        <v>1105</v>
      </c>
      <c r="B108" s="65" t="s">
        <v>290</v>
      </c>
      <c r="C108" s="64">
        <f>SUMIF(Пр.13!$C15:$C473,1105,Пр.13!G15:G473)</f>
        <v>0</v>
      </c>
      <c r="D108" s="64">
        <f>SUMIF(Пр.13!$C15:$C473,1105,Пр.13!H15:H473)</f>
        <v>0</v>
      </c>
      <c r="E108" s="64">
        <f>SUMIF(Пр.13!$C15:$C473,1105,Пр.13!I15:I473)</f>
        <v>0</v>
      </c>
      <c r="F108" s="64">
        <f>SUMIF(Пр.13!$C15:$C473,1105,Пр.13!J15:J473)</f>
        <v>0</v>
      </c>
      <c r="G108" s="64">
        <f>SUMIF(Пр.13!$C15:$C473,1105,Пр.13!K15:K473)</f>
        <v>0</v>
      </c>
      <c r="H108" s="64">
        <f>SUMIF(Пр.13!$C15:$C473,1105,Пр.13!L15:L473)</f>
        <v>0</v>
      </c>
    </row>
    <row r="109" spans="1:8" ht="16.5" thickBot="1" x14ac:dyDescent="0.3">
      <c r="A109" s="59">
        <v>1200</v>
      </c>
      <c r="B109" s="68" t="s">
        <v>291</v>
      </c>
      <c r="C109" s="61">
        <f t="shared" ref="C109:H109" si="11">SUM(C110:C113)</f>
        <v>3010000</v>
      </c>
      <c r="D109" s="61">
        <f t="shared" si="11"/>
        <v>0</v>
      </c>
      <c r="E109" s="61">
        <f t="shared" si="11"/>
        <v>3010000</v>
      </c>
      <c r="F109" s="61">
        <f t="shared" si="11"/>
        <v>1500000</v>
      </c>
      <c r="G109" s="61">
        <f t="shared" si="11"/>
        <v>0</v>
      </c>
      <c r="H109" s="61">
        <f t="shared" si="11"/>
        <v>1500000</v>
      </c>
    </row>
    <row r="110" spans="1:8" ht="16.5" hidden="1" thickBot="1" x14ac:dyDescent="0.3">
      <c r="A110" s="62">
        <v>1201</v>
      </c>
      <c r="B110" s="65" t="s">
        <v>292</v>
      </c>
      <c r="C110" s="64">
        <f>SUMIF(Пр.13!$C10:$C467,1201,Пр.13!G10:G467)</f>
        <v>0</v>
      </c>
      <c r="D110" s="64">
        <f>SUMIF(Пр.13!$C10:$C467,1201,Пр.13!H10:H467)</f>
        <v>0</v>
      </c>
      <c r="E110" s="64">
        <f>SUMIF(Пр.13!$C10:$C467,1201,Пр.13!I10:I467)</f>
        <v>0</v>
      </c>
      <c r="F110" s="64">
        <f>SUMIF(Пр.13!$C10:$C467,1201,Пр.13!J10:J467)</f>
        <v>0</v>
      </c>
      <c r="G110" s="64">
        <f>SUMIF(Пр.13!$C10:$C467,1201,Пр.13!K10:K467)</f>
        <v>0</v>
      </c>
      <c r="H110" s="64">
        <f>SUMIF(Пр.13!$C10:$C467,1201,Пр.13!L10:L467)</f>
        <v>0</v>
      </c>
    </row>
    <row r="111" spans="1:8" ht="16.5" thickBot="1" x14ac:dyDescent="0.3">
      <c r="A111" s="62">
        <v>1202</v>
      </c>
      <c r="B111" s="65" t="s">
        <v>293</v>
      </c>
      <c r="C111" s="64">
        <f>SUMIF(Пр.13!$C11:$C467,1202,Пр.13!G11:G467)</f>
        <v>3010000</v>
      </c>
      <c r="D111" s="64">
        <f>SUMIF(Пр.13!$C11:$C467,1202,Пр.13!H11:H467)</f>
        <v>0</v>
      </c>
      <c r="E111" s="64">
        <f>SUMIF(Пр.13!$C11:$C467,1202,Пр.13!I11:I467)</f>
        <v>3010000</v>
      </c>
      <c r="F111" s="64">
        <f>SUMIF(Пр.13!$C11:$C467,1202,Пр.13!J11:J467)</f>
        <v>1500000</v>
      </c>
      <c r="G111" s="64">
        <f>SUMIF(Пр.13!$C11:$C467,1202,Пр.13!K11:K467)</f>
        <v>0</v>
      </c>
      <c r="H111" s="64">
        <f>SUMIF(Пр.13!$C11:$C467,1202,Пр.13!L11:L467)</f>
        <v>1500000</v>
      </c>
    </row>
    <row r="112" spans="1:8" ht="32.25" hidden="1" thickBot="1" x14ac:dyDescent="0.3">
      <c r="A112" s="62">
        <v>1203</v>
      </c>
      <c r="B112" s="65" t="s">
        <v>294</v>
      </c>
      <c r="C112" s="64">
        <f>SUMIF(Пр.13!$C12:$C471,1203,Пр.13!G12:G471)</f>
        <v>0</v>
      </c>
      <c r="D112" s="64">
        <f>SUMIF(Пр.13!$C12:$C471,1203,Пр.13!H12:H471)</f>
        <v>0</v>
      </c>
      <c r="E112" s="64">
        <f>SUMIF(Пр.13!$C12:$C471,1203,Пр.13!I12:I471)</f>
        <v>0</v>
      </c>
      <c r="F112" s="64">
        <f>SUMIF(Пр.13!$C12:$C471,1203,Пр.13!J12:J471)</f>
        <v>0</v>
      </c>
      <c r="G112" s="64">
        <f>SUMIF(Пр.13!$C12:$C471,1203,Пр.13!K12:K471)</f>
        <v>0</v>
      </c>
      <c r="H112" s="64">
        <f>SUMIF(Пр.13!$C12:$C471,1203,Пр.13!L12:L471)</f>
        <v>0</v>
      </c>
    </row>
    <row r="113" spans="1:8" ht="32.25" hidden="1" thickBot="1" x14ac:dyDescent="0.3">
      <c r="A113" s="62">
        <v>1204</v>
      </c>
      <c r="B113" s="65" t="s">
        <v>295</v>
      </c>
      <c r="C113" s="64">
        <f>SUMIF(Пр.13!$C14:$C472,1204,Пр.13!G14:G472)</f>
        <v>0</v>
      </c>
      <c r="D113" s="64">
        <f>SUMIF(Пр.13!$C14:$C472,1204,Пр.13!H14:H472)</f>
        <v>0</v>
      </c>
      <c r="E113" s="64">
        <f>SUMIF(Пр.13!$C14:$C472,1204,Пр.13!I14:I472)</f>
        <v>0</v>
      </c>
      <c r="F113" s="64">
        <f>SUMIF(Пр.13!$C14:$C472,1204,Пр.13!J14:J472)</f>
        <v>0</v>
      </c>
      <c r="G113" s="64">
        <f>SUMIF(Пр.13!$C14:$C472,1204,Пр.13!K14:K472)</f>
        <v>0</v>
      </c>
      <c r="H113" s="64">
        <f>SUMIF(Пр.13!$C14:$C472,1204,Пр.13!L14:L472)</f>
        <v>0</v>
      </c>
    </row>
    <row r="114" spans="1:8" ht="32.25" thickBot="1" x14ac:dyDescent="0.3">
      <c r="A114" s="59">
        <v>1300</v>
      </c>
      <c r="B114" s="68" t="s">
        <v>296</v>
      </c>
      <c r="C114" s="61">
        <f t="shared" ref="C114:H114" si="12">SUM(C115:C116)</f>
        <v>2000000</v>
      </c>
      <c r="D114" s="61">
        <f t="shared" si="12"/>
        <v>0</v>
      </c>
      <c r="E114" s="61">
        <f t="shared" si="12"/>
        <v>2000000</v>
      </c>
      <c r="F114" s="61">
        <f t="shared" si="12"/>
        <v>2000000</v>
      </c>
      <c r="G114" s="61">
        <f t="shared" si="12"/>
        <v>0</v>
      </c>
      <c r="H114" s="61">
        <f t="shared" si="12"/>
        <v>2000000</v>
      </c>
    </row>
    <row r="115" spans="1:8" ht="32.25" thickBot="1" x14ac:dyDescent="0.3">
      <c r="A115" s="62">
        <v>1301</v>
      </c>
      <c r="B115" s="65" t="s">
        <v>297</v>
      </c>
      <c r="C115" s="64">
        <f>SUMIF(Пр.13!$C10:$C467,1301,Пр.13!G10:G467)</f>
        <v>2000000</v>
      </c>
      <c r="D115" s="64">
        <f>SUMIF(Пр.13!$C10:$C467,1301,Пр.13!H10:H467)</f>
        <v>0</v>
      </c>
      <c r="E115" s="64">
        <f>SUMIF(Пр.13!$C10:$C467,1301,Пр.13!I10:I467)</f>
        <v>2000000</v>
      </c>
      <c r="F115" s="64">
        <f>SUMIF(Пр.13!$C10:$C467,1301,Пр.13!J10:J467)</f>
        <v>2000000</v>
      </c>
      <c r="G115" s="64">
        <f>SUMIF(Пр.13!$C10:$C467,1301,Пр.13!K10:K467)</f>
        <v>0</v>
      </c>
      <c r="H115" s="64">
        <f>SUMIF(Пр.13!$C10:$C467,1301,Пр.13!L10:L467)</f>
        <v>2000000</v>
      </c>
    </row>
    <row r="116" spans="1:8" ht="16.5" hidden="1" thickBot="1" x14ac:dyDescent="0.3">
      <c r="A116" s="62">
        <v>1302</v>
      </c>
      <c r="B116" s="65" t="s">
        <v>298</v>
      </c>
      <c r="C116" s="64">
        <f>SUMIF(Пр.13!$C11:$C467,1302,Пр.13!G11:G467)</f>
        <v>0</v>
      </c>
      <c r="D116" s="64">
        <f>SUMIF(Пр.13!$C11:$C467,1302,Пр.13!H11:H467)</f>
        <v>0</v>
      </c>
      <c r="E116" s="64">
        <f>SUMIF(Пр.13!$C11:$C467,1302,Пр.13!I11:I467)</f>
        <v>0</v>
      </c>
      <c r="F116" s="64">
        <f>SUMIF(Пр.13!$C11:$C467,1302,Пр.13!J11:J467)</f>
        <v>0</v>
      </c>
      <c r="G116" s="64">
        <f>SUMIF(Пр.13!$C11:$C467,1302,Пр.13!K11:K467)</f>
        <v>0</v>
      </c>
      <c r="H116" s="64">
        <f>SUMIF(Пр.13!$C11:$C467,1302,Пр.13!L11:L467)</f>
        <v>0</v>
      </c>
    </row>
    <row r="117" spans="1:8" ht="63.75" thickBot="1" x14ac:dyDescent="0.3">
      <c r="A117" s="59">
        <v>1400</v>
      </c>
      <c r="B117" s="68" t="s">
        <v>299</v>
      </c>
      <c r="C117" s="61">
        <f t="shared" ref="C117:H117" si="13">SUM(C118:C120)</f>
        <v>33000</v>
      </c>
      <c r="D117" s="61">
        <f t="shared" si="13"/>
        <v>0</v>
      </c>
      <c r="E117" s="61">
        <f t="shared" si="13"/>
        <v>33000</v>
      </c>
      <c r="F117" s="61">
        <f t="shared" si="13"/>
        <v>0</v>
      </c>
      <c r="G117" s="61">
        <f t="shared" si="13"/>
        <v>0</v>
      </c>
      <c r="H117" s="61">
        <f t="shared" si="13"/>
        <v>0</v>
      </c>
    </row>
    <row r="118" spans="1:8" ht="48" thickBot="1" x14ac:dyDescent="0.3">
      <c r="A118" s="62">
        <v>1401</v>
      </c>
      <c r="B118" s="65" t="s">
        <v>300</v>
      </c>
      <c r="C118" s="64">
        <f>SUMIF(Пр.13!$C10:$C467,1401,Пр.13!G10:G467)</f>
        <v>33000</v>
      </c>
      <c r="D118" s="64">
        <f>SUMIF(Пр.13!$C10:$C467,1401,Пр.13!H10:H467)</f>
        <v>0</v>
      </c>
      <c r="E118" s="64">
        <f>SUMIF(Пр.13!$C10:$C467,1401,Пр.13!I10:I467)</f>
        <v>33000</v>
      </c>
      <c r="F118" s="64">
        <f>SUMIF(Пр.13!$C10:$C467,1401,Пр.13!J10:J467)</f>
        <v>0</v>
      </c>
      <c r="G118" s="64">
        <f>SUMIF(Пр.13!$C10:$C467,1401,Пр.13!K10:K467)</f>
        <v>0</v>
      </c>
      <c r="H118" s="64">
        <f>SUMIF(Пр.13!$C10:$C467,1401,Пр.13!L10:L467)</f>
        <v>0</v>
      </c>
    </row>
    <row r="119" spans="1:8" ht="16.5" hidden="1" thickBot="1" x14ac:dyDescent="0.3">
      <c r="A119" s="62">
        <v>1402</v>
      </c>
      <c r="B119" s="65" t="s">
        <v>301</v>
      </c>
      <c r="C119" s="64">
        <f>SUMIF(Пр.13!$C11:$C467,1402,Пр.13!G11:G467)</f>
        <v>0</v>
      </c>
      <c r="D119" s="64">
        <f>SUMIF(Пр.13!$C11:$C467,1402,Пр.13!H11:H467)</f>
        <v>0</v>
      </c>
      <c r="E119" s="64">
        <f>SUMIF(Пр.13!$C11:$C467,1402,Пр.13!I11:I467)</f>
        <v>0</v>
      </c>
      <c r="F119" s="64">
        <f>SUMIF(Пр.13!$C11:$C467,1402,Пр.13!J11:J467)</f>
        <v>0</v>
      </c>
      <c r="G119" s="64">
        <f>SUMIF(Пр.13!$C11:$C467,1402,Пр.13!K11:K467)</f>
        <v>0</v>
      </c>
      <c r="H119" s="64">
        <f>SUMIF(Пр.13!$C11:$C467,1402,Пр.13!L11:L467)</f>
        <v>0</v>
      </c>
    </row>
    <row r="120" spans="1:8" ht="48" hidden="1" thickBot="1" x14ac:dyDescent="0.3">
      <c r="A120" s="62">
        <v>1403</v>
      </c>
      <c r="B120" s="65" t="s">
        <v>302</v>
      </c>
      <c r="C120" s="64">
        <f>SUMIF(Пр.13!$C12:$C471,1403,Пр.13!G12:G471)</f>
        <v>0</v>
      </c>
      <c r="D120" s="64">
        <f>SUMIF(Пр.13!$C12:$C471,1403,Пр.13!H12:H471)</f>
        <v>0</v>
      </c>
      <c r="E120" s="64">
        <f>SUMIF(Пр.13!$C12:$C471,1403,Пр.13!I12:I471)</f>
        <v>0</v>
      </c>
      <c r="F120" s="64">
        <f>SUMIF(Пр.13!$C12:$C471,1403,Пр.13!J12:J471)</f>
        <v>0</v>
      </c>
      <c r="G120" s="64">
        <f>SUMIF(Пр.13!$C12:$C471,1403,Пр.13!K12:K471)</f>
        <v>0</v>
      </c>
      <c r="H120" s="64">
        <f>SUMIF(Пр.13!$C12:$C471,1403,Пр.13!L12:L471)</f>
        <v>0</v>
      </c>
    </row>
    <row r="121" spans="1:8" ht="16.5" thickBot="1" x14ac:dyDescent="0.3">
      <c r="A121" s="878" t="s">
        <v>177</v>
      </c>
      <c r="B121" s="878"/>
      <c r="C121" s="61">
        <f t="shared" ref="C121:H121" ca="1" si="14">C9+C23+C33+C46+C59+C65+C71+C81+C86+C96+C103+C109+C114+C117</f>
        <v>1537551836</v>
      </c>
      <c r="D121" s="61">
        <f t="shared" ca="1" si="14"/>
        <v>0</v>
      </c>
      <c r="E121" s="61">
        <f t="shared" ca="1" si="14"/>
        <v>1537551836</v>
      </c>
      <c r="F121" s="61">
        <f t="shared" ca="1" si="14"/>
        <v>1327526513</v>
      </c>
      <c r="G121" s="61">
        <f t="shared" ca="1" si="14"/>
        <v>0</v>
      </c>
      <c r="H121" s="61">
        <f t="shared" ca="1" si="14"/>
        <v>1327526513</v>
      </c>
    </row>
    <row r="122" spans="1:8" ht="16.5" thickBot="1" x14ac:dyDescent="0.3">
      <c r="A122" s="878" t="s">
        <v>305</v>
      </c>
      <c r="B122" s="878"/>
      <c r="C122" s="72">
        <v>14027500</v>
      </c>
      <c r="D122" s="72"/>
      <c r="E122" s="72">
        <v>14027500</v>
      </c>
      <c r="F122" s="72">
        <v>17718500</v>
      </c>
      <c r="G122" s="72"/>
      <c r="H122" s="72">
        <v>17718500</v>
      </c>
    </row>
    <row r="123" spans="1:8" ht="16.5" thickBot="1" x14ac:dyDescent="0.3">
      <c r="A123" s="878" t="s">
        <v>303</v>
      </c>
      <c r="B123" s="878"/>
      <c r="C123" s="61">
        <v>0</v>
      </c>
      <c r="D123" s="61"/>
      <c r="E123" s="61">
        <f ca="1">Пр2!L97-Пр4!E121-Пр4!E122</f>
        <v>0</v>
      </c>
      <c r="F123" s="61">
        <v>0</v>
      </c>
      <c r="G123" s="61"/>
      <c r="H123" s="61">
        <f ca="1">Пр2!O97-Пр4!H121-Пр4!H122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1"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heetViews>
  <sheetFormatPr defaultRowHeight="12.75" x14ac:dyDescent="0.2"/>
  <cols>
    <col min="3" max="3" width="18.140625" bestFit="1" customWidth="1"/>
    <col min="5" max="5" width="33" customWidth="1"/>
  </cols>
  <sheetData>
    <row r="2" spans="1:6" x14ac:dyDescent="0.2">
      <c r="E2" s="395"/>
      <c r="F2" s="395"/>
    </row>
    <row r="3" spans="1:6" x14ac:dyDescent="0.2">
      <c r="E3" s="395"/>
      <c r="F3" s="395"/>
    </row>
    <row r="4" spans="1:6" x14ac:dyDescent="0.2">
      <c r="B4">
        <v>1</v>
      </c>
      <c r="E4" s="395"/>
      <c r="F4" s="395"/>
    </row>
    <row r="5" spans="1:6" x14ac:dyDescent="0.2">
      <c r="E5" s="395"/>
      <c r="F5" s="395"/>
    </row>
    <row r="6" spans="1:6" x14ac:dyDescent="0.2">
      <c r="E6" s="395"/>
      <c r="F6" s="395"/>
    </row>
    <row r="7" spans="1:6" x14ac:dyDescent="0.2">
      <c r="E7" s="395"/>
      <c r="F7" s="395"/>
    </row>
    <row r="8" spans="1:6" x14ac:dyDescent="0.2">
      <c r="A8" t="s">
        <v>2807</v>
      </c>
      <c r="B8" t="s">
        <v>2808</v>
      </c>
      <c r="C8" t="s">
        <v>2809</v>
      </c>
      <c r="D8" t="s">
        <v>2810</v>
      </c>
      <c r="E8" s="395" t="s">
        <v>15</v>
      </c>
      <c r="F8" s="395"/>
    </row>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topLeftCell="A4" zoomScale="115" zoomScaleSheetLayoutView="115" workbookViewId="0">
      <selection activeCell="D19" sqref="D19"/>
    </sheetView>
  </sheetViews>
  <sheetFormatPr defaultColWidth="9.140625" defaultRowHeight="12.75" x14ac:dyDescent="0.2"/>
  <cols>
    <col min="1" max="1" width="39.5703125" style="126" customWidth="1"/>
    <col min="2" max="2" width="11.42578125" style="126" customWidth="1"/>
    <col min="3" max="3" width="13" style="126" customWidth="1"/>
    <col min="4" max="4" width="12.140625" style="126" customWidth="1"/>
    <col min="5" max="5" width="12.85546875" style="126" customWidth="1"/>
    <col min="6" max="16384" width="9.140625" style="126"/>
  </cols>
  <sheetData>
    <row r="1" spans="1:5" ht="15.75" x14ac:dyDescent="0.25">
      <c r="A1" s="868" t="s">
        <v>2811</v>
      </c>
      <c r="B1" s="868"/>
      <c r="C1" s="868"/>
      <c r="D1" s="868"/>
      <c r="E1" s="1027"/>
    </row>
    <row r="2" spans="1:5" ht="15.75" x14ac:dyDescent="0.25">
      <c r="A2" s="868" t="s">
        <v>1</v>
      </c>
      <c r="B2" s="868"/>
      <c r="C2" s="868"/>
      <c r="D2" s="868"/>
      <c r="E2" s="884"/>
    </row>
    <row r="3" spans="1:5" ht="15.75" x14ac:dyDescent="0.25">
      <c r="A3" s="868" t="s">
        <v>2</v>
      </c>
      <c r="B3" s="868"/>
      <c r="C3" s="868"/>
      <c r="D3" s="868"/>
      <c r="E3" s="884"/>
    </row>
    <row r="4" spans="1:5" ht="15.75" x14ac:dyDescent="0.25">
      <c r="A4" s="868" t="s">
        <v>3093</v>
      </c>
      <c r="B4" s="868"/>
      <c r="C4" s="868"/>
      <c r="D4" s="868"/>
      <c r="E4" s="884"/>
    </row>
    <row r="5" spans="1:5" ht="15" x14ac:dyDescent="0.2">
      <c r="A5" s="2"/>
      <c r="B5" s="2"/>
      <c r="C5" s="2"/>
      <c r="D5" s="1"/>
      <c r="E5" s="240"/>
    </row>
    <row r="6" spans="1:5" ht="15" x14ac:dyDescent="0.2">
      <c r="A6" s="1"/>
      <c r="B6" s="1"/>
      <c r="C6" s="1"/>
      <c r="D6" s="1"/>
      <c r="E6" s="240"/>
    </row>
    <row r="7" spans="1:5" ht="44.25" customHeight="1" x14ac:dyDescent="0.25">
      <c r="A7" s="869" t="s">
        <v>3094</v>
      </c>
      <c r="B7" s="869"/>
      <c r="C7" s="869"/>
      <c r="D7" s="869"/>
      <c r="E7" s="889"/>
    </row>
    <row r="8" spans="1:5" ht="15.75" x14ac:dyDescent="0.25">
      <c r="A8" s="6"/>
      <c r="B8" s="6"/>
      <c r="C8" s="6"/>
      <c r="D8" s="6"/>
      <c r="E8" s="241"/>
    </row>
    <row r="9" spans="1:5" ht="65.25" customHeight="1" x14ac:dyDescent="0.2">
      <c r="A9" s="983" t="s">
        <v>1011</v>
      </c>
      <c r="B9" s="983"/>
      <c r="C9" s="983"/>
      <c r="D9" s="983"/>
      <c r="E9" s="983"/>
    </row>
    <row r="10" spans="1:5" ht="15.75" x14ac:dyDescent="0.2">
      <c r="A10" s="1025" t="s">
        <v>1012</v>
      </c>
      <c r="B10" s="989" t="s">
        <v>569</v>
      </c>
      <c r="C10" s="990"/>
      <c r="D10" s="989" t="s">
        <v>3095</v>
      </c>
      <c r="E10" s="990"/>
    </row>
    <row r="11" spans="1:5" ht="110.25" x14ac:dyDescent="0.2">
      <c r="A11" s="1026"/>
      <c r="B11" s="9" t="s">
        <v>1013</v>
      </c>
      <c r="C11" s="9" t="s">
        <v>1014</v>
      </c>
      <c r="D11" s="9" t="s">
        <v>1013</v>
      </c>
      <c r="E11" s="9" t="s">
        <v>1014</v>
      </c>
    </row>
    <row r="12" spans="1:5" ht="18.75" customHeight="1" x14ac:dyDescent="0.2">
      <c r="A12" s="396" t="s">
        <v>1037</v>
      </c>
      <c r="B12" s="262">
        <v>0</v>
      </c>
      <c r="C12" s="262">
        <v>0</v>
      </c>
      <c r="D12" s="262">
        <v>0</v>
      </c>
      <c r="E12" s="262">
        <v>0</v>
      </c>
    </row>
    <row r="13" spans="1:5" ht="19.5" customHeight="1" x14ac:dyDescent="0.25">
      <c r="A13" s="233" t="s">
        <v>1015</v>
      </c>
      <c r="B13" s="234">
        <v>0</v>
      </c>
      <c r="C13" s="235">
        <v>0</v>
      </c>
      <c r="D13" s="234">
        <v>0</v>
      </c>
      <c r="E13" s="234">
        <v>0</v>
      </c>
    </row>
    <row r="14" spans="1:5" ht="17.25" customHeight="1" x14ac:dyDescent="0.25">
      <c r="A14" s="233" t="s">
        <v>1040</v>
      </c>
      <c r="B14" s="234">
        <v>33000</v>
      </c>
      <c r="C14" s="235">
        <v>0</v>
      </c>
      <c r="D14" s="234">
        <v>0</v>
      </c>
      <c r="E14" s="234">
        <v>0</v>
      </c>
    </row>
    <row r="15" spans="1:5" ht="18.75" customHeight="1" x14ac:dyDescent="0.25">
      <c r="A15" s="233" t="s">
        <v>1016</v>
      </c>
      <c r="B15" s="234">
        <v>0</v>
      </c>
      <c r="C15" s="235">
        <v>0</v>
      </c>
      <c r="D15" s="234">
        <v>0</v>
      </c>
      <c r="E15" s="234">
        <v>0</v>
      </c>
    </row>
    <row r="16" spans="1:5" ht="23.25" customHeight="1" x14ac:dyDescent="0.25">
      <c r="A16" s="237" t="s">
        <v>177</v>
      </c>
      <c r="B16" s="243">
        <f>SUM(B12:B15)</f>
        <v>33000</v>
      </c>
      <c r="C16" s="243">
        <f>SUM(C12:C15)</f>
        <v>0</v>
      </c>
      <c r="D16" s="243">
        <f>SUM(D12:D15)</f>
        <v>0</v>
      </c>
      <c r="E16" s="243">
        <f>SUM(E12:E15)</f>
        <v>0</v>
      </c>
    </row>
    <row r="17" spans="1:5" ht="15.75" x14ac:dyDescent="0.25">
      <c r="A17" s="49"/>
      <c r="B17" s="49"/>
      <c r="C17" s="49"/>
      <c r="D17" s="49"/>
      <c r="E17" s="49"/>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9"/>
  <sheetViews>
    <sheetView showGridLines="0" view="pageBreakPreview" topLeftCell="B1" zoomScale="115" zoomScaleSheetLayoutView="115" workbookViewId="0">
      <selection activeCell="A6" sqref="A6:F6"/>
    </sheetView>
  </sheetViews>
  <sheetFormatPr defaultColWidth="9.140625" defaultRowHeight="12.75" x14ac:dyDescent="0.2"/>
  <cols>
    <col min="1" max="1" width="6" style="208" hidden="1" customWidth="1"/>
    <col min="2" max="2" width="42.7109375" style="128" customWidth="1"/>
    <col min="3" max="3" width="13.28515625" style="128" customWidth="1"/>
    <col min="4" max="4" width="14.28515625" style="128" hidden="1" customWidth="1"/>
    <col min="5" max="5" width="14.140625" style="128" hidden="1" customWidth="1"/>
    <col min="6" max="6" width="19.5703125" style="128" customWidth="1"/>
    <col min="7" max="16384" width="9.140625" style="128"/>
  </cols>
  <sheetData>
    <row r="1" spans="1:6" ht="15.75" x14ac:dyDescent="0.25">
      <c r="A1" s="868" t="s">
        <v>340</v>
      </c>
      <c r="B1" s="868"/>
      <c r="C1" s="868"/>
      <c r="D1" s="868"/>
      <c r="E1" s="868"/>
      <c r="F1" s="868"/>
    </row>
    <row r="2" spans="1:6" ht="15.75" x14ac:dyDescent="0.25">
      <c r="A2" s="868" t="s">
        <v>1</v>
      </c>
      <c r="B2" s="868"/>
      <c r="C2" s="868"/>
      <c r="D2" s="868"/>
      <c r="E2" s="868"/>
      <c r="F2" s="868"/>
    </row>
    <row r="3" spans="1:6" ht="15.75" x14ac:dyDescent="0.25">
      <c r="A3" s="868" t="s">
        <v>2</v>
      </c>
      <c r="B3" s="868"/>
      <c r="C3" s="868"/>
      <c r="D3" s="868"/>
      <c r="E3" s="868"/>
      <c r="F3" s="868"/>
    </row>
    <row r="4" spans="1:6" ht="15.75" x14ac:dyDescent="0.25">
      <c r="A4" s="868" t="s">
        <v>3478</v>
      </c>
      <c r="B4" s="868"/>
      <c r="C4" s="868"/>
      <c r="D4" s="868"/>
      <c r="E4" s="868"/>
      <c r="F4" s="868"/>
    </row>
    <row r="5" spans="1:6" ht="15.75" x14ac:dyDescent="0.25">
      <c r="A5" s="209"/>
      <c r="B5" s="1"/>
      <c r="C5" s="1"/>
      <c r="D5" s="886"/>
      <c r="E5" s="886"/>
      <c r="F5" s="886"/>
    </row>
    <row r="6" spans="1:6" ht="48" customHeight="1" x14ac:dyDescent="0.25">
      <c r="A6" s="879" t="s">
        <v>3155</v>
      </c>
      <c r="B6" s="879"/>
      <c r="C6" s="879"/>
      <c r="D6" s="879"/>
      <c r="E6" s="879"/>
      <c r="F6" s="879"/>
    </row>
    <row r="7" spans="1:6" ht="16.5" thickBot="1" x14ac:dyDescent="0.3">
      <c r="A7" s="209"/>
      <c r="B7" s="1"/>
      <c r="C7" s="1"/>
      <c r="D7" s="1032"/>
      <c r="E7" s="1032"/>
      <c r="F7" s="1032"/>
    </row>
    <row r="8" spans="1:6" ht="15.75" customHeight="1" thickBot="1" x14ac:dyDescent="0.25">
      <c r="A8" s="1030" t="s">
        <v>903</v>
      </c>
      <c r="B8" s="1028" t="s">
        <v>904</v>
      </c>
      <c r="C8" s="1016" t="s">
        <v>905</v>
      </c>
      <c r="D8" s="1028" t="s">
        <v>192</v>
      </c>
      <c r="E8" s="1028" t="s">
        <v>192</v>
      </c>
      <c r="F8" s="1028" t="s">
        <v>192</v>
      </c>
    </row>
    <row r="9" spans="1:6" ht="15.75" customHeight="1" thickBot="1" x14ac:dyDescent="0.25">
      <c r="A9" s="1030"/>
      <c r="B9" s="1029"/>
      <c r="C9" s="1031"/>
      <c r="D9" s="1029"/>
      <c r="E9" s="1029"/>
      <c r="F9" s="1029"/>
    </row>
    <row r="10" spans="1:6" s="211" customFormat="1" ht="63.75" thickBot="1" x14ac:dyDescent="0.25">
      <c r="A10" s="212">
        <v>1</v>
      </c>
      <c r="B10" s="66" t="str">
        <f>IF(C10&gt;0,VLOOKUP(C10,Программа!A$2:B$5100,2))</f>
        <v>Муниципальная программа  "Развитие культуры, туризма и молодежной политики в Тутаевском муниципальном районе"</v>
      </c>
      <c r="C10" s="56" t="s">
        <v>716</v>
      </c>
      <c r="D10" s="823">
        <f>SUMIFS(Пр12!G$10:G$1648,Пр12!$D$10:$D$1648,C10)</f>
        <v>191646679</v>
      </c>
      <c r="E10" s="822">
        <f>SUMIFS(Пр12!H$10:H$1648,Пр12!$D$10:$D$1648,C10)</f>
        <v>3449699</v>
      </c>
      <c r="F10" s="823">
        <f>SUMIFS(Пр12!I$10:I$1648,Пр12!$D$10:$D$1648,C10)</f>
        <v>195096378</v>
      </c>
    </row>
    <row r="11" spans="1:6" s="214" customFormat="1" ht="32.25" thickBot="1" x14ac:dyDescent="0.25">
      <c r="A11" s="215" t="s">
        <v>906</v>
      </c>
      <c r="B11" s="216" t="str">
        <f>IF(C11&gt;0,VLOOKUP(C11,Программа!A$2:B$5100,2))</f>
        <v>Ведомственная целевая программа «Молодежь»</v>
      </c>
      <c r="C11" s="824" t="s">
        <v>824</v>
      </c>
      <c r="D11" s="825">
        <f>SUMIFS(Пр12!G$10:G$1648,Пр12!$D$10:$D$1648,C11)</f>
        <v>12307959</v>
      </c>
      <c r="E11" s="822">
        <f>SUMIFS(Пр12!H$10:H$1648,Пр12!$D$10:$D$1648,C11)</f>
        <v>-220000</v>
      </c>
      <c r="F11" s="825">
        <f>SUMIFS(Пр12!I$10:I$1648,Пр12!$D$10:$D$1648,C11)</f>
        <v>12087959</v>
      </c>
    </row>
    <row r="12" spans="1:6" ht="66.75" customHeight="1" thickBot="1" x14ac:dyDescent="0.25">
      <c r="A12" s="217" t="s">
        <v>907</v>
      </c>
      <c r="B12" s="67"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826" t="s">
        <v>826</v>
      </c>
      <c r="D12" s="822">
        <f>SUMIFS(Пр12!G$10:G$1648,Пр12!$D$10:$D$1648,C12)</f>
        <v>12217959</v>
      </c>
      <c r="E12" s="822">
        <f>SUMIFS(Пр12!H$10:H$1648,Пр12!$D$10:$D$1648,C12)</f>
        <v>-220000</v>
      </c>
      <c r="F12" s="825">
        <f>SUMIFS(Пр12!I$10:I$1648,Пр12!$D$10:$D$1648,C12)</f>
        <v>11997959</v>
      </c>
    </row>
    <row r="13" spans="1:6" ht="57" customHeight="1" thickBot="1" x14ac:dyDescent="0.25">
      <c r="A13" s="217"/>
      <c r="B13" s="67" t="str">
        <f>IF(C13&gt;0,VLOOKUP(C13,Программа!A$2:B$5100,2))</f>
        <v>Обеспечение качества и доступности услуг(работ) в сфере молодежной политики</v>
      </c>
      <c r="C13" s="826" t="s">
        <v>3050</v>
      </c>
      <c r="D13" s="822">
        <f>SUMIFS(Пр12!G$10:G$1648,Пр12!$D$10:$D$1648,C13)</f>
        <v>90000</v>
      </c>
      <c r="E13" s="822">
        <f>SUMIFS(Пр12!H$10:H$1648,Пр12!$D$10:$D$1648,C13)</f>
        <v>0</v>
      </c>
      <c r="F13" s="825">
        <f>SUMIFS(Пр12!I$10:I$1648,Пр12!$D$10:$D$1648,C13)</f>
        <v>90000</v>
      </c>
    </row>
    <row r="14" spans="1:6" s="214" customFormat="1" ht="79.5" customHeight="1" thickBot="1" x14ac:dyDescent="0.25">
      <c r="A14" s="219" t="s">
        <v>908</v>
      </c>
      <c r="B14" s="216"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827" t="s">
        <v>718</v>
      </c>
      <c r="D14" s="825">
        <f>SUMIFS(Пр12!G$10:G$1648,Пр12!$D$10:$D$1648,C14)</f>
        <v>2120954</v>
      </c>
      <c r="E14" s="822">
        <f>SUMIFS(Пр12!H$10:H$1648,Пр12!$D$10:$D$1648,C14)</f>
        <v>-60000</v>
      </c>
      <c r="F14" s="825">
        <f>SUMIFS(Пр12!I$10:I$1648,Пр12!$D$10:$D$1648,C14)</f>
        <v>2060954</v>
      </c>
    </row>
    <row r="15" spans="1:6" ht="79.5" thickBot="1" x14ac:dyDescent="0.25">
      <c r="A15" s="220" t="s">
        <v>909</v>
      </c>
      <c r="B15" s="67"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828" t="s">
        <v>720</v>
      </c>
      <c r="D15" s="822">
        <f>SUMIFS(Пр12!G$10:G$1648,Пр12!$D$10:$D$1648,C15)</f>
        <v>2120954</v>
      </c>
      <c r="E15" s="822">
        <f>SUMIFS(Пр12!H$10:H$1648,Пр12!$D$10:$D$1648,C15)</f>
        <v>-60000</v>
      </c>
      <c r="F15" s="825">
        <f>SUMIFS(Пр12!I$10:I$1648,Пр12!$D$10:$D$1648,C15)</f>
        <v>2060954</v>
      </c>
    </row>
    <row r="16" spans="1:6" s="214" customFormat="1" ht="63.75" thickBot="1" x14ac:dyDescent="0.25">
      <c r="A16" s="221" t="s">
        <v>81</v>
      </c>
      <c r="B16" s="216"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827" t="s">
        <v>723</v>
      </c>
      <c r="D16" s="825">
        <f>SUMIFS(Пр12!G$10:G$1648,Пр12!$D$10:$D$1648,C16)</f>
        <v>628424</v>
      </c>
      <c r="E16" s="822">
        <f>SUMIFS(Пр12!H$10:H$1648,Пр12!$D$10:$D$1648,C16)</f>
        <v>0</v>
      </c>
      <c r="F16" s="825">
        <f>SUMIFS(Пр12!I$10:I$1648,Пр12!$D$10:$D$1648,C16)</f>
        <v>628424</v>
      </c>
    </row>
    <row r="17" spans="1:6" ht="48" thickBot="1" x14ac:dyDescent="0.25">
      <c r="A17" s="217" t="s">
        <v>910</v>
      </c>
      <c r="B17" s="67" t="str">
        <f>IF(C17&gt;0,VLOOKUP(C17,Программа!A$2:B$5100,2))</f>
        <v>Развитие системы профилактики немедицинского потребления наркотиков</v>
      </c>
      <c r="C17" s="828" t="s">
        <v>725</v>
      </c>
      <c r="D17" s="822">
        <f>SUMIFS(Пр12!G$10:G$1648,Пр12!$D$10:$D$1648,C17)</f>
        <v>628424</v>
      </c>
      <c r="E17" s="822">
        <f>SUMIFS(Пр12!H$10:H$1648,Пр12!$D$10:$D$1648,C17)</f>
        <v>0</v>
      </c>
      <c r="F17" s="825">
        <f>SUMIFS(Пр12!I$10:I$1648,Пр12!$D$10:$D$1648,C17)</f>
        <v>628424</v>
      </c>
    </row>
    <row r="18" spans="1:6" s="214" customFormat="1" ht="48" thickBot="1" x14ac:dyDescent="0.25">
      <c r="A18" s="215" t="s">
        <v>911</v>
      </c>
      <c r="B18" s="216" t="str">
        <f>IF(C18&gt;0,VLOOKUP(C18,Программа!A$2:B$5100,2))</f>
        <v>Ведомственная целевая программа «Сохранение и развитие культуры Тутаевского муниципального района»</v>
      </c>
      <c r="C18" s="827" t="s">
        <v>819</v>
      </c>
      <c r="D18" s="825">
        <f>SUMIFS(Пр12!G$10:G$1648,Пр12!$D$10:$D$1648,C18)</f>
        <v>174268896</v>
      </c>
      <c r="E18" s="822">
        <f>SUMIFS(Пр12!H$10:H$1648,Пр12!$D$10:$D$1648,C18)</f>
        <v>3729699</v>
      </c>
      <c r="F18" s="825">
        <f>SUMIFS(Пр12!I$10:I$1648,Пр12!$D$10:$D$1648,C18)</f>
        <v>177998595</v>
      </c>
    </row>
    <row r="19" spans="1:6" ht="48" thickBot="1" x14ac:dyDescent="0.25">
      <c r="A19" s="217" t="s">
        <v>912</v>
      </c>
      <c r="B19" s="67" t="str">
        <f>IF(C19&gt;0,VLOOKUP(C19,Программа!A$2:B$5100,2))</f>
        <v>Реализация дополнительных образовательных программ в сфере культуры</v>
      </c>
      <c r="C19" s="828" t="s">
        <v>821</v>
      </c>
      <c r="D19" s="822">
        <f>SUMIFS(Пр12!G$10:G$1648,Пр12!$D$10:$D$1648,C19)</f>
        <v>33089601</v>
      </c>
      <c r="E19" s="822">
        <f>SUMIFS(Пр12!H$10:H$1648,Пр12!$D$10:$D$1648,C19)</f>
        <v>0</v>
      </c>
      <c r="F19" s="825">
        <f>SUMIFS(Пр12!I$10:I$1648,Пр12!$D$10:$D$1648,C19)</f>
        <v>33089601</v>
      </c>
    </row>
    <row r="20" spans="1:6" ht="32.25" thickBot="1" x14ac:dyDescent="0.25">
      <c r="A20" s="217" t="s">
        <v>913</v>
      </c>
      <c r="B20" s="67" t="str">
        <f>IF(C20&gt;0,VLOOKUP(C20,Программа!A$2:B$5100,2))</f>
        <v>Содействие доступу граждан к культурным ценностям</v>
      </c>
      <c r="C20" s="828" t="s">
        <v>838</v>
      </c>
      <c r="D20" s="822">
        <f>SUMIFS(Пр12!G$10:G$1648,Пр12!$D$10:$D$1648,C20)</f>
        <v>91420769</v>
      </c>
      <c r="E20" s="822">
        <f>SUMIFS(Пр12!H$10:H$1648,Пр12!$D$10:$D$1648,C20)</f>
        <v>2283588</v>
      </c>
      <c r="F20" s="825">
        <f>SUMIFS(Пр12!I$10:I$1648,Пр12!$D$10:$D$1648,C20)</f>
        <v>93704357</v>
      </c>
    </row>
    <row r="21" spans="1:6" ht="48" thickBot="1" x14ac:dyDescent="0.25">
      <c r="A21" s="222" t="s">
        <v>914</v>
      </c>
      <c r="B21" s="67" t="str">
        <f>IF(C21&gt;0,VLOOKUP(C21,Программа!A$2:B$5100,2))</f>
        <v>Поддержка доступа граждан к информационно-библиотечным ресурсам</v>
      </c>
      <c r="C21" s="828" t="s">
        <v>843</v>
      </c>
      <c r="D21" s="822">
        <f>SUMIFS(Пр12!G$10:G$1648,Пр12!$D$10:$D$1648,C21)</f>
        <v>20757172</v>
      </c>
      <c r="E21" s="822">
        <f>SUMIFS(Пр12!H$10:H$1648,Пр12!$D$10:$D$1648,C21)</f>
        <v>1126111</v>
      </c>
      <c r="F21" s="825">
        <f>SUMIFS(Пр12!I$10:I$1648,Пр12!$D$10:$D$1648,C21)</f>
        <v>21883283</v>
      </c>
    </row>
    <row r="22" spans="1:6" ht="32.25" thickBot="1" x14ac:dyDescent="0.25">
      <c r="A22" s="217" t="s">
        <v>915</v>
      </c>
      <c r="B22" s="67" t="str">
        <f>IF(C22&gt;0,VLOOKUP(C22,Программа!A$2:B$5100,2))</f>
        <v>Обеспечение эффективности управления системой культуры</v>
      </c>
      <c r="C22" s="828" t="s">
        <v>846</v>
      </c>
      <c r="D22" s="822">
        <f>SUMIFS(Пр12!G$10:G$1648,Пр12!$D$10:$D$1648,C22)</f>
        <v>29001354</v>
      </c>
      <c r="E22" s="822">
        <f>SUMIFS(Пр12!H$10:H$1648,Пр12!$D$10:$D$1648,C22)</f>
        <v>320000</v>
      </c>
      <c r="F22" s="825">
        <f>SUMIFS(Пр12!I$10:I$1648,Пр12!$D$10:$D$1648,C22)</f>
        <v>29321354</v>
      </c>
    </row>
    <row r="23" spans="1:6" s="214" customFormat="1" ht="63.75" thickBot="1" x14ac:dyDescent="0.25">
      <c r="A23" s="221" t="s">
        <v>916</v>
      </c>
      <c r="B23" s="216"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827" t="s">
        <v>814</v>
      </c>
      <c r="D23" s="825">
        <f>SUMIFS(Пр12!G$10:G$1648,Пр12!$D$10:$D$1648,C23)</f>
        <v>2320446</v>
      </c>
      <c r="E23" s="822">
        <f>SUMIFS(Пр12!H$10:H$1648,Пр12!$D$10:$D$1648,C23)</f>
        <v>0</v>
      </c>
      <c r="F23" s="825">
        <f>SUMIFS(Пр12!I$10:I$1648,Пр12!$D$10:$D$1648,C23)</f>
        <v>2320446</v>
      </c>
    </row>
    <row r="24" spans="1:6" ht="32.25" thickBot="1" x14ac:dyDescent="0.25">
      <c r="A24" s="217" t="s">
        <v>917</v>
      </c>
      <c r="B24" s="67" t="str">
        <f>IF(C24&gt;0,VLOOKUP(C24,Программа!A$2:B$5100,2))</f>
        <v>Создание благоприятных условий для развития туризма</v>
      </c>
      <c r="C24" s="828" t="s">
        <v>816</v>
      </c>
      <c r="D24" s="822">
        <f>SUMIFS(Пр12!G$10:G$1648,Пр12!$D$10:$D$1648,C24)</f>
        <v>2320446</v>
      </c>
      <c r="E24" s="822">
        <f>SUMIFS(Пр12!H$10:H$1648,Пр12!$D$10:$D$1648,C24)</f>
        <v>0</v>
      </c>
      <c r="F24" s="825">
        <f>SUMIFS(Пр12!I$10:I$1648,Пр12!$D$10:$D$1648,C24)</f>
        <v>2320446</v>
      </c>
    </row>
    <row r="25" spans="1:6" s="211" customFormat="1" ht="63.75" thickBot="1" x14ac:dyDescent="0.25">
      <c r="A25" s="212" t="s">
        <v>918</v>
      </c>
      <c r="B25" s="66" t="str">
        <f>IF(C25&gt;0,VLOOKUP(C25,Программа!A$2:B$5100,2))</f>
        <v>Муниципальная программа "Развитие образования, физической культуры и спорта в Тутаевском муниципальном районе"</v>
      </c>
      <c r="C25" s="56" t="s">
        <v>686</v>
      </c>
      <c r="D25" s="823">
        <f>SUMIFS(Пр12!G$10:G$1648,Пр12!$D$10:$D$1648,C25)</f>
        <v>1059661356</v>
      </c>
      <c r="E25" s="822">
        <f>SUMIFS(Пр12!H$10:H$1648,Пр12!$D$10:$D$1648,C25)</f>
        <v>-28453</v>
      </c>
      <c r="F25" s="829">
        <f>SUMIFS(Пр12!I$10:I$1648,Пр12!$D$10:$D$1648,C25)</f>
        <v>1059632903</v>
      </c>
    </row>
    <row r="26" spans="1:6" s="214" customFormat="1" ht="63.75" thickBot="1" x14ac:dyDescent="0.25">
      <c r="A26" s="221" t="s">
        <v>919</v>
      </c>
      <c r="B26" s="216"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827" t="s">
        <v>688</v>
      </c>
      <c r="D26" s="825">
        <f>SUMIFS(Пр12!G$10:G$1648,Пр12!$D$10:$D$1648,C26)</f>
        <v>1019715979</v>
      </c>
      <c r="E26" s="822">
        <f>SUMIFS(Пр12!H$10:H$1648,Пр12!$D$10:$D$1648,C26)</f>
        <v>-88453</v>
      </c>
      <c r="F26" s="825">
        <f>SUMIFS(Пр12!I$10:I$1648,Пр12!$D$10:$D$1648,C26)</f>
        <v>1019627526</v>
      </c>
    </row>
    <row r="27" spans="1:6" ht="48" thickBot="1" x14ac:dyDescent="0.25">
      <c r="A27" s="222" t="s">
        <v>920</v>
      </c>
      <c r="B27" s="67" t="str">
        <f>IF(C27&gt;0,VLOOKUP(C27,Программа!A$2:B$5100,2))</f>
        <v>Обеспечение качества и доступности образовательных услуг в сфере дошкольного образования</v>
      </c>
      <c r="C27" s="828" t="s">
        <v>689</v>
      </c>
      <c r="D27" s="822">
        <f>SUMIFS(Пр12!G$10:G$1648,Пр12!$D$10:$D$1648,C27)</f>
        <v>423874651</v>
      </c>
      <c r="E27" s="822">
        <f>SUMIFS(Пр12!H$10:H$1648,Пр12!$D$10:$D$1648,C27)</f>
        <v>-999999</v>
      </c>
      <c r="F27" s="825">
        <f>SUMIFS(Пр12!I$10:I$1648,Пр12!$D$10:$D$1648,C27)</f>
        <v>422874652</v>
      </c>
    </row>
    <row r="28" spans="1:6" ht="48" thickBot="1" x14ac:dyDescent="0.25">
      <c r="A28" s="222" t="s">
        <v>921</v>
      </c>
      <c r="B28" s="67" t="str">
        <f>IF(C28&gt;0,VLOOKUP(C28,Программа!A$2:B$5100,2))</f>
        <v>Обеспечение качества и доступности образовательных услуг в сфере общего образования</v>
      </c>
      <c r="C28" s="828" t="s">
        <v>729</v>
      </c>
      <c r="D28" s="822">
        <f>SUMIFS(Пр12!G$10:G$1648,Пр12!$D$10:$D$1648,C28)</f>
        <v>444719217</v>
      </c>
      <c r="E28" s="822">
        <f>SUMIFS(Пр12!H$10:H$1648,Пр12!$D$10:$D$1648,C28)</f>
        <v>807744</v>
      </c>
      <c r="F28" s="825">
        <f>SUMIFS(Пр12!I$10:I$1648,Пр12!$D$10:$D$1648,C28)</f>
        <v>445526961</v>
      </c>
    </row>
    <row r="29" spans="1:6" ht="48" thickBot="1" x14ac:dyDescent="0.25">
      <c r="A29" s="222" t="s">
        <v>922</v>
      </c>
      <c r="B29" s="67" t="str">
        <f>IF(C29&gt;0,VLOOKUP(C29,Программа!A$2:B$5100,2))</f>
        <v>Обеспечение качества и доступности образовательных услуг в сфере дополнительного образования</v>
      </c>
      <c r="C29" s="828" t="s">
        <v>753</v>
      </c>
      <c r="D29" s="822">
        <f>SUMIFS(Пр12!G$10:G$1648,Пр12!$D$10:$D$1648,C29)</f>
        <v>57530328</v>
      </c>
      <c r="E29" s="822">
        <f>SUMIFS(Пр12!H$10:H$1648,Пр12!$D$10:$D$1648,C29)</f>
        <v>7200</v>
      </c>
      <c r="F29" s="825">
        <f>SUMIFS(Пр12!I$10:I$1648,Пр12!$D$10:$D$1648,C29)</f>
        <v>57537528</v>
      </c>
    </row>
    <row r="30" spans="1:6" ht="32.25" thickBot="1" x14ac:dyDescent="0.25">
      <c r="A30" s="217" t="s">
        <v>923</v>
      </c>
      <c r="B30" s="67" t="str">
        <f>IF(C30&gt;0,VLOOKUP(C30,Программа!A$2:B$5100,2))</f>
        <v>Повышение мотивации участников образовательного процесса</v>
      </c>
      <c r="C30" s="828" t="s">
        <v>731</v>
      </c>
      <c r="D30" s="822">
        <f>SUMIFS(Пр12!G$10:G$1648,Пр12!$D$10:$D$1648,C30)</f>
        <v>332000</v>
      </c>
      <c r="E30" s="822">
        <f>SUMIFS(Пр12!H$10:H$1648,Пр12!$D$10:$D$1648,C30)</f>
        <v>-6000</v>
      </c>
      <c r="F30" s="825">
        <f>SUMIFS(Пр12!I$10:I$1648,Пр12!$D$10:$D$1648,C30)</f>
        <v>326000</v>
      </c>
    </row>
    <row r="31" spans="1:6" ht="79.5" thickBot="1" x14ac:dyDescent="0.25">
      <c r="A31" s="222" t="s">
        <v>924</v>
      </c>
      <c r="B31" s="67"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828" t="s">
        <v>708</v>
      </c>
      <c r="D31" s="822">
        <f>SUMIFS(Пр12!G$10:G$1648,Пр12!$D$10:$D$1648,C31)</f>
        <v>10820079</v>
      </c>
      <c r="E31" s="822">
        <f>SUMIFS(Пр12!H$10:H$1648,Пр12!$D$10:$D$1648,C31)</f>
        <v>0</v>
      </c>
      <c r="F31" s="825">
        <f>SUMIFS(Пр12!I$10:I$1648,Пр12!$D$10:$D$1648,C31)</f>
        <v>10820079</v>
      </c>
    </row>
    <row r="32" spans="1:6" ht="63.75" thickBot="1" x14ac:dyDescent="0.25">
      <c r="A32" s="217" t="s">
        <v>925</v>
      </c>
      <c r="B32" s="67" t="str">
        <f>IF(C32&gt;0,VLOOKUP(C32,Программа!A$2:B$5100,2))</f>
        <v>Обеспечение качества реализации мер по социальной поддержке детей-сирот и детей, оставшихся без попечения родителей</v>
      </c>
      <c r="C32" s="828" t="s">
        <v>738</v>
      </c>
      <c r="D32" s="822">
        <f>SUMIFS(Пр12!G$10:G$1648,Пр12!$D$10:$D$1648,C32)</f>
        <v>28840428</v>
      </c>
      <c r="E32" s="822">
        <f>SUMIFS(Пр12!H$10:H$1648,Пр12!$D$10:$D$1648,C32)</f>
        <v>24915</v>
      </c>
      <c r="F32" s="825">
        <f>SUMIFS(Пр12!I$10:I$1648,Пр12!$D$10:$D$1648,C32)</f>
        <v>28865343</v>
      </c>
    </row>
    <row r="33" spans="1:6" ht="32.25" thickBot="1" x14ac:dyDescent="0.25">
      <c r="A33" s="217"/>
      <c r="B33" s="67" t="str">
        <f>IF(C33&gt;0,VLOOKUP(C33,Программа!A$2:B$5100,2))</f>
        <v>Обеспечение реализации мероприятий в рамках областных целевых программ</v>
      </c>
      <c r="C33" s="828" t="s">
        <v>2949</v>
      </c>
      <c r="D33" s="822">
        <f>SUMIFS(Пр12!G$10:G$1648,Пр12!$D$10:$D$1648,C33)</f>
        <v>5378740</v>
      </c>
      <c r="E33" s="822">
        <f>SUMIFS(Пр12!H$10:H$1648,Пр12!$D$10:$D$1648,C33)</f>
        <v>-129540</v>
      </c>
      <c r="F33" s="825">
        <f>SUMIFS(Пр12!I$10:I$1648,Пр12!$D$10:$D$1648,C33)</f>
        <v>5249200</v>
      </c>
    </row>
    <row r="34" spans="1:6" ht="16.5" thickBot="1" x14ac:dyDescent="0.25">
      <c r="A34" s="217"/>
      <c r="B34" s="67" t="str">
        <f>IF(C34&gt;0,VLOOKUP(C34,Программа!A$2:B$5100,2))</f>
        <v>Обеспечение компенсационных выплат</v>
      </c>
      <c r="C34" s="828" t="s">
        <v>2955</v>
      </c>
      <c r="D34" s="822">
        <f>SUMIFS(Пр12!G$10:G$1648,Пр12!$D$10:$D$1648,C34)</f>
        <v>19660519</v>
      </c>
      <c r="E34" s="822">
        <f>SUMIFS(Пр12!H$10:H$1648,Пр12!$D$10:$D$1648,C34)</f>
        <v>76171</v>
      </c>
      <c r="F34" s="825">
        <f>SUMIFS(Пр12!I$10:I$1648,Пр12!$D$10:$D$1648,C34)</f>
        <v>19736690</v>
      </c>
    </row>
    <row r="35" spans="1:6" ht="32.25" thickBot="1" x14ac:dyDescent="0.25">
      <c r="A35" s="217"/>
      <c r="B35" s="67" t="str">
        <f>IF(C35&gt;0,VLOOKUP(C35,Программа!A$2:B$5100,2))</f>
        <v>Обеспечение эффективности управления системой образования</v>
      </c>
      <c r="C35" s="828" t="s">
        <v>2952</v>
      </c>
      <c r="D35" s="822">
        <f>SUMIFS(Пр12!G$10:G$1648,Пр12!$D$10:$D$1648,C35)</f>
        <v>28560017</v>
      </c>
      <c r="E35" s="822">
        <f>SUMIFS(Пр12!H$10:H$1648,Пр12!$D$10:$D$1648,C35)</f>
        <v>131056</v>
      </c>
      <c r="F35" s="825">
        <f>SUMIFS(Пр12!I$10:I$1648,Пр12!$D$10:$D$1648,C35)</f>
        <v>28691073</v>
      </c>
    </row>
    <row r="36" spans="1:6" s="214" customFormat="1" ht="63.75" thickBot="1" x14ac:dyDescent="0.25">
      <c r="A36" s="215" t="s">
        <v>926</v>
      </c>
      <c r="B36" s="216" t="str">
        <f>IF(C36&gt;0,VLOOKUP(C36,Программа!A$2:B$5100,2))</f>
        <v>Муниципальная целевая программа "Духовно-нравственное воспитание и просвещение населения Тутаевского муниципального района"</v>
      </c>
      <c r="C36" s="827" t="s">
        <v>740</v>
      </c>
      <c r="D36" s="825">
        <f>SUMIFS(Пр12!G$10:G$1648,Пр12!$D$10:$D$1648,C36)</f>
        <v>56000</v>
      </c>
      <c r="E36" s="822">
        <f>SUMIFS(Пр12!H$10:H$1648,Пр12!$D$10:$D$1648,C36)</f>
        <v>0</v>
      </c>
      <c r="F36" s="825">
        <f>SUMIFS(Пр12!I$10:I$1648,Пр12!$D$10:$D$1648,C36)</f>
        <v>56000</v>
      </c>
    </row>
    <row r="37" spans="1:6" ht="48" thickBot="1" x14ac:dyDescent="0.25">
      <c r="A37" s="217"/>
      <c r="B37" s="67" t="str">
        <f>IF(C37&gt;0,VLOOKUP(C37,Программа!A$2:B$5100,2))</f>
        <v>Реализация мер по созданию целостной системы духовно-нравственного воспитания и просвещения населения</v>
      </c>
      <c r="C37" s="828" t="s">
        <v>742</v>
      </c>
      <c r="D37" s="822">
        <f>SUMIFS(Пр12!G$10:G$1648,Пр12!$D$10:$D$1648,C37)</f>
        <v>56000</v>
      </c>
      <c r="E37" s="822">
        <f>SUMIFS(Пр12!H$10:H$1648,Пр12!$D$10:$D$1648,C37)</f>
        <v>0</v>
      </c>
      <c r="F37" s="825">
        <f>SUMIFS(Пр12!I$10:I$1648,Пр12!$D$10:$D$1648,C37)</f>
        <v>56000</v>
      </c>
    </row>
    <row r="38" spans="1:6" s="214" customFormat="1" ht="63.75" thickBot="1" x14ac:dyDescent="0.25">
      <c r="A38" s="215"/>
      <c r="B38" s="216" t="str">
        <f>IF(C38&gt;0,VLOOKUP(C38,Программа!A$2:B$5100,2))</f>
        <v>Муниципальная целевая программа "Развитие физической культуры и спорта в Тутаевском муниципальном районе"</v>
      </c>
      <c r="C38" s="827" t="s">
        <v>706</v>
      </c>
      <c r="D38" s="825">
        <f>SUMIFS(Пр12!G$10:G$1648,Пр12!$D$10:$D$1648,C38)</f>
        <v>39889377</v>
      </c>
      <c r="E38" s="822">
        <f>SUMIFS(Пр12!H$10:H$1648,Пр12!$D$10:$D$1648,C38)</f>
        <v>60000</v>
      </c>
      <c r="F38" s="825">
        <f>SUMIFS(Пр12!I$10:I$1648,Пр12!$D$10:$D$1648,C38)</f>
        <v>39949377</v>
      </c>
    </row>
    <row r="39" spans="1:6" ht="95.25" thickBot="1" x14ac:dyDescent="0.25">
      <c r="A39" s="217"/>
      <c r="B39" s="67" t="str">
        <f>IF(C39&gt;0,VLOOKUP(C39,Программа!A$2:B$5100,2))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9" s="828" t="s">
        <v>763</v>
      </c>
      <c r="D39" s="822">
        <f>SUMIFS(Пр12!G$10:G$1648,Пр12!$D$10:$D$1648,C39)</f>
        <v>39889377</v>
      </c>
      <c r="E39" s="822">
        <f>SUMIFS(Пр12!H$10:H$1648,Пр12!$D$10:$D$1648,C39)</f>
        <v>60000</v>
      </c>
      <c r="F39" s="825">
        <f>SUMIFS(Пр12!I$10:I$1648,Пр12!$D$10:$D$1648,C39)</f>
        <v>39949377</v>
      </c>
    </row>
    <row r="40" spans="1:6" ht="32.25" hidden="1" thickBot="1" x14ac:dyDescent="0.25">
      <c r="A40" s="217"/>
      <c r="B40" s="67" t="str">
        <f>IF(C40&gt;0,VLOOKUP(C40,Программа!A$2:B$5100,2))</f>
        <v>Развитие сети плоскостных спортивных сооружений</v>
      </c>
      <c r="C40" s="828" t="s">
        <v>744</v>
      </c>
      <c r="D40" s="822">
        <f>SUMIFS(Пр12!G$10:G$1648,Пр12!$D$10:$D$1648,C40)</f>
        <v>0</v>
      </c>
      <c r="E40" s="822">
        <f>SUMIFS(Пр12!H$10:H$1648,Пр12!$D$10:$D$1648,C40)</f>
        <v>0</v>
      </c>
      <c r="F40" s="825">
        <f>SUMIFS(Пр12!I$10:I$1648,Пр12!$D$10:$D$1648,C40)</f>
        <v>0</v>
      </c>
    </row>
    <row r="41" spans="1:6" s="211" customFormat="1" ht="51.75" customHeight="1" thickBot="1" x14ac:dyDescent="0.25">
      <c r="A41" s="223"/>
      <c r="B41" s="66" t="str">
        <f>IF(C41&gt;0,VLOOKUP(C41,Программа!A$2:B$5100,2))</f>
        <v>Муниципальная программа "Социальная поддержка населения Тутаевского муниципального района"</v>
      </c>
      <c r="C41" s="830" t="s">
        <v>695</v>
      </c>
      <c r="D41" s="823">
        <f>SUMIFS(Пр12!G$10:G$1648,Пр12!$D$10:$D$1648,C41)</f>
        <v>412701075</v>
      </c>
      <c r="E41" s="822">
        <f>SUMIFS(Пр12!H$10:H$1648,Пр12!$D$10:$D$1648,C41)</f>
        <v>401804</v>
      </c>
      <c r="F41" s="823">
        <f>SUMIFS(Пр12!I$10:I$1648,Пр12!$D$10:$D$1648,C41)</f>
        <v>413102879</v>
      </c>
    </row>
    <row r="42" spans="1:6" s="214" customFormat="1" ht="48" thickBot="1" x14ac:dyDescent="0.25">
      <c r="A42" s="215"/>
      <c r="B42" s="216" t="str">
        <f>IF(C42&gt;0,VLOOKUP(C42,Программа!A$2:B$5100,2))</f>
        <v xml:space="preserve">Ведомственная целевая программа «Социальная поддержка населения Тутаевского муниципального района» </v>
      </c>
      <c r="C42" s="827" t="s">
        <v>768</v>
      </c>
      <c r="D42" s="825">
        <f>SUMIFS(Пр12!G$10:G$1648,Пр12!$D$10:$D$1648,C42)</f>
        <v>412401075</v>
      </c>
      <c r="E42" s="822">
        <f>SUMIFS(Пр12!H$10:H$1648,Пр12!$D$10:$D$1648,C42)</f>
        <v>451804</v>
      </c>
      <c r="F42" s="825">
        <f>SUMIFS(Пр12!I$10:I$1648,Пр12!$D$10:$D$1648,C42)</f>
        <v>412852879</v>
      </c>
    </row>
    <row r="43" spans="1:6" ht="48" thickBot="1" x14ac:dyDescent="0.25">
      <c r="A43" s="217"/>
      <c r="B43" s="67" t="str">
        <f>IF(C43&gt;0,VLOOKUP(C43,Программа!A$2:B$5100,2))</f>
        <v>Исполнение публичных обязательств по предоставлению выплат, пособий и компенсаций</v>
      </c>
      <c r="C43" s="828" t="s">
        <v>770</v>
      </c>
      <c r="D43" s="822">
        <f>SUMIFS(Пр12!G$10:G$1648,Пр12!$D$10:$D$1648,C43)</f>
        <v>323056525</v>
      </c>
      <c r="E43" s="822">
        <f>SUMIFS(Пр12!H$10:H$1648,Пр12!$D$10:$D$1648,C43)</f>
        <v>401507</v>
      </c>
      <c r="F43" s="825">
        <f>SUMIFS(Пр12!I$10:I$1648,Пр12!$D$10:$D$1648,C43)</f>
        <v>323458032</v>
      </c>
    </row>
    <row r="44" spans="1:6" ht="63.75" thickBot="1" x14ac:dyDescent="0.25">
      <c r="A44" s="217"/>
      <c r="B44" s="67" t="str">
        <f>IF(C44&gt;0,VLOOKUP(C44,Программа!A$2:B$5100,2))</f>
        <v>Предоставление социальных услуг населению Тутаевского муниципального района на основе соблюдения стандартов и нормативов</v>
      </c>
      <c r="C44" s="828" t="s">
        <v>773</v>
      </c>
      <c r="D44" s="822">
        <f>SUMIFS(Пр12!G$10:G$1648,Пр12!$D$10:$D$1648,C44)</f>
        <v>84020480</v>
      </c>
      <c r="E44" s="822">
        <f>SUMIFS(Пр12!H$10:H$1648,Пр12!$D$10:$D$1648,C44)</f>
        <v>0</v>
      </c>
      <c r="F44" s="825">
        <f>SUMIFS(Пр12!I$10:I$1648,Пр12!$D$10:$D$1648,C44)</f>
        <v>84020480</v>
      </c>
    </row>
    <row r="45" spans="1:6" ht="63.75" thickBot="1" x14ac:dyDescent="0.25">
      <c r="A45" s="217"/>
      <c r="B45" s="67" t="str">
        <f>IF(C45&gt;0,VLOOKUP(C45,Программа!A$2:B$5100,2))</f>
        <v>Социальная защита семей с детьми, инвалидов, ветеранов, граждан и детей, оказавшихся в трудной жизненной ситуации</v>
      </c>
      <c r="C45" s="828" t="s">
        <v>788</v>
      </c>
      <c r="D45" s="822">
        <f>SUMIFS(Пр12!G$10:G$1648,Пр12!$D$10:$D$1648,C45)</f>
        <v>5009200</v>
      </c>
      <c r="E45" s="822">
        <f>SUMIFS(Пр12!H$10:H$1648,Пр12!$D$10:$D$1648,C45)</f>
        <v>50297</v>
      </c>
      <c r="F45" s="825">
        <f>SUMIFS(Пр12!I$10:I$1648,Пр12!$D$10:$D$1648,C45)</f>
        <v>5059497</v>
      </c>
    </row>
    <row r="46" spans="1:6" ht="32.25" thickBot="1" x14ac:dyDescent="0.25">
      <c r="A46" s="217"/>
      <c r="B46" s="67" t="str">
        <f>IF(C46&gt;0,VLOOKUP(C46,Программа!A$2:B$5100,2))</f>
        <v>Информационное обеспечение реализации мероприятий программы</v>
      </c>
      <c r="C46" s="828" t="s">
        <v>3213</v>
      </c>
      <c r="D46" s="822">
        <f>SUMIFS(Пр12!G$10:G$1648,Пр12!$D$10:$D$1648,C46)</f>
        <v>314870</v>
      </c>
      <c r="E46" s="822">
        <f>SUMIFS(Пр12!H$10:H$1648,Пр12!$D$10:$D$1648,C46)</f>
        <v>0</v>
      </c>
      <c r="F46" s="825">
        <f>SUMIFS(Пр12!I$10:I$1648,Пр12!$D$10:$D$1648,C46)</f>
        <v>314870</v>
      </c>
    </row>
    <row r="47" spans="1:6" s="214" customFormat="1" ht="48" thickBot="1" x14ac:dyDescent="0.25">
      <c r="A47" s="215"/>
      <c r="B47" s="216" t="str">
        <f>IF(C47&gt;0,VLOOKUP(C47,Программа!A$2:B$5100,2))</f>
        <v>Муниципальная целевая программа "Улучшение условий и охраны труда" по Тутаевскому муниципальному району</v>
      </c>
      <c r="C47" s="827" t="s">
        <v>697</v>
      </c>
      <c r="D47" s="825">
        <f>SUMIFS(Пр12!G$10:G$1648,Пр12!$D$10:$D$1648,C47)</f>
        <v>300000</v>
      </c>
      <c r="E47" s="822">
        <f>SUMIFS(Пр12!H$10:H$1648,Пр12!$D$10:$D$1648,C47)</f>
        <v>-50000</v>
      </c>
      <c r="F47" s="825">
        <f>SUMIFS(Пр12!I$10:I$1648,Пр12!$D$10:$D$1648,C47)</f>
        <v>250000</v>
      </c>
    </row>
    <row r="48" spans="1:6" s="214" customFormat="1" ht="63.75" thickBot="1" x14ac:dyDescent="0.25">
      <c r="A48" s="215"/>
      <c r="B48" s="67" t="str">
        <f>IF(C48&gt;0,VLOOKUP(C48,Программа!A$2:B$5100,2))</f>
        <v>Специальная оценка условий труда работающих в организациях расположенных на территории Тутаевского муниципального района</v>
      </c>
      <c r="C48" s="827" t="s">
        <v>698</v>
      </c>
      <c r="D48" s="822">
        <f>SUMIFS(Пр12!G$10:G$1648,Пр12!$D$10:$D$1648,C48)</f>
        <v>193600</v>
      </c>
      <c r="E48" s="822">
        <f>SUMIFS(Пр12!H$10:H$1648,Пр12!$D$10:$D$1648,C48)</f>
        <v>-51700</v>
      </c>
      <c r="F48" s="825">
        <f>SUMIFS(Пр12!I$10:I$1648,Пр12!$D$10:$D$1648,C48)</f>
        <v>141900</v>
      </c>
    </row>
    <row r="49" spans="1:6" ht="48" thickBot="1" x14ac:dyDescent="0.25">
      <c r="A49" s="217"/>
      <c r="B49" s="67" t="str">
        <f>IF(C49&gt;0,VLOOKUP(C49,Программа!A$2:B$5100,2))</f>
        <v>Обучение по охране труда работников организаций Тутаевского муниципального района</v>
      </c>
      <c r="C49" s="828" t="s">
        <v>2927</v>
      </c>
      <c r="D49" s="822">
        <f>SUMIFS(Пр12!G$10:G$1648,Пр12!$D$10:$D$1648,C49)</f>
        <v>106400</v>
      </c>
      <c r="E49" s="822">
        <f>SUMIFS(Пр12!H$10:H$1648,Пр12!$D$10:$D$1648,C49)</f>
        <v>1700</v>
      </c>
      <c r="F49" s="825">
        <f>SUMIFS(Пр12!I$10:I$1648,Пр12!$D$10:$D$1648,C49)</f>
        <v>108100</v>
      </c>
    </row>
    <row r="50" spans="1:6" s="211" customFormat="1" ht="39.75" customHeight="1" thickBot="1" x14ac:dyDescent="0.25">
      <c r="A50" s="223"/>
      <c r="B50" s="66" t="str">
        <f>IF(C50&gt;0,VLOOKUP(C50,Программа!A$2:B$5100,2))</f>
        <v>Муниципальная программа "Доступная среда "</v>
      </c>
      <c r="C50" s="56" t="s">
        <v>833</v>
      </c>
      <c r="D50" s="823">
        <f>SUMIFS(Пр12!G$10:G$1648,Пр12!$D$10:$D$1648,C50)</f>
        <v>57631</v>
      </c>
      <c r="E50" s="822">
        <f>SUMIFS(Пр12!H$10:H$1648,Пр12!$D$10:$D$1648,C50)</f>
        <v>0</v>
      </c>
      <c r="F50" s="823">
        <f>SUMIFS(Пр12!I$10:I$1648,Пр12!$D$10:$D$1648,C50)</f>
        <v>57631</v>
      </c>
    </row>
    <row r="51" spans="1:6" ht="79.5" thickBot="1" x14ac:dyDescent="0.25">
      <c r="A51" s="217"/>
      <c r="B51" s="67" t="str">
        <f>IF(C51&gt;0,VLOOKUP(C51,Программа!A$2:B$5100,2))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828" t="s">
        <v>835</v>
      </c>
      <c r="D51" s="822">
        <f>SUMIFS(Пр12!G$10:G$1648,Пр12!$D$10:$D$1648,C51)</f>
        <v>57631</v>
      </c>
      <c r="E51" s="822">
        <f>SUMIFS(Пр12!H$10:H$1648,Пр12!$D$10:$D$1648,C51)</f>
        <v>0</v>
      </c>
      <c r="F51" s="825">
        <f>SUMIFS(Пр12!I$10:I$1648,Пр12!$D$10:$D$1648,C51)</f>
        <v>57631</v>
      </c>
    </row>
    <row r="52" spans="1:6" s="211" customFormat="1" ht="70.5" customHeight="1" thickBot="1" x14ac:dyDescent="0.25">
      <c r="A52" s="223"/>
      <c r="B52" s="66" t="str">
        <f>IF(C52&gt;0,VLOOKUP(C52,Программа!A$2:B$5100,2))</f>
        <v>Муниципальная программа "Обеспечение качественными коммунальными услугами населения Тутаевского муниципального района"</v>
      </c>
      <c r="C52" s="56" t="s">
        <v>851</v>
      </c>
      <c r="D52" s="823">
        <f>SUMIFS(Пр12!G$10:G$1648,Пр12!$D$10:$D$1648,C52)</f>
        <v>30331552.530000001</v>
      </c>
      <c r="E52" s="822">
        <f>SUMIFS(Пр12!H$10:H$1648,Пр12!$D$10:$D$1648,C52)</f>
        <v>-596100</v>
      </c>
      <c r="F52" s="823">
        <f>SUMIFS(Пр12!I$10:I$1648,Пр12!$D$10:$D$1648,C52)</f>
        <v>29735452.530000001</v>
      </c>
    </row>
    <row r="53" spans="1:6" s="214" customFormat="1" ht="95.25" thickBot="1" x14ac:dyDescent="0.25">
      <c r="A53" s="215"/>
      <c r="B53" s="216" t="str">
        <f>IF(C53&gt;0,VLOOKUP(C53,Программа!A$2:B$5100,2))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827" t="s">
        <v>853</v>
      </c>
      <c r="D53" s="825">
        <f>SUMIFS(Пр12!G$10:G$1648,Пр12!$D$10:$D$1648,C53)</f>
        <v>11831753</v>
      </c>
      <c r="E53" s="822">
        <f>SUMIFS(Пр12!H$10:H$1648,Пр12!$D$10:$D$1648,C53)</f>
        <v>-100000</v>
      </c>
      <c r="F53" s="825">
        <f>SUMIFS(Пр12!I$10:I$1648,Пр12!$D$10:$D$1648,C53)</f>
        <v>11731753</v>
      </c>
    </row>
    <row r="54" spans="1:6" ht="95.25" thickBot="1" x14ac:dyDescent="0.25">
      <c r="A54" s="217"/>
      <c r="B54" s="67" t="str">
        <f>IF(C54&gt;0,VLOOKUP(C54,Программа!A$2:B$5100,2))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828" t="s">
        <v>880</v>
      </c>
      <c r="D54" s="822">
        <f>SUMIFS(Пр12!G$10:G$1648,Пр12!$D$10:$D$1648,C54)</f>
        <v>11331753</v>
      </c>
      <c r="E54" s="822">
        <f>SUMIFS(Пр12!H$10:H$1648,Пр12!$D$10:$D$1648,C54)</f>
        <v>0</v>
      </c>
      <c r="F54" s="825">
        <f>SUMIFS(Пр12!I$10:I$1648,Пр12!$D$10:$D$1648,C54)</f>
        <v>11331753</v>
      </c>
    </row>
    <row r="55" spans="1:6" ht="48" thickBot="1" x14ac:dyDescent="0.25">
      <c r="A55" s="217"/>
      <c r="B55" s="67" t="str">
        <f>IF(C55&gt;0,VLOOKUP(C55,Программа!A$2:B$5100,2))</f>
        <v>Обеспечение надежного снабжения  твердым топливом  сельского населения, путем частичного возмещения расходов</v>
      </c>
      <c r="C55" s="828" t="s">
        <v>854</v>
      </c>
      <c r="D55" s="822">
        <f>SUMIFS(Пр12!G$10:G$1648,Пр12!$D$10:$D$1648,C55)</f>
        <v>500000</v>
      </c>
      <c r="E55" s="822">
        <f>SUMIFS(Пр12!H$10:H$1648,Пр12!$D$10:$D$1648,C55)</f>
        <v>-100000</v>
      </c>
      <c r="F55" s="825">
        <f>SUMIFS(Пр12!I$10:I$1648,Пр12!$D$10:$D$1648,C55)</f>
        <v>400000</v>
      </c>
    </row>
    <row r="56" spans="1:6" s="214" customFormat="1" ht="79.5" thickBot="1" x14ac:dyDescent="0.25">
      <c r="A56" s="215"/>
      <c r="B56" s="216" t="str">
        <f>IF(C56&gt;0,VLOOKUP(C56,Программа!A$2:B$5100,2))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827" t="s">
        <v>883</v>
      </c>
      <c r="D56" s="825">
        <f>SUMIFS(Пр12!G$10:G$1648,Пр12!$D$10:$D$1648,C56)</f>
        <v>11410553</v>
      </c>
      <c r="E56" s="822">
        <f>SUMIFS(Пр12!H$10:H$1648,Пр12!$D$10:$D$1648,C56)</f>
        <v>-72400</v>
      </c>
      <c r="F56" s="825">
        <f>SUMIFS(Пр12!I$10:I$1648,Пр12!$D$10:$D$1648,C56)</f>
        <v>11338153</v>
      </c>
    </row>
    <row r="57" spans="1:6" ht="48" thickBot="1" x14ac:dyDescent="0.25">
      <c r="A57" s="217"/>
      <c r="B57" s="67" t="str">
        <f>IF(C57&gt;0,VLOOKUP(C57,Программа!A$2:B$5100,2))</f>
        <v>Повышение уровня газификации и модернизации объектов социальной сферы</v>
      </c>
      <c r="C57" s="828" t="s">
        <v>884</v>
      </c>
      <c r="D57" s="822">
        <f>SUMIFS(Пр12!G$10:G$1648,Пр12!$D$10:$D$1648,C57)</f>
        <v>3438454</v>
      </c>
      <c r="E57" s="822">
        <f>SUMIFS(Пр12!H$10:H$1648,Пр12!$D$10:$D$1648,C57)</f>
        <v>0</v>
      </c>
      <c r="F57" s="825">
        <f>SUMIFS(Пр12!I$10:I$1648,Пр12!$D$10:$D$1648,C57)</f>
        <v>3438454</v>
      </c>
    </row>
    <row r="58" spans="1:6" ht="79.5" thickBot="1" x14ac:dyDescent="0.25">
      <c r="A58" s="217"/>
      <c r="B58" s="67" t="str">
        <f>IF(C58&gt;0,VLOOKUP(C58,Программа!A$2:B$5100,2))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58" s="828" t="s">
        <v>927</v>
      </c>
      <c r="D58" s="822">
        <f>SUMIFS(Пр12!G$10:G$1648,Пр12!$D$10:$D$1648,C58)</f>
        <v>7972099</v>
      </c>
      <c r="E58" s="822">
        <f>SUMIFS(Пр12!H$10:H$1648,Пр12!$D$10:$D$1648,C58)</f>
        <v>-72400</v>
      </c>
      <c r="F58" s="825">
        <f>SUMIFS(Пр12!I$10:I$1648,Пр12!$D$10:$D$1648,C58)</f>
        <v>7899699</v>
      </c>
    </row>
    <row r="59" spans="1:6" s="214" customFormat="1" ht="79.5" thickBot="1" x14ac:dyDescent="0.25">
      <c r="A59" s="215"/>
      <c r="B59" s="216" t="str">
        <f>IF(C59&gt;0,VLOOKUP(C59,Программа!A$2:B$5100,2))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827" t="s">
        <v>887</v>
      </c>
      <c r="D59" s="825">
        <f>SUMIFS(Пр12!G$10:G$1648,Пр12!$D$10:$D$1648,C59)</f>
        <v>3055000</v>
      </c>
      <c r="E59" s="822">
        <f>SUMIFS(Пр12!H$10:H$1648,Пр12!$D$10:$D$1648,C59)</f>
        <v>-407700</v>
      </c>
      <c r="F59" s="825">
        <f>SUMIFS(Пр12!I$10:I$1648,Пр12!$D$10:$D$1648,C59)</f>
        <v>2647300</v>
      </c>
    </row>
    <row r="60" spans="1:6" ht="63.75" thickBot="1" x14ac:dyDescent="0.25">
      <c r="A60" s="217"/>
      <c r="B60" s="67" t="str">
        <f>IF(C60&gt;0,VLOOKUP(C60,Программа!A$2:B$5100,2))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0" s="828" t="s">
        <v>888</v>
      </c>
      <c r="D60" s="822">
        <f>SUMIFS(Пр12!G$10:G$1648,Пр12!$D$10:$D$1648,C60)</f>
        <v>3055000</v>
      </c>
      <c r="E60" s="822">
        <f>SUMIFS(Пр12!H$10:H$1648,Пр12!$D$10:$D$1648,C60)</f>
        <v>-407700</v>
      </c>
      <c r="F60" s="825">
        <f>SUMIFS(Пр12!I$10:I$1648,Пр12!$D$10:$D$1648,C60)</f>
        <v>2647300</v>
      </c>
    </row>
    <row r="61" spans="1:6" ht="63.75" hidden="1" thickBot="1" x14ac:dyDescent="0.25">
      <c r="A61" s="217"/>
      <c r="B61" s="67" t="str">
        <f>IF(C61&gt;0,VLOOKUP(C61,Программа!A$2:B$5100,2))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1" s="828" t="s">
        <v>928</v>
      </c>
      <c r="D61" s="822">
        <f>SUMIFS(Пр12!G$10:G$1648,Пр12!$D$10:$D$1648,C61)</f>
        <v>0</v>
      </c>
      <c r="E61" s="822">
        <f>SUMIFS(Пр12!H$10:H$1648,Пр12!$D$10:$D$1648,C61)</f>
        <v>0</v>
      </c>
      <c r="F61" s="825">
        <f>SUMIFS(Пр12!I$10:I$1648,Пр12!$D$10:$D$1648,C61)</f>
        <v>0</v>
      </c>
    </row>
    <row r="62" spans="1:6" s="214" customFormat="1" ht="79.5" thickBot="1" x14ac:dyDescent="0.25">
      <c r="A62" s="215"/>
      <c r="B62" s="216" t="str">
        <f>IF(C62&gt;0,VLOOKUP(C62,Программа!A$2:B$5100,2))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827" t="s">
        <v>890</v>
      </c>
      <c r="D62" s="825">
        <f>SUMIFS(Пр12!G$10:G$1648,Пр12!$D$10:$D$1648,C62)</f>
        <v>4034246.5300000003</v>
      </c>
      <c r="E62" s="822">
        <f>SUMIFS(Пр12!H$10:H$1648,Пр12!$D$10:$D$1648,C62)</f>
        <v>-16000</v>
      </c>
      <c r="F62" s="825">
        <f>SUMIFS(Пр12!I$10:I$1648,Пр12!$D$10:$D$1648,C62)</f>
        <v>4018246.5300000003</v>
      </c>
    </row>
    <row r="63" spans="1:6" ht="48" thickBot="1" x14ac:dyDescent="0.25">
      <c r="A63" s="217"/>
      <c r="B63" s="67" t="str">
        <f>IF(C63&gt;0,VLOOKUP(C63,Программа!A$2:B$5100,2))</f>
        <v>Проведение комплекса работ по ремонту, замене и реконструкции объектов теплоснабжения</v>
      </c>
      <c r="C63" s="828" t="s">
        <v>892</v>
      </c>
      <c r="D63" s="822">
        <f>SUMIFS(Пр12!G$10:G$1648,Пр12!$D$10:$D$1648,C63)</f>
        <v>4016358.5300000003</v>
      </c>
      <c r="E63" s="822">
        <f>SUMIFS(Пр12!H$10:H$1648,Пр12!$D$10:$D$1648,C63)</f>
        <v>0</v>
      </c>
      <c r="F63" s="825">
        <f>SUMIFS(Пр12!I$10:I$1648,Пр12!$D$10:$D$1648,C63)</f>
        <v>4016358.5300000003</v>
      </c>
    </row>
    <row r="64" spans="1:6" ht="63.75" hidden="1" thickBot="1" x14ac:dyDescent="0.25">
      <c r="A64" s="217"/>
      <c r="B64" s="67" t="str">
        <f>IF(C64&gt;0,VLOOKUP(C64,Программа!A$2:B$5100,2))</f>
        <v>Проведение комплекса работ по ремонту, замене и реконструкции объектов водоснабжения, водоотведения и очистки сточных вод</v>
      </c>
      <c r="C64" s="828" t="s">
        <v>895</v>
      </c>
      <c r="D64" s="822">
        <f>SUMIFS(Пр12!G$10:G$1648,Пр12!$D$10:$D$1648,C64)</f>
        <v>16000</v>
      </c>
      <c r="E64" s="822">
        <f>SUMIFS(Пр12!H$10:H$1648,Пр12!$D$10:$D$1648,C64)</f>
        <v>-16000</v>
      </c>
      <c r="F64" s="825">
        <f>SUMIFS(Пр12!I$10:I$1648,Пр12!$D$10:$D$1648,C64)</f>
        <v>0</v>
      </c>
    </row>
    <row r="65" spans="1:6" ht="48" thickBot="1" x14ac:dyDescent="0.25">
      <c r="A65" s="217"/>
      <c r="B65" s="67" t="str">
        <f>IF(C65&gt;0,VLOOKUP(C65,Программа!A$2:B$5100,2))</f>
        <v>Проведение комплекса работ по ремонту, замене и реконструкции объектов газоснабжения</v>
      </c>
      <c r="C65" s="828" t="s">
        <v>897</v>
      </c>
      <c r="D65" s="822">
        <f>SUMIFS(Пр12!G$10:G$1648,Пр12!$D$10:$D$1648,C65)</f>
        <v>1888</v>
      </c>
      <c r="E65" s="822">
        <f>SUMIFS(Пр12!H$10:H$1648,Пр12!$D$10:$D$1648,C65)</f>
        <v>0</v>
      </c>
      <c r="F65" s="825">
        <f>SUMIFS(Пр12!I$10:I$1648,Пр12!$D$10:$D$1648,C65)</f>
        <v>1888</v>
      </c>
    </row>
    <row r="66" spans="1:6" s="211" customFormat="1" ht="63.75" thickBot="1" x14ac:dyDescent="0.25">
      <c r="A66" s="223"/>
      <c r="B66" s="66" t="str">
        <f>IF(C66&gt;0,VLOOKUP(C66,Программа!A$2:B$5100,2))</f>
        <v>Муниципальная  программа "Об энергосбережении и повышении энергетической эффективности Тутаевского муниципального района"</v>
      </c>
      <c r="C66" s="56" t="s">
        <v>856</v>
      </c>
      <c r="D66" s="823">
        <f>SUMIFS(Пр12!G$10:G$1648,Пр12!$D$10:$D$1648,C66)</f>
        <v>266964</v>
      </c>
      <c r="E66" s="822">
        <f>SUMIFS(Пр12!H$10:H$1648,Пр12!$D$10:$D$1648,C66)</f>
        <v>0</v>
      </c>
      <c r="F66" s="823">
        <f>SUMIFS(Пр12!I$10:I$1648,Пр12!$D$10:$D$1648,C66)</f>
        <v>266964</v>
      </c>
    </row>
    <row r="67" spans="1:6" ht="95.25" thickBot="1" x14ac:dyDescent="0.25">
      <c r="A67" s="217"/>
      <c r="B67" s="67" t="str">
        <f>IF(C67&gt;0,VLOOKUP(C67,Программа!A$2:B$5100,2))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828" t="s">
        <v>858</v>
      </c>
      <c r="D67" s="822">
        <f>SUMIFS(Пр12!G$10:G$1648,Пр12!$D$10:$D$1648,C67)</f>
        <v>266964</v>
      </c>
      <c r="E67" s="822">
        <f>SUMIFS(Пр12!H$10:H$1648,Пр12!$D$10:$D$1648,C67)</f>
        <v>0</v>
      </c>
      <c r="F67" s="825">
        <f>SUMIFS(Пр12!I$10:I$1648,Пр12!$D$10:$D$1648,C67)</f>
        <v>266964</v>
      </c>
    </row>
    <row r="68" spans="1:6" s="211" customFormat="1" ht="48" thickBot="1" x14ac:dyDescent="0.25">
      <c r="A68" s="223"/>
      <c r="B68" s="66" t="str">
        <f>IF(C68&gt;0,VLOOKUP(C68,Программа!A$2:B$5100,2))</f>
        <v>Муниципальная программа "Развитие дорожного хозяйства и транспорта в Тутаевском муниципальном районе"</v>
      </c>
      <c r="C68" s="56" t="s">
        <v>869</v>
      </c>
      <c r="D68" s="823">
        <f>SUMIFS(Пр12!G$10:G$1648,Пр12!$D$10:$D$1648,C68)</f>
        <v>145957145.51999998</v>
      </c>
      <c r="E68" s="822">
        <f>SUMIFS(Пр12!H$10:H$1648,Пр12!$D$10:$D$1648,C68)</f>
        <v>2105974</v>
      </c>
      <c r="F68" s="829">
        <f>SUMIFS(Пр12!I$10:I$1648,Пр12!$D$10:$D$1648,C68)</f>
        <v>148063119.51999998</v>
      </c>
    </row>
    <row r="69" spans="1:6" s="214" customFormat="1" ht="63.75" thickBot="1" x14ac:dyDescent="0.25">
      <c r="A69" s="215"/>
      <c r="B69" s="216" t="str">
        <f>IF(C69&gt;0,VLOOKUP(C69,Программа!A$2:B$5100,2))</f>
        <v>Муниципальная целевая программа «Повышение безопасности дорожного движения на территории Тутаевского муниципального района»</v>
      </c>
      <c r="C69" s="827" t="s">
        <v>871</v>
      </c>
      <c r="D69" s="825">
        <f>SUMIFS(Пр12!G$10:G$1648,Пр12!$D$10:$D$1648,C69)</f>
        <v>5283221</v>
      </c>
      <c r="E69" s="822">
        <f>SUMIFS(Пр12!H$10:H$1648,Пр12!$D$10:$D$1648,C69)</f>
        <v>0</v>
      </c>
      <c r="F69" s="825">
        <f>SUMIFS(Пр12!I$10:I$1648,Пр12!$D$10:$D$1648,C69)</f>
        <v>5283221</v>
      </c>
    </row>
    <row r="70" spans="1:6" ht="32.25" thickBot="1" x14ac:dyDescent="0.25">
      <c r="A70" s="217"/>
      <c r="B70" s="67" t="str">
        <f>IF(C70&gt;0,VLOOKUP(C70,Программа!A$2:B$5100,2))</f>
        <v>Повышение безопасности дорожного движения на автомобильных дорогах</v>
      </c>
      <c r="C70" s="828" t="s">
        <v>873</v>
      </c>
      <c r="D70" s="822">
        <f>SUMIFS(Пр12!G$10:G$1648,Пр12!$D$10:$D$1648,C70)</f>
        <v>5283221</v>
      </c>
      <c r="E70" s="822">
        <f>SUMIFS(Пр12!H$10:H$1648,Пр12!$D$10:$D$1648,C70)</f>
        <v>0</v>
      </c>
      <c r="F70" s="825">
        <f>SUMIFS(Пр12!I$10:I$1648,Пр12!$D$10:$D$1648,C70)</f>
        <v>5283221</v>
      </c>
    </row>
    <row r="71" spans="1:6" s="214" customFormat="1" ht="63.75" thickBot="1" x14ac:dyDescent="0.25">
      <c r="A71" s="215"/>
      <c r="B71" s="216" t="str">
        <f>IF(C71&gt;0,VLOOKUP(C71,Программа!A$2:B$5100,2))</f>
        <v>Муниципальная целевая программа «Сохранность автомобильных дорог общего пользования Тутаевского муниципального района»</v>
      </c>
      <c r="C71" s="827" t="s">
        <v>876</v>
      </c>
      <c r="D71" s="825">
        <f>SUMIFS(Пр12!G$10:G$1648,Пр12!$D$10:$D$1648,C71)</f>
        <v>140673924.51999998</v>
      </c>
      <c r="E71" s="822">
        <f>SUMIFS(Пр12!H$10:H$1648,Пр12!$D$10:$D$1648,C71)</f>
        <v>2105974</v>
      </c>
      <c r="F71" s="825">
        <f>SUMIFS(Пр12!I$10:I$1648,Пр12!$D$10:$D$1648,C71)</f>
        <v>142779898.51999998</v>
      </c>
    </row>
    <row r="72" spans="1:6" ht="48" thickBot="1" x14ac:dyDescent="0.25">
      <c r="A72" s="217"/>
      <c r="B72" s="67" t="str">
        <f>IF(C72&gt;0,VLOOKUP(C72,Программа!A$2:B$5100,2))</f>
        <v>Приведение  в нормативное состояние автомобильных дорог общего пользования</v>
      </c>
      <c r="C72" s="828" t="s">
        <v>878</v>
      </c>
      <c r="D72" s="822">
        <f>SUMIFS(Пр12!G$10:G$1648,Пр12!$D$10:$D$1648,C72)</f>
        <v>140673924.51999998</v>
      </c>
      <c r="E72" s="822">
        <f>SUMIFS(Пр12!H$10:H$1648,Пр12!$D$10:$D$1648,C72)</f>
        <v>2105974</v>
      </c>
      <c r="F72" s="825">
        <f>SUMIFS(Пр12!I$10:I$1648,Пр12!$D$10:$D$1648,C72)</f>
        <v>142779898.51999998</v>
      </c>
    </row>
    <row r="73" spans="1:6" s="211" customFormat="1" ht="79.5" thickBot="1" x14ac:dyDescent="0.25">
      <c r="A73" s="223"/>
      <c r="B73" s="66" t="str">
        <f>IF(C73&gt;0,VLOOKUP(C73,Программа!A$2:B$5100,2))</f>
        <v>Муниципальная программа "Стимулирование развития жилищного строительства в Тутаевском муниципальном  районе Ярославской области"</v>
      </c>
      <c r="C73" s="56" t="s">
        <v>930</v>
      </c>
      <c r="D73" s="823">
        <f>SUMIFS(Пр12!G$10:G$1648,Пр12!$D$10:$D$1648,C73)</f>
        <v>4328455</v>
      </c>
      <c r="E73" s="822">
        <f>SUMIFS(Пр12!H$10:H$1648,Пр12!$D$10:$D$1648,C73)</f>
        <v>-229154</v>
      </c>
      <c r="F73" s="823">
        <f>SUMIFS(Пр12!I$10:I$1648,Пр12!$D$10:$D$1648,C73)</f>
        <v>4099301</v>
      </c>
    </row>
    <row r="74" spans="1:6" s="214" customFormat="1" ht="95.25" thickBot="1" x14ac:dyDescent="0.25">
      <c r="A74" s="215"/>
      <c r="B74" s="216" t="str">
        <f>IF(C74&gt;0,VLOOKUP(C74,Программа!A$2:B$5100,2))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827" t="s">
        <v>932</v>
      </c>
      <c r="D74" s="825">
        <f>SUMIFS(Пр12!G$10:G$1648,Пр12!$D$10:$D$1648,C74)</f>
        <v>400000</v>
      </c>
      <c r="E74" s="822">
        <f>SUMIFS(Пр12!H$10:H$1648,Пр12!$D$10:$D$1648,C74)</f>
        <v>-229154</v>
      </c>
      <c r="F74" s="825">
        <f>SUMIFS(Пр12!I$10:I$1648,Пр12!$D$10:$D$1648,C74)</f>
        <v>170846</v>
      </c>
    </row>
    <row r="75" spans="1:6" ht="126.75" thickBot="1" x14ac:dyDescent="0.25">
      <c r="A75" s="217"/>
      <c r="B75" s="67" t="str">
        <f>IF(C75&gt;0,VLOOKUP(C75,Программа!A$2:B$5100,2))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828" t="s">
        <v>934</v>
      </c>
      <c r="D75" s="822">
        <f>SUMIFS(Пр12!G$10:G$1648,Пр12!$D$10:$D$1648,C75)</f>
        <v>400000</v>
      </c>
      <c r="E75" s="822">
        <f>SUMIFS(Пр12!H$10:H$1648,Пр12!$D$10:$D$1648,C75)</f>
        <v>-229154</v>
      </c>
      <c r="F75" s="825">
        <f>SUMIFS(Пр12!I$10:I$1648,Пр12!$D$10:$D$1648,C75)</f>
        <v>170846</v>
      </c>
    </row>
    <row r="76" spans="1:6" s="214" customFormat="1" ht="63.75" hidden="1" thickBot="1" x14ac:dyDescent="0.25">
      <c r="A76" s="215"/>
      <c r="B76" s="216" t="str">
        <f>IF(C76&gt;0,VLOOKUP(C76,Программа!A$2:B$5100,2))</f>
        <v>Муниципальная целевая программа "Переселение граждан из аварийного жилищного фонда в Тутаевском муниципальном районе"</v>
      </c>
      <c r="C76" s="827" t="s">
        <v>936</v>
      </c>
      <c r="D76" s="825">
        <f>SUMIFS(Пр12!G$10:G$1648,Пр12!$D$10:$D$1648,C76)</f>
        <v>0</v>
      </c>
      <c r="E76" s="822">
        <f>SUMIFS(Пр12!H$10:H$1648,Пр12!$D$10:$D$1648,C76)</f>
        <v>0</v>
      </c>
      <c r="F76" s="825">
        <f>SUMIFS(Пр12!I$10:I$1648,Пр12!$D$10:$D$1648,C76)</f>
        <v>0</v>
      </c>
    </row>
    <row r="77" spans="1:6" ht="79.5" hidden="1" thickBot="1" x14ac:dyDescent="0.25">
      <c r="A77" s="217"/>
      <c r="B77" s="67" t="str">
        <f>IF(C77&gt;0,VLOOKUP(C77,Программа!A$2:B$5100,2))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828" t="s">
        <v>938</v>
      </c>
      <c r="D77" s="822">
        <f>SUMIFS(Пр12!G$10:G$1648,Пр12!$D$10:$D$1648,C77)</f>
        <v>0</v>
      </c>
      <c r="E77" s="822">
        <f>SUMIFS(Пр12!H$10:H$1648,Пр12!$D$10:$D$1648,C77)</f>
        <v>0</v>
      </c>
      <c r="F77" s="825">
        <f>SUMIFS(Пр12!I$10:I$1648,Пр12!$D$10:$D$1648,C77)</f>
        <v>0</v>
      </c>
    </row>
    <row r="78" spans="1:6" s="214" customFormat="1" ht="95.25" hidden="1" thickBot="1" x14ac:dyDescent="0.25">
      <c r="A78" s="215"/>
      <c r="B78" s="216" t="str">
        <f>IF(C78&gt;0,VLOOKUP(C78,Программа!A$2:B$5100,2))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827" t="s">
        <v>940</v>
      </c>
      <c r="D78" s="825">
        <f>SUMIFS(Пр12!G$10:G$1648,Пр12!$D$10:$D$1648,C78)</f>
        <v>0</v>
      </c>
      <c r="E78" s="822">
        <f>SUMIFS(Пр12!H$10:H$1648,Пр12!$D$10:$D$1648,C78)</f>
        <v>0</v>
      </c>
      <c r="F78" s="825">
        <f>SUMIFS(Пр12!I$10:I$1648,Пр12!$D$10:$D$1648,C78)</f>
        <v>0</v>
      </c>
    </row>
    <row r="79" spans="1:6" ht="79.5" hidden="1" thickBot="1" x14ac:dyDescent="0.25">
      <c r="A79" s="217"/>
      <c r="B79" s="67" t="str">
        <f>IF(C79&gt;0,VLOOKUP(C79,Программа!A$2:B$5100,2))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79" s="828" t="s">
        <v>942</v>
      </c>
      <c r="D79" s="822">
        <f>SUMIFS(Пр12!G$10:G$1648,Пр12!$D$10:$D$1648,C79)</f>
        <v>0</v>
      </c>
      <c r="E79" s="822">
        <f>SUMIFS(Пр12!H$10:H$1648,Пр12!$D$10:$D$1648,C79)</f>
        <v>0</v>
      </c>
      <c r="F79" s="825">
        <f>SUMIFS(Пр12!I$10:I$1648,Пр12!$D$10:$D$1648,C79)</f>
        <v>0</v>
      </c>
    </row>
    <row r="80" spans="1:6" s="214" customFormat="1" ht="63.75" thickBot="1" x14ac:dyDescent="0.25">
      <c r="A80" s="215"/>
      <c r="B80" s="216" t="str">
        <f>IF(C80&gt;0,VLOOKUP(C80,Программа!A$2:B$5100,2))</f>
        <v>Муниципальная целевая программа "Предоставление молодым семьям социальных выплат на приобретение(строительство) жилья"</v>
      </c>
      <c r="C80" s="827" t="s">
        <v>944</v>
      </c>
      <c r="D80" s="825">
        <f>SUMIFS(Пр12!G$10:G$1648,Пр12!$D$10:$D$1648,C80)</f>
        <v>3928455</v>
      </c>
      <c r="E80" s="822">
        <f>SUMIFS(Пр12!H$10:H$1648,Пр12!$D$10:$D$1648,C80)</f>
        <v>0</v>
      </c>
      <c r="F80" s="825">
        <f>SUMIFS(Пр12!I$10:I$1648,Пр12!$D$10:$D$1648,C80)</f>
        <v>3928455</v>
      </c>
    </row>
    <row r="81" spans="1:6" ht="48" thickBot="1" x14ac:dyDescent="0.25">
      <c r="A81" s="217"/>
      <c r="B81" s="67" t="str">
        <f>IF(C81&gt;0,VLOOKUP(C81,Программа!A$2:B$5100,2))</f>
        <v>Создание условий для поддержки  молодых семей в приобретении (строительстве) жилья</v>
      </c>
      <c r="C81" s="828" t="s">
        <v>946</v>
      </c>
      <c r="D81" s="822">
        <f>SUMIFS(Пр12!G$10:G$1648,Пр12!$D$10:$D$1648,C81)</f>
        <v>3928455</v>
      </c>
      <c r="E81" s="822">
        <f>SUMIFS(Пр12!H$10:H$1648,Пр12!$D$10:$D$1648,C81)</f>
        <v>0</v>
      </c>
      <c r="F81" s="825">
        <f>SUMIFS(Пр12!I$10:I$1648,Пр12!$D$10:$D$1648,C81)</f>
        <v>3928455</v>
      </c>
    </row>
    <row r="82" spans="1:6" s="211" customFormat="1" ht="95.25" thickBot="1" x14ac:dyDescent="0.25">
      <c r="A82" s="223"/>
      <c r="B82" s="66" t="str">
        <f>IF(C82&gt;0,VLOOKUP(C82,Программа!A$2:B$5100,2))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56" t="s">
        <v>655</v>
      </c>
      <c r="D82" s="823">
        <f>SUMIFS(Пр12!G$10:G$1648,Пр12!$D$10:$D$1648,C82)</f>
        <v>6531604</v>
      </c>
      <c r="E82" s="822">
        <f>SUMIFS(Пр12!H$10:H$1648,Пр12!$D$10:$D$1648,C82)</f>
        <v>-109310</v>
      </c>
      <c r="F82" s="823">
        <f>SUMIFS(Пр12!I$10:I$1648,Пр12!$D$10:$D$1648,C82)</f>
        <v>6422294</v>
      </c>
    </row>
    <row r="83" spans="1:6" s="214" customFormat="1" ht="63.75" thickBot="1" x14ac:dyDescent="0.25">
      <c r="A83" s="215"/>
      <c r="B83" s="216" t="str">
        <f>IF(C83&gt;0,VLOOKUP(C83,Программа!A$2:B$5100,2))</f>
        <v>Муниципальная целевая программа «Развитие субъектов малого и среднего предпринимательства Тутаевского муниципального района»</v>
      </c>
      <c r="C83" s="831" t="s">
        <v>666</v>
      </c>
      <c r="D83" s="825">
        <f>SUMIFS(Пр12!G$10:G$1648,Пр12!$D$10:$D$1648,C83)</f>
        <v>4000001</v>
      </c>
      <c r="E83" s="822">
        <f>SUMIFS(Пр12!H$10:H$1648,Пр12!$D$10:$D$1648,C83)</f>
        <v>0</v>
      </c>
      <c r="F83" s="825">
        <f>SUMIFS(Пр12!I$10:I$1648,Пр12!$D$10:$D$1648,C83)</f>
        <v>4000001</v>
      </c>
    </row>
    <row r="84" spans="1:6" ht="79.5" hidden="1" thickBot="1" x14ac:dyDescent="0.25">
      <c r="A84" s="217"/>
      <c r="B84" s="67" t="str">
        <f>IF(C84&gt;0,VLOOKUP(C84,Программа!A$2:B$5100,2))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832" t="s">
        <v>668</v>
      </c>
      <c r="D84" s="822">
        <f>SUMIFS(Пр12!G$10:G$1648,Пр12!$D$10:$D$1648,C84)</f>
        <v>0</v>
      </c>
      <c r="E84" s="822">
        <f>SUMIFS(Пр12!H$10:H$1648,Пр12!$D$10:$D$1648,C84)</f>
        <v>0</v>
      </c>
      <c r="F84" s="825">
        <f>SUMIFS(Пр12!I$10:I$1648,Пр12!$D$10:$D$1648,C84)</f>
        <v>0</v>
      </c>
    </row>
    <row r="85" spans="1:6" ht="48" thickBot="1" x14ac:dyDescent="0.25">
      <c r="A85" s="217"/>
      <c r="B85" s="67" t="str">
        <f>IF(C85&gt;0,VLOOKUP(C85,Программа!A$2:B$5100,2))</f>
        <v>Развитие системы финансовой поддержки субъектов малого и среднего предпринимательства</v>
      </c>
      <c r="C85" s="832" t="s">
        <v>670</v>
      </c>
      <c r="D85" s="822">
        <f>SUMIFS(Пр12!G$10:G$1648,Пр12!$D$10:$D$1648,C85)</f>
        <v>4000001</v>
      </c>
      <c r="E85" s="822">
        <f>SUMIFS(Пр12!H$10:H$1648,Пр12!$D$10:$D$1648,C85)</f>
        <v>0</v>
      </c>
      <c r="F85" s="825">
        <f>SUMIFS(Пр12!I$10:I$1648,Пр12!$D$10:$D$1648,C85)</f>
        <v>4000001</v>
      </c>
    </row>
    <row r="86" spans="1:6" s="214" customFormat="1" ht="48" thickBot="1" x14ac:dyDescent="0.25">
      <c r="A86" s="215"/>
      <c r="B86" s="216" t="str">
        <f>IF(C86&gt;0,VLOOKUP(C86,Программа!A$2:B$5100,2))</f>
        <v>Муниципальная целевая программа "Развитие потребительского рынка Тутаевского муниципального района "</v>
      </c>
      <c r="C86" s="833" t="s">
        <v>672</v>
      </c>
      <c r="D86" s="825">
        <f>SUMIFS(Пр12!G$10:G$1648,Пр12!$D$10:$D$1648,C86)</f>
        <v>230586</v>
      </c>
      <c r="E86" s="822">
        <f>SUMIFS(Пр12!H$10:H$1648,Пр12!$D$10:$D$1648,C86)</f>
        <v>-55000</v>
      </c>
      <c r="F86" s="825">
        <f>SUMIFS(Пр12!I$10:I$1648,Пр12!$D$10:$D$1648,C86)</f>
        <v>175586</v>
      </c>
    </row>
    <row r="87" spans="1:6" ht="48" thickBot="1" x14ac:dyDescent="0.25">
      <c r="A87" s="217"/>
      <c r="B87" s="67" t="str">
        <f>IF(C87&gt;0,VLOOKUP(C87,Программа!A$2:B$5100,2))</f>
        <v>Обеспечение доступности товаров для сельского населения путем оказания государственной поддержки</v>
      </c>
      <c r="C87" s="832" t="s">
        <v>674</v>
      </c>
      <c r="D87" s="822">
        <f>SUMIFS(Пр12!G$10:G$1648,Пр12!$D$10:$D$1648,C87)</f>
        <v>230586</v>
      </c>
      <c r="E87" s="822">
        <f>SUMIFS(Пр12!H$10:H$1648,Пр12!$D$10:$D$1648,C87)</f>
        <v>-55000</v>
      </c>
      <c r="F87" s="825">
        <f>SUMIFS(Пр12!I$10:I$1648,Пр12!$D$10:$D$1648,C87)</f>
        <v>175586</v>
      </c>
    </row>
    <row r="88" spans="1:6" s="214" customFormat="1" ht="63.75" thickBot="1" x14ac:dyDescent="0.25">
      <c r="A88" s="215"/>
      <c r="B88" s="216" t="str">
        <f>IF(C88&gt;0,VLOOKUP(C88,Программа!A$2:B$5100,2))</f>
        <v>Муниципальная целевая программа "Развитие агропромышленного комплекса и сельских территорий Тутаевского муниципального района"</v>
      </c>
      <c r="C88" s="833" t="s">
        <v>657</v>
      </c>
      <c r="D88" s="825">
        <f>SUMIFS(Пр12!G$10:G$1648,Пр12!$D$10:$D$1648,C88)</f>
        <v>2301017</v>
      </c>
      <c r="E88" s="822">
        <f>SUMIFS(Пр12!H$10:H$1648,Пр12!$D$10:$D$1648,C88)</f>
        <v>-54310</v>
      </c>
      <c r="F88" s="825">
        <f>SUMIFS(Пр12!I$10:I$1648,Пр12!$D$10:$D$1648,C88)</f>
        <v>2246707</v>
      </c>
    </row>
    <row r="89" spans="1:6" ht="79.5" thickBot="1" x14ac:dyDescent="0.25">
      <c r="A89" s="217"/>
      <c r="B89" s="67" t="str">
        <f>IF(C89&gt;0,VLOOKUP(C89,Программа!A$2:B$5100,2))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89" s="832" t="s">
        <v>659</v>
      </c>
      <c r="D89" s="822">
        <f>SUMIFS(Пр12!G$10:G$1648,Пр12!$D$10:$D$1648,C89)</f>
        <v>2005900</v>
      </c>
      <c r="E89" s="822">
        <f>SUMIFS(Пр12!H$10:H$1648,Пр12!$D$10:$D$1648,C89)</f>
        <v>-34310</v>
      </c>
      <c r="F89" s="825">
        <f>SUMIFS(Пр12!I$10:I$1648,Пр12!$D$10:$D$1648,C89)</f>
        <v>1971590</v>
      </c>
    </row>
    <row r="90" spans="1:6" ht="32.25" thickBot="1" x14ac:dyDescent="0.25">
      <c r="A90" s="217"/>
      <c r="B90" s="67" t="str">
        <f>IF(C90&gt;0,VLOOKUP(C90,Программа!A$2:B$5100,2))</f>
        <v xml:space="preserve">Кадровое обеспечение агропромышленного комплекса </v>
      </c>
      <c r="C90" s="832" t="s">
        <v>661</v>
      </c>
      <c r="D90" s="822">
        <f>SUMIFS(Пр12!G$10:G$1648,Пр12!$D$10:$D$1648,C90)</f>
        <v>50000</v>
      </c>
      <c r="E90" s="822">
        <f>SUMIFS(Пр12!H$10:H$1648,Пр12!$D$10:$D$1648,C90)</f>
        <v>-20000</v>
      </c>
      <c r="F90" s="825">
        <f>SUMIFS(Пр12!I$10:I$1648,Пр12!$D$10:$D$1648,C90)</f>
        <v>30000</v>
      </c>
    </row>
    <row r="91" spans="1:6" ht="95.25" thickBot="1" x14ac:dyDescent="0.25">
      <c r="A91" s="217"/>
      <c r="B91" s="67" t="str">
        <f>IF(C91&gt;0,VLOOKUP(C91,Программа!A$2:B$5100,2))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832" t="s">
        <v>664</v>
      </c>
      <c r="D91" s="822">
        <f>SUMIFS(Пр12!G$10:G$1648,Пр12!$D$10:$D$1648,C91)</f>
        <v>245117</v>
      </c>
      <c r="E91" s="822">
        <f>SUMIFS(Пр12!H$10:H$1648,Пр12!$D$10:$D$1648,C91)</f>
        <v>0</v>
      </c>
      <c r="F91" s="825">
        <f>SUMIFS(Пр12!I$10:I$1648,Пр12!$D$10:$D$1648,C91)</f>
        <v>245117</v>
      </c>
    </row>
    <row r="92" spans="1:6" s="211" customFormat="1" ht="63.75" hidden="1" thickBot="1" x14ac:dyDescent="0.25">
      <c r="A92" s="223"/>
      <c r="B92" s="66" t="str">
        <f>IF(C92&gt;0,VLOOKUP(C92,Программа!A$2:B$5100,2))</f>
        <v>Муниципальная программа "Повышение эффективности управления муниципальными финансами"</v>
      </c>
      <c r="C92" s="56" t="s">
        <v>634</v>
      </c>
      <c r="D92" s="823">
        <f>SUMIFS(Пр12!G$10:G$1648,Пр12!$D$10:$D$1648,C92)</f>
        <v>0</v>
      </c>
      <c r="E92" s="822">
        <f>SUMIFS(Пр12!H$10:H$1648,Пр12!$D$10:$D$1648,C92)</f>
        <v>0</v>
      </c>
      <c r="F92" s="829">
        <f>SUMIFS(Пр12!I$10:I$1648,Пр12!$D$10:$D$1648,C92)</f>
        <v>0</v>
      </c>
    </row>
    <row r="93" spans="1:6" ht="32.25" hidden="1" thickBot="1" x14ac:dyDescent="0.25">
      <c r="A93" s="217"/>
      <c r="B93" s="67" t="str">
        <f>IF(C93&gt;0,VLOOKUP(C93,Программа!A$2:B$5100,2))</f>
        <v>Совершенствование межбюджетных отношений</v>
      </c>
      <c r="C93" s="834" t="s">
        <v>809</v>
      </c>
      <c r="D93" s="822">
        <f>SUMIFS(Пр12!G$10:G$1648,Пр12!$D$10:$D$1648,C93)</f>
        <v>0</v>
      </c>
      <c r="E93" s="822">
        <f>SUMIFS(Пр12!H$10:H$1648,Пр12!$D$10:$D$1648,C93)</f>
        <v>0</v>
      </c>
      <c r="F93" s="825">
        <f>SUMIFS(Пр12!I$10:I$1648,Пр12!$D$10:$D$1648,C93)</f>
        <v>0</v>
      </c>
    </row>
    <row r="94" spans="1:6" ht="32.25" hidden="1" thickBot="1" x14ac:dyDescent="0.25">
      <c r="A94" s="217"/>
      <c r="B94" s="67" t="str">
        <f>IF(C94&gt;0,VLOOKUP(C94,Программа!A$2:B$5100,2))</f>
        <v xml:space="preserve">Повышение эффективности управления муниципальным долгом </v>
      </c>
      <c r="C94" s="832" t="s">
        <v>805</v>
      </c>
      <c r="D94" s="822">
        <f>SUMIFS(Пр12!G$10:G$1648,Пр12!$D$10:$D$1648,C94)</f>
        <v>0</v>
      </c>
      <c r="E94" s="822">
        <f>SUMIFS(Пр12!H$10:H$1648,Пр12!$D$10:$D$1648,C94)</f>
        <v>0</v>
      </c>
      <c r="F94" s="825">
        <f>SUMIFS(Пр12!I$10:I$1648,Пр12!$D$10:$D$1648,C94)</f>
        <v>0</v>
      </c>
    </row>
    <row r="95" spans="1:6" s="214" customFormat="1" ht="63.75" hidden="1" thickBot="1" x14ac:dyDescent="0.25">
      <c r="A95" s="215"/>
      <c r="B95" s="216" t="str">
        <f>IF(C95&gt;0,VLOOKUP(C95,Программа!A$2:B$5100,2))</f>
        <v>Ведомственная целевая программа департамента финансов администрации Тутаевского муниципального района</v>
      </c>
      <c r="C95" s="833" t="s">
        <v>797</v>
      </c>
      <c r="D95" s="825">
        <f>SUMIFS(Пр12!G$10:G$1648,Пр12!$D$10:$D$1648,C95)</f>
        <v>0</v>
      </c>
      <c r="E95" s="822">
        <f>SUMIFS(Пр12!H$10:H$1648,Пр12!$D$10:$D$1648,C95)</f>
        <v>0</v>
      </c>
      <c r="F95" s="825">
        <f>SUMIFS(Пр12!I$10:I$1648,Пр12!$D$10:$D$1648,C95)</f>
        <v>0</v>
      </c>
    </row>
    <row r="96" spans="1:6" ht="32.25" hidden="1" thickBot="1" x14ac:dyDescent="0.25">
      <c r="A96" s="217"/>
      <c r="B96" s="67" t="str">
        <f>IF(C96&gt;0,VLOOKUP(C96,Программа!A$2:B$5100,2))</f>
        <v>Обеспечение деятельности финансового органа</v>
      </c>
      <c r="C96" s="832" t="s">
        <v>799</v>
      </c>
      <c r="D96" s="822">
        <f>SUMIFS(Пр12!G$10:G$1648,Пр12!$D$10:$D$1648,C96)</f>
        <v>0</v>
      </c>
      <c r="E96" s="822">
        <f>SUMIFS(Пр12!H$10:H$1648,Пр12!$D$10:$D$1648,C96)</f>
        <v>0</v>
      </c>
      <c r="F96" s="825">
        <f>SUMIFS(Пр12!I$10:I$1648,Пр12!$D$10:$D$1648,C96)</f>
        <v>0</v>
      </c>
    </row>
    <row r="97" spans="1:6" s="211" customFormat="1" ht="79.5" thickBot="1" x14ac:dyDescent="0.25">
      <c r="A97" s="223"/>
      <c r="B97" s="66" t="str">
        <f>IF(C97&gt;0,VLOOKUP(C97,Программа!A$2:B$5100,2))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97" s="835" t="s">
        <v>638</v>
      </c>
      <c r="D97" s="823">
        <f>SUMIFS(Пр12!G$10:G$1648,Пр12!$D$10:$D$1648,C97)</f>
        <v>329800</v>
      </c>
      <c r="E97" s="822">
        <f>SUMIFS(Пр12!H$10:H$1648,Пр12!$D$10:$D$1648,C97)</f>
        <v>-84100</v>
      </c>
      <c r="F97" s="823">
        <f>SUMIFS(Пр12!I$10:I$1648,Пр12!$D$10:$D$1648,C97)</f>
        <v>245700</v>
      </c>
    </row>
    <row r="98" spans="1:6" ht="63.75" thickBot="1" x14ac:dyDescent="0.25">
      <c r="A98" s="217"/>
      <c r="B98" s="67" t="str">
        <f>IF(C98&gt;0,VLOOKUP(C98,Программа!A$2:B$5100,2))</f>
        <v xml:space="preserve">Профессиональное развитие  муниципальных служащих и повышение квалификации руководителей муниципальных учреждений </v>
      </c>
      <c r="C98" s="836" t="s">
        <v>639</v>
      </c>
      <c r="D98" s="822">
        <f>SUMIFS(Пр12!G$10:G$1648,Пр12!$D$10:$D$1648,C98)</f>
        <v>329800</v>
      </c>
      <c r="E98" s="822">
        <f>SUMIFS(Пр12!H$10:H$1648,Пр12!$D$10:$D$1648,C98)</f>
        <v>-84100</v>
      </c>
      <c r="F98" s="825">
        <f>SUMIFS(Пр12!I$10:I$1648,Пр12!$D$10:$D$1648,C98)</f>
        <v>245700</v>
      </c>
    </row>
    <row r="99" spans="1:6" s="211" customFormat="1" ht="63.75" thickBot="1" x14ac:dyDescent="0.25">
      <c r="A99" s="223"/>
      <c r="B99" s="66" t="str">
        <f>IF(C99&gt;0,VLOOKUP(C99,Программа!A$2:B$5100,2))</f>
        <v>Муниципальная программа "Информатизация управленческой деятельности Администрации Тутаевского муниципального района"</v>
      </c>
      <c r="C99" s="835" t="s">
        <v>642</v>
      </c>
      <c r="D99" s="823">
        <f>SUMIFS(Пр12!G$10:G$1648,Пр12!$D$10:$D$1648,C99)</f>
        <v>2504570</v>
      </c>
      <c r="E99" s="822">
        <f>SUMIFS(Пр12!H$10:H$1648,Пр12!$D$10:$D$1648,C99)</f>
        <v>-210503</v>
      </c>
      <c r="F99" s="829">
        <f>SUMIFS(Пр12!I$10:I$1648,Пр12!$D$10:$D$1648,C99)</f>
        <v>2294067</v>
      </c>
    </row>
    <row r="100" spans="1:6" ht="32.25" thickBot="1" x14ac:dyDescent="0.25">
      <c r="A100" s="217"/>
      <c r="B100" s="67" t="str">
        <f>IF(C100&gt;0,VLOOKUP(C100,Программа!A$2:B$5100,2))</f>
        <v>Бесперебойное функционирование информационных систем</v>
      </c>
      <c r="C100" s="837" t="s">
        <v>679</v>
      </c>
      <c r="D100" s="822">
        <f>SUMIFS(Пр12!G$10:G$1648,Пр12!$D$10:$D$1648,C100)</f>
        <v>1936570</v>
      </c>
      <c r="E100" s="822">
        <f>SUMIFS(Пр12!H$10:H$1648,Пр12!$D$10:$D$1648,C100)</f>
        <v>-68049</v>
      </c>
      <c r="F100" s="825">
        <f>SUMIFS(Пр12!I$10:I$1648,Пр12!$D$10:$D$1648,C100)</f>
        <v>1868521</v>
      </c>
    </row>
    <row r="101" spans="1:6" ht="63.75" thickBot="1" x14ac:dyDescent="0.25">
      <c r="A101" s="217"/>
      <c r="B101" s="67" t="str">
        <f>IF(C101&gt;0,VLOOKUP(C101,Программа!A$2:B$5100,2))</f>
        <v>Закупка компьютерного оборудования  и оргтехники для бесперебойного обеспечения деятельности органов местного самоуправления</v>
      </c>
      <c r="C101" s="836" t="s">
        <v>644</v>
      </c>
      <c r="D101" s="822">
        <f>SUMIFS(Пр12!G$10:G$1648,Пр12!$D$10:$D$1648,C101)</f>
        <v>568000</v>
      </c>
      <c r="E101" s="822">
        <f>SUMIFS(Пр12!H$10:H$1648,Пр12!$D$10:$D$1648,C101)</f>
        <v>-142454</v>
      </c>
      <c r="F101" s="825">
        <f>SUMIFS(Пр12!I$10:I$1648,Пр12!$D$10:$D$1648,C101)</f>
        <v>425546</v>
      </c>
    </row>
    <row r="102" spans="1:6" s="211" customFormat="1" ht="111" thickBot="1" x14ac:dyDescent="0.25">
      <c r="A102" s="223"/>
      <c r="B102" s="66" t="str">
        <f>IF(C102&gt;0,VLOOKUP(C102,Программа!A$2:B$5100,2))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2" s="835" t="s">
        <v>646</v>
      </c>
      <c r="D102" s="823">
        <f>SUMIFS(Пр12!G$10:G$1648,Пр12!$D$10:$D$1648,C102)</f>
        <v>1418352</v>
      </c>
      <c r="E102" s="822">
        <f>SUMIFS(Пр12!H$10:H$1648,Пр12!$D$10:$D$1648,C102)</f>
        <v>660</v>
      </c>
      <c r="F102" s="829">
        <f>SUMIFS(Пр12!I$10:I$1648,Пр12!$D$10:$D$1648,C102)</f>
        <v>1419012</v>
      </c>
    </row>
    <row r="103" spans="1:6" ht="79.5" thickBot="1" x14ac:dyDescent="0.25">
      <c r="A103" s="217"/>
      <c r="B103" s="67" t="str">
        <f>IF(C103&gt;0,VLOOKUP(C103,Программа!A$2:B$5100,2))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3" s="837" t="s">
        <v>647</v>
      </c>
      <c r="D103" s="822">
        <f>SUMIFS(Пр12!G$10:G$1648,Пр12!$D$10:$D$1648,C103)</f>
        <v>1418352</v>
      </c>
      <c r="E103" s="822">
        <f>SUMIFS(Пр12!H$10:H$1648,Пр12!$D$10:$D$1648,C103)</f>
        <v>660</v>
      </c>
      <c r="F103" s="825">
        <f>SUMIFS(Пр12!I$10:I$1648,Пр12!$D$10:$D$1648,C103)</f>
        <v>1419012</v>
      </c>
    </row>
    <row r="104" spans="1:6" ht="48" hidden="1" thickBot="1" x14ac:dyDescent="0.25">
      <c r="A104" s="222" t="s">
        <v>947</v>
      </c>
      <c r="B104" s="67" t="str">
        <f>IF(C104&gt;0,VLOOKUP(C104,Программа!A$2:B$5100,2))</f>
        <v>Развитие взаимодействия органов местного самоуправления Тутаевского муниципального района, СОНКО и ТОС</v>
      </c>
      <c r="C104" s="836" t="s">
        <v>948</v>
      </c>
      <c r="D104" s="822">
        <f>SUMIFS(Пр12!G$10:G$1648,Пр12!$D$10:$D$1648,C104)</f>
        <v>0</v>
      </c>
      <c r="E104" s="822">
        <f>SUMIFS(Пр12!H$10:H$1648,Пр12!$D$10:$D$1648,C104)</f>
        <v>0</v>
      </c>
      <c r="F104" s="825">
        <f>SUMIFS(Пр12!I$10:I$1648,Пр12!$D$10:$D$1648,C104)</f>
        <v>0</v>
      </c>
    </row>
    <row r="105" spans="1:6" s="211" customFormat="1" ht="63.75" thickBot="1" x14ac:dyDescent="0.25">
      <c r="A105" s="223" t="s">
        <v>949</v>
      </c>
      <c r="B105" s="66" t="str">
        <f>IF(C105&gt;0,VLOOKUP(C105,Программа!A$2:B$5100,2))</f>
        <v>Муниципальная программа "Профилактика правонарушений и усиление борьбы с преступностью в Тутаевском муниципальном районе"</v>
      </c>
      <c r="C105" s="835" t="s">
        <v>748</v>
      </c>
      <c r="D105" s="823">
        <f>SUMIFS(Пр12!G$10:G$1648,Пр12!$D$10:$D$1648,C105)</f>
        <v>266000</v>
      </c>
      <c r="E105" s="822">
        <f>SUMIFS(Пр12!H$10:H$1648,Пр12!$D$10:$D$1648,C105)</f>
        <v>-6000</v>
      </c>
      <c r="F105" s="829">
        <f>SUMIFS(Пр12!I$10:I$1648,Пр12!$D$10:$D$1648,C105)</f>
        <v>260000</v>
      </c>
    </row>
    <row r="106" spans="1:6" ht="32.25" thickBot="1" x14ac:dyDescent="0.25">
      <c r="A106" s="222" t="s">
        <v>950</v>
      </c>
      <c r="B106" s="67" t="str">
        <f>IF(C106&gt;0,VLOOKUP(C106,Программа!A$2:B$5100,2))</f>
        <v>Реализация мероприятий по профилактике правонарушений</v>
      </c>
      <c r="C106" s="836" t="s">
        <v>750</v>
      </c>
      <c r="D106" s="822">
        <f>SUMIFS(Пр12!G$10:G$1648,Пр12!$D$10:$D$1648,C106)</f>
        <v>266000</v>
      </c>
      <c r="E106" s="822">
        <f>SUMIFS(Пр12!H$10:H$1648,Пр12!$D$10:$D$1648,C106)</f>
        <v>-6000</v>
      </c>
      <c r="F106" s="825">
        <f>SUMIFS(Пр12!I$10:I$1648,Пр12!$D$10:$D$1648,C106)</f>
        <v>260000</v>
      </c>
    </row>
    <row r="107" spans="1:6" s="211" customFormat="1" ht="79.5" thickBot="1" x14ac:dyDescent="0.25">
      <c r="A107" s="223" t="s">
        <v>951</v>
      </c>
      <c r="B107" s="66" t="str">
        <f>IF(C107&gt;0,VLOOKUP(C107,Программа!A$2:B$5100,2))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07" s="835" t="s">
        <v>861</v>
      </c>
      <c r="D107" s="823">
        <f>SUMIFS(Пр12!G$10:G$1648,Пр12!$D$10:$D$1648,C107)</f>
        <v>28637860</v>
      </c>
      <c r="E107" s="822">
        <f>SUMIFS(Пр12!H$10:H$1648,Пр12!$D$10:$D$1648,C107)</f>
        <v>6415</v>
      </c>
      <c r="F107" s="829">
        <f>SUMIFS(Пр12!I$10:I$1648,Пр12!$D$10:$D$1648,C107)</f>
        <v>28644275</v>
      </c>
    </row>
    <row r="108" spans="1:6" ht="79.5" thickBot="1" x14ac:dyDescent="0.25">
      <c r="A108" s="217" t="s">
        <v>952</v>
      </c>
      <c r="B108" s="67" t="str">
        <f>IF(C108&gt;0,VLOOKUP(C108,Программа!A$2:B$5100,2))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834" t="s">
        <v>863</v>
      </c>
      <c r="D108" s="822">
        <f>SUMIFS(Пр12!G$10:G$1648,Пр12!$D$10:$D$1648,C108)</f>
        <v>15000</v>
      </c>
      <c r="E108" s="822">
        <f>SUMIFS(Пр12!H$10:H$1648,Пр12!$D$10:$D$1648,C108)</f>
        <v>0</v>
      </c>
      <c r="F108" s="825">
        <f>SUMIFS(Пр12!I$10:I$1648,Пр12!$D$10:$D$1648,C108)</f>
        <v>15000</v>
      </c>
    </row>
    <row r="109" spans="1:6" ht="79.5" thickBot="1" x14ac:dyDescent="0.25">
      <c r="A109" s="217" t="s">
        <v>953</v>
      </c>
      <c r="B109" s="67" t="str">
        <f>IF(C109&gt;0,VLOOKUP(C109,Программа!A$2:B$5100,2))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832" t="s">
        <v>865</v>
      </c>
      <c r="D109" s="822">
        <f>SUMIFS(Пр12!G$10:G$1648,Пр12!$D$10:$D$1648,C109)</f>
        <v>661007</v>
      </c>
      <c r="E109" s="822">
        <f>SUMIFS(Пр12!H$10:H$1648,Пр12!$D$10:$D$1648,C109)</f>
        <v>6415</v>
      </c>
      <c r="F109" s="825">
        <f>SUMIFS(Пр12!I$10:I$1648,Пр12!$D$10:$D$1648,C109)</f>
        <v>667422</v>
      </c>
    </row>
    <row r="110" spans="1:6" ht="79.5" thickBot="1" x14ac:dyDescent="0.25">
      <c r="A110" s="217" t="s">
        <v>954</v>
      </c>
      <c r="B110" s="67" t="str">
        <f>IF(C110&gt;0,VLOOKUP(C110,Программа!A$2:B$5100,2))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0" s="832" t="s">
        <v>867</v>
      </c>
      <c r="D110" s="822">
        <f>SUMIFS(Пр12!G$10:G$1648,Пр12!$D$10:$D$1648,C110)</f>
        <v>22007853</v>
      </c>
      <c r="E110" s="822">
        <f>SUMIFS(Пр12!H$10:H$1648,Пр12!$D$10:$D$1648,C110)</f>
        <v>0</v>
      </c>
      <c r="F110" s="825">
        <f>SUMIFS(Пр12!I$10:I$1648,Пр12!$D$10:$D$1648,C110)</f>
        <v>22007853</v>
      </c>
    </row>
    <row r="111" spans="1:6" ht="48" thickBot="1" x14ac:dyDescent="0.25">
      <c r="A111" s="217"/>
      <c r="B111" s="67" t="str">
        <f>IF(C111&gt;0,VLOOKUP(C111,Программа!A$2:B$5100,2))</f>
        <v>Организация предоставления транспортных услуг по перевозке пассажиров речным транспортом</v>
      </c>
      <c r="C111" s="836" t="s">
        <v>3306</v>
      </c>
      <c r="D111" s="822">
        <f>SUMIFS(Пр12!G$10:G$1648,Пр12!$D$10:$D$1648,C111)</f>
        <v>5954000</v>
      </c>
      <c r="E111" s="822">
        <f>SUMIFS(Пр12!H$10:H$1648,Пр12!$D$10:$D$1648,C111)</f>
        <v>0</v>
      </c>
      <c r="F111" s="825">
        <f>SUMIFS(Пр12!I$10:I$1648,Пр12!$D$10:$D$1648,C111)</f>
        <v>5954000</v>
      </c>
    </row>
    <row r="112" spans="1:6" s="211" customFormat="1" ht="48" thickBot="1" x14ac:dyDescent="0.25">
      <c r="A112" s="212" t="s">
        <v>73</v>
      </c>
      <c r="B112" s="66" t="str">
        <f>IF(C112&gt;0,VLOOKUP(C112,Программа!A$2:B$5100,2))</f>
        <v>Муниципальная программа  "Развитие жилищного хозяйства Тутаевского муниципального района"</v>
      </c>
      <c r="C112" s="838" t="s">
        <v>956</v>
      </c>
      <c r="D112" s="823">
        <f>SUMIFS(Пр12!G$10:G$1648,Пр12!$D$10:$D$1648,C112)</f>
        <v>3492209</v>
      </c>
      <c r="E112" s="822">
        <f>SUMIFS(Пр12!H$10:H$1648,Пр12!$D$10:$D$1648,C112)</f>
        <v>-167000</v>
      </c>
      <c r="F112" s="823">
        <f>SUMIFS(Пр12!I$10:I$1648,Пр12!$D$10:$D$1648,C112)</f>
        <v>3325209</v>
      </c>
    </row>
    <row r="113" spans="1:6" s="214" customFormat="1" ht="79.5" thickBot="1" x14ac:dyDescent="0.25">
      <c r="A113" s="215" t="s">
        <v>957</v>
      </c>
      <c r="B113" s="216" t="str">
        <f>IF(C113&gt;0,VLOOKUP(C113,Программа!A$2:B$5100,2))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3" s="839" t="s">
        <v>959</v>
      </c>
      <c r="D113" s="825">
        <f>SUMIFS(Пр12!G$10:G$1648,Пр12!$D$10:$D$1648,C113)</f>
        <v>1349209</v>
      </c>
      <c r="E113" s="822">
        <f>SUMIFS(Пр12!H$10:H$1648,Пр12!$D$10:$D$1648,C113)</f>
        <v>0</v>
      </c>
      <c r="F113" s="825">
        <f>SUMIFS(Пр12!I$10:I$1648,Пр12!$D$10:$D$1648,C113)</f>
        <v>1349209</v>
      </c>
    </row>
    <row r="114" spans="1:6" ht="48" thickBot="1" x14ac:dyDescent="0.25">
      <c r="A114" s="217" t="s">
        <v>960</v>
      </c>
      <c r="B114" s="67" t="str">
        <f>IF(C114&gt;0,VLOOKUP(C114,Программа!A$2:B$5100,2))</f>
        <v>Обеспечение мероприятий по восстановлению лифтового хозяйства многоквартирных домов</v>
      </c>
      <c r="C114" s="840" t="s">
        <v>962</v>
      </c>
      <c r="D114" s="822">
        <f>SUMIFS(Пр12!G$10:G$1648,Пр12!$D$10:$D$1648,C114)</f>
        <v>1349209</v>
      </c>
      <c r="E114" s="822">
        <f>SUMIFS(Пр12!H$10:H$1648,Пр12!$D$10:$D$1648,C114)</f>
        <v>0</v>
      </c>
      <c r="F114" s="825">
        <f>SUMIFS(Пр12!I$10:I$1648,Пр12!$D$10:$D$1648,C114)</f>
        <v>1349209</v>
      </c>
    </row>
    <row r="115" spans="1:6" s="214" customFormat="1" ht="63.75" thickBot="1" x14ac:dyDescent="0.25">
      <c r="A115" s="215" t="s">
        <v>963</v>
      </c>
      <c r="B115" s="216" t="str">
        <f>IF(C115&gt;0,VLOOKUP(C115,Программа!A$2:B$5100,2))</f>
        <v>Муниципальная целевая программа "Ремонт и содержание муниципального жилищного фонда   Тутаевского муниципального района"</v>
      </c>
      <c r="C115" s="839" t="s">
        <v>965</v>
      </c>
      <c r="D115" s="825">
        <f>SUMIFS(Пр12!G$10:G$1648,Пр12!$D$10:$D$1648,C115)</f>
        <v>2143000</v>
      </c>
      <c r="E115" s="822">
        <f>SUMIFS(Пр12!H$10:H$1648,Пр12!$D$10:$D$1648,C115)</f>
        <v>-167000</v>
      </c>
      <c r="F115" s="825">
        <f>SUMIFS(Пр12!I$10:I$1648,Пр12!$D$10:$D$1648,C115)</f>
        <v>1976000</v>
      </c>
    </row>
    <row r="116" spans="1:6" ht="48" hidden="1" thickBot="1" x14ac:dyDescent="0.25">
      <c r="A116" s="222" t="s">
        <v>44</v>
      </c>
      <c r="B116" s="67" t="str">
        <f>IF(C116&gt;0,VLOOKUP(C116,Программа!A$2:B$5100,2))</f>
        <v>Обеспечение мероприятий по замене приборов учета в муниципальном жилищном фонде</v>
      </c>
      <c r="C116" s="841" t="s">
        <v>967</v>
      </c>
      <c r="D116" s="822">
        <f>SUMIFS(Пр12!G$10:G$1648,Пр12!$D$10:$D$1648,C116)</f>
        <v>100000</v>
      </c>
      <c r="E116" s="822">
        <f>SUMIFS(Пр12!H$10:H$1648,Пр12!$D$10:$D$1648,C116)</f>
        <v>-100000</v>
      </c>
      <c r="F116" s="825">
        <f>SUMIFS(Пр12!I$10:I$1648,Пр12!$D$10:$D$1648,C116)</f>
        <v>0</v>
      </c>
    </row>
    <row r="117" spans="1:6" ht="32.25" thickBot="1" x14ac:dyDescent="0.25">
      <c r="A117" s="217" t="s">
        <v>968</v>
      </c>
      <c r="B117" s="67" t="str">
        <f>IF(C117&gt;0,VLOOKUP(C117,Программа!A$2:B$5100,2))</f>
        <v>Обеспечение мероприятий по ремонту общедомового имущества</v>
      </c>
      <c r="C117" s="841" t="s">
        <v>970</v>
      </c>
      <c r="D117" s="822">
        <f>SUMIFS(Пр12!G$10:G$1648,Пр12!$D$10:$D$1648,C117)</f>
        <v>1243000</v>
      </c>
      <c r="E117" s="822">
        <f>SUMIFS(Пр12!H$10:H$1648,Пр12!$D$10:$D$1648,C117)</f>
        <v>130000</v>
      </c>
      <c r="F117" s="825">
        <f>SUMIFS(Пр12!I$10:I$1648,Пр12!$D$10:$D$1648,C117)</f>
        <v>1373000</v>
      </c>
    </row>
    <row r="118" spans="1:6" ht="32.25" thickBot="1" x14ac:dyDescent="0.25">
      <c r="A118" s="222" t="s">
        <v>56</v>
      </c>
      <c r="B118" s="67" t="str">
        <f>IF(C118&gt;0,VLOOKUP(C118,Программа!A$2:B$5100,2))</f>
        <v>Обеспечение мероприятий по ремонту муниципальных квартир</v>
      </c>
      <c r="C118" s="841" t="s">
        <v>971</v>
      </c>
      <c r="D118" s="822">
        <f>SUMIFS(Пр12!G$10:G$1648,Пр12!$D$10:$D$1648,C118)</f>
        <v>623000</v>
      </c>
      <c r="E118" s="822">
        <f>SUMIFS(Пр12!H$10:H$1648,Пр12!$D$10:$D$1648,C118)</f>
        <v>-140000</v>
      </c>
      <c r="F118" s="825">
        <f>SUMIFS(Пр12!I$10:I$1648,Пр12!$D$10:$D$1648,C118)</f>
        <v>483000</v>
      </c>
    </row>
    <row r="119" spans="1:6" ht="36" customHeight="1" thickBot="1" x14ac:dyDescent="0.25">
      <c r="A119" s="222"/>
      <c r="B119" s="682" t="str">
        <f>IF(C119&gt;0,VLOOKUP(C119,Программа!A$2:B$5100,2))</f>
        <v>Обеспечение мероприятий по обследованию жилых домов</v>
      </c>
      <c r="C119" s="840" t="s">
        <v>3293</v>
      </c>
      <c r="D119" s="842">
        <f>SUMIFS(Пр12!G$10:G$1648,Пр12!$D$10:$D$1648,C119)</f>
        <v>177000</v>
      </c>
      <c r="E119" s="822">
        <f>SUMIFS(Пр12!H$10:H$1648,Пр12!$D$10:$D$1648,C119)</f>
        <v>-57000</v>
      </c>
      <c r="F119" s="825">
        <f>SUMIFS(Пр12!I$10:I$1648,Пр12!$D$10:$D$1648,C119)</f>
        <v>120000</v>
      </c>
    </row>
    <row r="120" spans="1:6" s="211" customFormat="1" ht="63.75" thickBot="1" x14ac:dyDescent="0.25">
      <c r="A120" s="223"/>
      <c r="B120" s="683" t="str">
        <f>IF(C120&gt;0,VLOOKUP(C120,Программа!A$2:B$5100,2))</f>
        <v>Муниципальная программа "Благоустройство  и санитарно-эпидемиологическая безопасность  Тутаевского муниципального района</v>
      </c>
      <c r="C120" s="843" t="s">
        <v>974</v>
      </c>
      <c r="D120" s="844">
        <f>SUMIFS(Пр12!G$10:G$1648,Пр12!$D$10:$D$1648,C120)</f>
        <v>36121105.219999999</v>
      </c>
      <c r="E120" s="845">
        <f>SUMIFS(Пр12!H$10:H$1648,Пр12!$D$10:$D$1648,C120)</f>
        <v>-343553</v>
      </c>
      <c r="F120" s="846">
        <f>SUMIFS(Пр12!I$10:I$1648,Пр12!$D$10:$D$1648,C120)</f>
        <v>35777552.219999999</v>
      </c>
    </row>
    <row r="121" spans="1:6" s="214" customFormat="1" ht="63.75" thickBot="1" x14ac:dyDescent="0.25">
      <c r="A121" s="270"/>
      <c r="B121" s="680" t="str">
        <f>IF(C121&gt;0,VLOOKUP(C121,Программа!A$2:B$5100,2))</f>
        <v>Муниципальная целевая программа "Организация и развитие ритуальных услуг и мест захоронения в Тутаевском муниципальном районе"</v>
      </c>
      <c r="C121" s="847" t="s">
        <v>976</v>
      </c>
      <c r="D121" s="266">
        <f>SUMIFS(Пр12!G$10:G$1648,Пр12!$D$10:$D$1648,C121)</f>
        <v>1007324</v>
      </c>
      <c r="E121" s="262">
        <f>SUMIFS(Пр12!H$10:H$1648,Пр12!$D$10:$D$1648,C121)</f>
        <v>0</v>
      </c>
      <c r="F121" s="266">
        <f>SUMIFS(Пр12!I$10:I$1648,Пр12!$D$10:$D$1648,C121)</f>
        <v>1007324</v>
      </c>
    </row>
    <row r="122" spans="1:6" ht="48" thickBot="1" x14ac:dyDescent="0.25">
      <c r="A122" s="269"/>
      <c r="B122" s="31" t="str">
        <f>IF(C122&gt;0,VLOOKUP(C122,Программа!A$2:B$5100,2))</f>
        <v>Обеспечение комплекса работ по повышению уровня благоустройства мест погребений</v>
      </c>
      <c r="C122" s="840" t="s">
        <v>978</v>
      </c>
      <c r="D122" s="262">
        <f>SUMIFS(Пр12!G$10:G$1648,Пр12!$D$10:$D$1648,C122)</f>
        <v>1007324</v>
      </c>
      <c r="E122" s="262">
        <f>SUMIFS(Пр12!H$10:H$1648,Пр12!$D$10:$D$1648,C122)</f>
        <v>0</v>
      </c>
      <c r="F122" s="266">
        <f>SUMIFS(Пр12!I$10:I$1648,Пр12!$D$10:$D$1648,C122)</f>
        <v>1007324</v>
      </c>
    </row>
    <row r="123" spans="1:6" s="214" customFormat="1" ht="63.75" thickBot="1" x14ac:dyDescent="0.25">
      <c r="A123" s="270"/>
      <c r="B123" s="680" t="str">
        <f>IF(C123&gt;0,VLOOKUP(C123,Программа!A$2:B$5100,2))</f>
        <v>Муниципальная целевая программа "Благоустройство и озеленение территории  в Тутаевского муниципального  района"</v>
      </c>
      <c r="C123" s="847" t="s">
        <v>980</v>
      </c>
      <c r="D123" s="266">
        <f>SUMIFS(Пр12!G$10:G$1648,Пр12!$D$10:$D$1648,C123)</f>
        <v>35113781.219999999</v>
      </c>
      <c r="E123" s="262">
        <f>SUMIFS(Пр12!H$10:H$1648,Пр12!$D$10:$D$1648,C123)</f>
        <v>-343553</v>
      </c>
      <c r="F123" s="266">
        <f>SUMIFS(Пр12!I$10:I$1648,Пр12!$D$10:$D$1648,C123)</f>
        <v>34770228.219999999</v>
      </c>
    </row>
    <row r="124" spans="1:6" ht="63.75" thickBot="1" x14ac:dyDescent="0.25">
      <c r="A124" s="269"/>
      <c r="B124" s="31" t="str">
        <f>IF(C124&gt;0,VLOOKUP(C124,Программа!A$2:B$5100,2))</f>
        <v>Улучшение уровня внешнего благоустройства и санитарного  состояния территорий Тутаевского муниципального района</v>
      </c>
      <c r="C124" s="840" t="s">
        <v>982</v>
      </c>
      <c r="D124" s="262">
        <f>SUMIFS(Пр12!G$10:G$1648,Пр12!$D$10:$D$1648,C124)</f>
        <v>35113781.219999999</v>
      </c>
      <c r="E124" s="262">
        <f>SUMIFS(Пр12!H$10:H$1648,Пр12!$D$10:$D$1648,C124)</f>
        <v>-343553</v>
      </c>
      <c r="F124" s="266">
        <f>SUMIFS(Пр12!I$10:I$1648,Пр12!$D$10:$D$1648,C124)</f>
        <v>34770228.219999999</v>
      </c>
    </row>
    <row r="125" spans="1:6" ht="48" hidden="1" thickBot="1" x14ac:dyDescent="0.25">
      <c r="A125" s="269"/>
      <c r="B125" s="31" t="str">
        <f>IF(C125&gt;0,VLOOKUP(C125,Программа!A$2:B$5100,2))</f>
        <v xml:space="preserve">Обеспечение мероприятий по совершенствованию  эстетического  состояния территорий </v>
      </c>
      <c r="C125" s="840" t="s">
        <v>984</v>
      </c>
      <c r="D125" s="262">
        <f>SUMIFS(Пр12!G$10:G$1648,Пр12!$D$10:$D$1648,C125)</f>
        <v>0</v>
      </c>
      <c r="E125" s="262">
        <f>SUMIFS(Пр12!H$10:H$1648,Пр12!$D$10:$D$1648,C125)</f>
        <v>0</v>
      </c>
      <c r="F125" s="266">
        <f>SUMIFS(Пр12!I$10:I$1648,Пр12!$D$10:$D$1648,C125)</f>
        <v>0</v>
      </c>
    </row>
    <row r="126" spans="1:6" ht="48" hidden="1" thickBot="1" x14ac:dyDescent="0.25">
      <c r="A126" s="269"/>
      <c r="B126" s="31" t="str">
        <f>IF(C126&gt;0,VLOOKUP(C126,Программа!A$2:B$5100,2))</f>
        <v>Обеспечение мероприятий по благоустройству мест массового отдыха населения</v>
      </c>
      <c r="C126" s="840" t="s">
        <v>986</v>
      </c>
      <c r="D126" s="262">
        <f>SUMIFS(Пр12!G$10:G$1648,Пр12!$D$10:$D$1648,C126)</f>
        <v>0</v>
      </c>
      <c r="E126" s="262">
        <f>SUMIFS(Пр12!H$10:H$1648,Пр12!$D$10:$D$1648,C126)</f>
        <v>0</v>
      </c>
      <c r="F126" s="266">
        <f>SUMIFS(Пр12!I$10:I$1648,Пр12!$D$10:$D$1648,C126)</f>
        <v>0</v>
      </c>
    </row>
    <row r="127" spans="1:6" s="211" customFormat="1" ht="63.75" thickBot="1" x14ac:dyDescent="0.25">
      <c r="A127" s="223"/>
      <c r="B127" s="560" t="str">
        <f>IF(C127&gt;0,VLOOKUP(C127,Программа!A$2:B$5100,2))</f>
        <v>Муниципальная программа "Обеспечение населения Тутаевского муниципального района банными услугами"</v>
      </c>
      <c r="C127" s="848" t="s">
        <v>988</v>
      </c>
      <c r="D127" s="849">
        <f>SUMIFS(Пр12!G$10:G$1648,Пр12!$D$10:$D$1648,C127)</f>
        <v>5350000</v>
      </c>
      <c r="E127" s="850">
        <f>SUMIFS(Пр12!H$10:H$1648,Пр12!$D$10:$D$1648,C127)</f>
        <v>0</v>
      </c>
      <c r="F127" s="849">
        <f>SUMIFS(Пр12!I$10:I$1648,Пр12!$D$10:$D$1648,C127)</f>
        <v>5350000</v>
      </c>
    </row>
    <row r="128" spans="1:6" ht="48" thickBot="1" x14ac:dyDescent="0.25">
      <c r="A128" s="217"/>
      <c r="B128" s="67" t="str">
        <f>IF(C128&gt;0,VLOOKUP(C128,Программа!A$2:B$5100,2))</f>
        <v>Обеспечение населения Тутаевского муниципального района банными услугами</v>
      </c>
      <c r="C128" s="851" t="s">
        <v>990</v>
      </c>
      <c r="D128" s="822">
        <f>SUMIFS(Пр12!G$10:G$1648,Пр12!$D$10:$D$1648,C128)</f>
        <v>5350000</v>
      </c>
      <c r="E128" s="822">
        <f>SUMIFS(Пр12!H$10:H$1648,Пр12!$D$10:$D$1648,C128)</f>
        <v>0</v>
      </c>
      <c r="F128" s="825">
        <f>SUMIFS(Пр12!I$10:I$1648,Пр12!$D$10:$D$1648,C128)</f>
        <v>5350000</v>
      </c>
    </row>
    <row r="129" spans="1:6" ht="63.75" thickBot="1" x14ac:dyDescent="0.25">
      <c r="A129" s="217"/>
      <c r="B129" s="559" t="str">
        <f>IF(C129&gt;0,VLOOKUP(C129,Программа!A$2:B$5100,2))</f>
        <v>Муниципальная программа "Охрана окружающей среды и рациональное природопользование в Тутаевском муниципальном районе"</v>
      </c>
      <c r="C129" s="852" t="s">
        <v>2914</v>
      </c>
      <c r="D129" s="846">
        <f>SUMIFS(Пр12!G$10:G$1648,Пр12!$D$10:$D$1648,C129)</f>
        <v>913855.13</v>
      </c>
      <c r="E129" s="822">
        <f>SUMIFS(Пр12!H$10:H$1648,Пр12!$D$10:$D$1648,C129)</f>
        <v>-121936</v>
      </c>
      <c r="F129" s="829">
        <f>SUMIFS(Пр12!I$10:I$1648,Пр12!$D$10:$D$1648,C129)</f>
        <v>791919.13</v>
      </c>
    </row>
    <row r="130" spans="1:6" ht="32.25" hidden="1" thickBot="1" x14ac:dyDescent="0.25">
      <c r="A130" s="269"/>
      <c r="B130" s="31" t="str">
        <f>IF(C130&gt;0,VLOOKUP(C130,Программа!A$2:B$5100,2))</f>
        <v>Развитие водохозяйственного комплекса Тутаевского муниципального района</v>
      </c>
      <c r="C130" s="840" t="s">
        <v>2915</v>
      </c>
      <c r="D130" s="262">
        <f>SUMIFS(Пр12!G$10:G$1648,Пр12!$D$10:$D$1648,C130)</f>
        <v>0</v>
      </c>
      <c r="E130" s="822">
        <f>SUMIFS(Пр12!H$10:H$1648,Пр12!$D$10:$D$1648,C130)</f>
        <v>0</v>
      </c>
      <c r="F130" s="825">
        <f>SUMIFS(Пр12!I$10:I$1648,Пр12!$D$10:$D$1648,C130)</f>
        <v>0</v>
      </c>
    </row>
    <row r="131" spans="1:6" ht="63.75" thickBot="1" x14ac:dyDescent="0.25">
      <c r="A131" s="269"/>
      <c r="B131" s="31" t="str">
        <f>IF(C131&gt;0,VLOOKUP(C131,Программа!A$2:B$5100,2))</f>
        <v>Проведение мероприятий по охране окружающей среды и природопользованию на территории Тутаевского муниципального района</v>
      </c>
      <c r="C131" s="840" t="s">
        <v>2962</v>
      </c>
      <c r="D131" s="262">
        <f>SUMIFS(Пр12!G$10:G$1648,Пр12!$D$10:$D$1648,C131)</f>
        <v>913855.13</v>
      </c>
      <c r="E131" s="822">
        <f>SUMIFS(Пр12!H$10:H$1648,Пр12!$D$10:$D$1648,C131)</f>
        <v>-121936</v>
      </c>
      <c r="F131" s="825">
        <f>SUMIFS(Пр12!I$10:I$1648,Пр12!$D$10:$D$1648,C131)</f>
        <v>791919.13</v>
      </c>
    </row>
    <row r="132" spans="1:6" ht="63.75" thickBot="1" x14ac:dyDescent="0.25">
      <c r="A132" s="217"/>
      <c r="B132" s="560" t="str">
        <f>IF(C132&gt;0,VLOOKUP(C132,Программа!A$2:B$5100,2))</f>
        <v>Муниципальная программа "Обеспечение муниципальных закупок в Тутаевском муниципальном районе"</v>
      </c>
      <c r="C132" s="853" t="s">
        <v>2930</v>
      </c>
      <c r="D132" s="849">
        <f>SUMIFS(Пр12!G$10:G$1648,Пр12!$D$10:$D$1648,C132)</f>
        <v>432953</v>
      </c>
      <c r="E132" s="823">
        <f>SUMIFS(Пр12!H$10:H$1648,Пр12!$D$10:$D$1648,C132)</f>
        <v>-35188</v>
      </c>
      <c r="F132" s="829">
        <f>SUMIFS(Пр12!I$10:I$1648,Пр12!$D$10:$D$1648,C132)</f>
        <v>397765</v>
      </c>
    </row>
    <row r="133" spans="1:6" ht="63.75" thickBot="1" x14ac:dyDescent="0.25">
      <c r="A133" s="217"/>
      <c r="B133" s="67" t="str">
        <f>IF(C133&gt;0,VLOOKUP(C133,Программа!A$2:B$5100,2))</f>
        <v>Организация системы подготовки, планирования, информационного сопровождения и осуществления муниципальных закупок</v>
      </c>
      <c r="C133" s="854" t="s">
        <v>2932</v>
      </c>
      <c r="D133" s="845">
        <f>SUMIFS(Пр12!G$10:G$1648,Пр12!$D$10:$D$1648,C133)</f>
        <v>432953</v>
      </c>
      <c r="E133" s="822">
        <f>SUMIFS(Пр12!H$10:H$1648,Пр12!$D$10:$D$1648,C133)</f>
        <v>-35188</v>
      </c>
      <c r="F133" s="825">
        <f>SUMIFS(Пр12!I$10:I$1648,Пр12!$D$10:$D$1648,C133)</f>
        <v>397765</v>
      </c>
    </row>
    <row r="134" spans="1:6" ht="111" hidden="1" thickBot="1" x14ac:dyDescent="0.25">
      <c r="A134" s="217"/>
      <c r="B134" s="67" t="str">
        <f>IF(C134&gt;0,VLOOKUP(C134,Программа!A$2:B$5100,2))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855" t="s">
        <v>2934</v>
      </c>
      <c r="D134" s="845">
        <f>SUMIFS(Пр12!G$10:G$1648,Пр12!$D$10:$D$1648,C134)</f>
        <v>0</v>
      </c>
      <c r="E134" s="822">
        <f>SUMIFS(Пр12!H$10:H$1648,Пр12!$D$10:$D$1648,C134)</f>
        <v>0</v>
      </c>
      <c r="F134" s="825">
        <f>SUMIFS(Пр12!I$10:I$1648,Пр12!$D$10:$D$1648,C134)</f>
        <v>0</v>
      </c>
    </row>
    <row r="135" spans="1:6" ht="63.75" hidden="1" thickBot="1" x14ac:dyDescent="0.25">
      <c r="A135" s="217"/>
      <c r="B135" s="66" t="str">
        <f>IF(C135&gt;0,VLOOKUP(C135,Программа!A$2:B$5100,2))</f>
        <v>Ведомственная целевая программа департамента финансов администрации Тутаевского муниципального района</v>
      </c>
      <c r="C135" s="856" t="s">
        <v>2936</v>
      </c>
      <c r="D135" s="846">
        <f>SUMIFS(Пр12!G$10:G$1648,Пр12!$D$10:$D$1648,C135)</f>
        <v>0</v>
      </c>
      <c r="E135" s="823">
        <f>SUMIFS(Пр12!H$10:H$1648,Пр12!$D$10:$D$1648,C135)</f>
        <v>0</v>
      </c>
      <c r="F135" s="829">
        <f>SUMIFS(Пр12!I$10:I$1648,Пр12!$D$10:$D$1648,C135)</f>
        <v>0</v>
      </c>
    </row>
    <row r="136" spans="1:6" ht="32.25" hidden="1" thickBot="1" x14ac:dyDescent="0.25">
      <c r="A136" s="217"/>
      <c r="B136" s="67" t="str">
        <f>IF(C136&gt;0,VLOOKUP(C136,Программа!A$2:B$5100,2))</f>
        <v>Обеспечение условий для исполнения функций финансового органа</v>
      </c>
      <c r="C136" s="840" t="s">
        <v>2937</v>
      </c>
      <c r="D136" s="845">
        <f>SUMIFS(Пр12!G$10:G$1648,Пр12!$D$10:$D$1648,C136)</f>
        <v>0</v>
      </c>
      <c r="E136" s="822">
        <f>SUMIFS(Пр12!H$10:H$1648,Пр12!$D$10:$D$1648,C136)</f>
        <v>0</v>
      </c>
      <c r="F136" s="825">
        <f>SUMIFS(Пр12!I$10:I$1648,Пр12!$D$10:$D$1648,C136)</f>
        <v>0</v>
      </c>
    </row>
    <row r="137" spans="1:6" ht="32.25" hidden="1" thickBot="1" x14ac:dyDescent="0.25">
      <c r="A137" s="217"/>
      <c r="B137" s="67" t="str">
        <f>IF(C137&gt;0,VLOOKUP(C137,Программа!A$2:B$5100,2))</f>
        <v>Организационно-техническое обеспечение бюджетного процесса</v>
      </c>
      <c r="C137" s="840" t="s">
        <v>3163</v>
      </c>
      <c r="D137" s="845">
        <f>SUMIFS(Пр12!G$10:G$1648,Пр12!$D$10:$D$1648,C137)</f>
        <v>0</v>
      </c>
      <c r="E137" s="822">
        <f>SUMIFS(Пр12!H$10:H$1648,Пр12!$D$10:$D$1648,C137)</f>
        <v>0</v>
      </c>
      <c r="F137" s="825">
        <f>SUMIFS(Пр12!I$10:I$1648,Пр12!$D$10:$D$1648,C137)</f>
        <v>0</v>
      </c>
    </row>
    <row r="138" spans="1:6" ht="32.25" hidden="1" thickBot="1" x14ac:dyDescent="0.25">
      <c r="A138" s="217"/>
      <c r="B138" s="67" t="str">
        <f>IF(C138&gt;0,VLOOKUP(C138,Программа!A$2:B$5100,2))</f>
        <v>Нормативно-методическое обеспечение бюджетного процесса</v>
      </c>
      <c r="C138" s="840" t="s">
        <v>3165</v>
      </c>
      <c r="D138" s="845">
        <f>SUMIFS(Пр12!G$10:G$1648,Пр12!$D$10:$D$1648,C138)</f>
        <v>0</v>
      </c>
      <c r="E138" s="822">
        <f>SUMIFS(Пр12!H$10:H$1648,Пр12!$D$10:$D$1648,C138)</f>
        <v>0</v>
      </c>
      <c r="F138" s="825">
        <f>SUMIFS(Пр12!I$10:I$1648,Пр12!$D$10:$D$1648,C138)</f>
        <v>0</v>
      </c>
    </row>
    <row r="139" spans="1:6" ht="63.75" thickBot="1" x14ac:dyDescent="0.25">
      <c r="A139" s="217"/>
      <c r="B139" s="559" t="str">
        <f>IF(C139&gt;0,VLOOKUP(C139,Программа!A$2:B$5100,2))</f>
        <v>Муниципальная программа "Формирование  современной городской среды"  Тутаевского муниципального района</v>
      </c>
      <c r="C139" s="857" t="s">
        <v>3167</v>
      </c>
      <c r="D139" s="846">
        <f>SUMIFS(Пр12!G$10:G$1648,Пр12!$D$10:$D$1648,C139)</f>
        <v>34199835.379999995</v>
      </c>
      <c r="E139" s="846">
        <f>SUMIFS(Пр12!H$10:H$1648,Пр12!$D$10:$D$1648,C139)</f>
        <v>-19771350</v>
      </c>
      <c r="F139" s="858">
        <f>SUMIFS(Пр12!I$10:I$1648,Пр12!$D$10:$D$1648,C139)+1</f>
        <v>14428486.379999999</v>
      </c>
    </row>
    <row r="140" spans="1:6" ht="32.25" thickBot="1" x14ac:dyDescent="0.25">
      <c r="A140" s="269"/>
      <c r="B140" s="31" t="str">
        <f>IF(C140&gt;0,VLOOKUP(C140,Программа!A$2:B$5100,2))</f>
        <v>Повышение уровня благоустройства дворовых территорий</v>
      </c>
      <c r="C140" s="840" t="s">
        <v>3195</v>
      </c>
      <c r="D140" s="262">
        <f>SUMIFS(Пр12!G$10:G$1648,Пр12!$D$10:$D$1648,C140)</f>
        <v>12056203.620000001</v>
      </c>
      <c r="E140" s="262">
        <f>SUMIFS(Пр12!H$10:H$1648,Пр12!$D$10:$D$1648,C140)</f>
        <v>-3199450</v>
      </c>
      <c r="F140" s="266">
        <f>SUMIFS(Пр12!I$10:I$1648,Пр12!$D$10:$D$1648,C140)</f>
        <v>8856753.620000001</v>
      </c>
    </row>
    <row r="141" spans="1:6" ht="32.25" thickBot="1" x14ac:dyDescent="0.25">
      <c r="A141" s="269"/>
      <c r="B141" s="31" t="str">
        <f>IF(C141&gt;0,VLOOKUP(C141,Программа!A$2:B$5100,2))</f>
        <v>Повышение  уровня благоустройства  мест массового отдыха людей</v>
      </c>
      <c r="C141" s="840" t="s">
        <v>3196</v>
      </c>
      <c r="D141" s="262">
        <f>SUMIFS(Пр12!G$10:G$1648,Пр12!$D$10:$D$1648,C141)</f>
        <v>5071747</v>
      </c>
      <c r="E141" s="262">
        <f>SUMIFS(Пр12!H$10:H$1648,Пр12!$D$10:$D$1648,C141)</f>
        <v>-3856014</v>
      </c>
      <c r="F141" s="266">
        <f>SUMIFS(Пр12!I$10:I$1648,Пр12!$D$10:$D$1648,C141)</f>
        <v>1215733</v>
      </c>
    </row>
    <row r="142" spans="1:6" ht="63.75" thickBot="1" x14ac:dyDescent="0.25">
      <c r="A142" s="269"/>
      <c r="B142" s="31" t="str">
        <f>IF(C142&gt;0,VLOOKUP(C142,Программа!A$2:B$5100,2))</f>
        <v>Повышение безопасности движения пешеходов и транспортных средств на придомовых территориях и проездах к дворовым территориям МКД</v>
      </c>
      <c r="C142" s="840" t="s">
        <v>3197</v>
      </c>
      <c r="D142" s="262">
        <f>SUMIFS(Пр12!G$10:G$1648,Пр12!$D$10:$D$1648,C142)</f>
        <v>17071884.759999998</v>
      </c>
      <c r="E142" s="262">
        <f>SUMIFS(Пр12!H$10:H$1648,Пр12!$D$10:$D$1648,C142)</f>
        <v>-12715886</v>
      </c>
      <c r="F142" s="266">
        <f>SUMIFS(Пр12!I$10:I$1648,Пр12!$D$10:$D$1648,C142)</f>
        <v>4355998.7599999979</v>
      </c>
    </row>
    <row r="143" spans="1:6" ht="63.75" thickBot="1" x14ac:dyDescent="0.25">
      <c r="A143" s="217"/>
      <c r="B143" s="560" t="str">
        <f>IF(C143&gt;0,VLOOKUP(C143,Программа!A$2:B$5100,2))</f>
        <v>Муниципальная программа "Внедрение и развитие аппаратно-программного комплекса "Безопасный город"</v>
      </c>
      <c r="C143" s="853" t="s">
        <v>3172</v>
      </c>
      <c r="D143" s="849">
        <f>D144</f>
        <v>957000</v>
      </c>
      <c r="E143" s="849">
        <f>E144</f>
        <v>0</v>
      </c>
      <c r="F143" s="849">
        <f>F144</f>
        <v>957000</v>
      </c>
    </row>
    <row r="144" spans="1:6" ht="32.25" thickBot="1" x14ac:dyDescent="0.25">
      <c r="A144" s="217"/>
      <c r="B144" s="646" t="str">
        <f>IF(C144&gt;0,VLOOKUP(C144,Программа!A$2:B$5100,2))</f>
        <v>Мероприятия по обеспечению безопасности жителей района</v>
      </c>
      <c r="C144" s="854" t="s">
        <v>3174</v>
      </c>
      <c r="D144" s="845">
        <f>SUMIFS(Пр12!G$10:G$1648,Пр12!$D$10:$D$1648,C144)</f>
        <v>957000</v>
      </c>
      <c r="E144" s="845">
        <f>SUMIFS(Пр12!H$10:H$1648,Пр12!$D$10:$D$1648,C144)</f>
        <v>0</v>
      </c>
      <c r="F144" s="859">
        <f>SUMIFS(Пр12!I$10:I$1648,Пр12!$D$10:$D$1648,C144)</f>
        <v>957000</v>
      </c>
    </row>
    <row r="145" spans="1:6" ht="15" customHeight="1" thickBot="1" x14ac:dyDescent="0.25">
      <c r="A145" s="217"/>
      <c r="B145" s="66" t="s">
        <v>177</v>
      </c>
      <c r="C145" s="56"/>
      <c r="D145" s="823">
        <f>D127+D120+D112+D107+D105+D102+D99+D97+D92+D82+D73+D68+D66+D52+D50+D41+D25+D10+D129+D132+D135+D139+D143</f>
        <v>1966106001.7800002</v>
      </c>
      <c r="E145" s="823">
        <f>E127+E120+E112+E107+E105+E102+E99+E97+E92+E82+E73+E68+E66+E52+E50+E41+E25+E10+E129+E132+E135+E139+E143</f>
        <v>-15738095</v>
      </c>
      <c r="F145" s="823">
        <f>F127+F120+F112+F107+F105+F102+F99+F97+F92+F82+F73+F68+F66+F52+F50+F41+F25+F10+F129+F132+F135+F139+F143</f>
        <v>1950367907.7800002</v>
      </c>
    </row>
    <row r="146" spans="1:6" ht="24.75" customHeight="1" thickBot="1" x14ac:dyDescent="0.25">
      <c r="A146" s="222" t="s">
        <v>991</v>
      </c>
      <c r="B146" s="67" t="str">
        <f>IF(C146&gt;0,VLOOKUP(C146,Программа!A$2:B$5100,2))</f>
        <v>Непрограммные расходы бюджета</v>
      </c>
      <c r="C146" s="828" t="s">
        <v>626</v>
      </c>
      <c r="D146" s="822">
        <f>SUMIFS(Пр12!G$10:G$1648,Пр12!$D$10:$D$1648,C146)</f>
        <v>137453622.25999999</v>
      </c>
      <c r="E146" s="822">
        <f>SUMIFS(Пр12!H$10:H$1648,Пр12!$D$10:$D$1648,C146)</f>
        <v>-1000810.2599999998</v>
      </c>
      <c r="F146" s="825">
        <f>SUMIFS(Пр12!I$10:I$1648,Пр12!$D$10:$D$1648,C146)</f>
        <v>136452812</v>
      </c>
    </row>
    <row r="147" spans="1:6" ht="29.25" customHeight="1" thickBot="1" x14ac:dyDescent="0.25">
      <c r="A147" s="222" t="s">
        <v>992</v>
      </c>
      <c r="B147" s="67" t="str">
        <f>IF(C147&gt;0,VLOOKUP(C147,Программа!A$2:B$5100,2))</f>
        <v>Межбюджетные трансферты  поселениям района</v>
      </c>
      <c r="C147" s="828" t="s">
        <v>801</v>
      </c>
      <c r="D147" s="822">
        <f>SUMIFS(Пр12!G$10:G$1648,Пр12!$D$10:$D$1648,C147)</f>
        <v>163598061.80000001</v>
      </c>
      <c r="E147" s="822">
        <f>SUMIFS(Пр12!H$10:H$1648,Пр12!$D$10:$D$1648,C147)</f>
        <v>-158130</v>
      </c>
      <c r="F147" s="825">
        <f>SUMIFS(Пр12!I$10:I$1648,Пр12!$D$10:$D$1648,C147)</f>
        <v>163439931.80000001</v>
      </c>
    </row>
    <row r="148" spans="1:6" ht="16.5" thickBot="1" x14ac:dyDescent="0.25">
      <c r="A148" s="222"/>
      <c r="B148" s="66" t="s">
        <v>993</v>
      </c>
      <c r="C148" s="860"/>
      <c r="D148" s="823">
        <f>D145+D146+D147+1</f>
        <v>2267157686.8400002</v>
      </c>
      <c r="E148" s="823">
        <f>E145+E146+E147</f>
        <v>-16897035.259999998</v>
      </c>
      <c r="F148" s="823">
        <f>F145+F146+F147</f>
        <v>2250260651.5800004</v>
      </c>
    </row>
    <row r="149" spans="1:6" x14ac:dyDescent="0.2">
      <c r="C149" s="226"/>
    </row>
    <row r="150" spans="1:6" x14ac:dyDescent="0.2">
      <c r="C150" s="226"/>
    </row>
    <row r="151" spans="1:6" x14ac:dyDescent="0.2">
      <c r="C151" s="226"/>
    </row>
    <row r="152" spans="1:6" x14ac:dyDescent="0.2">
      <c r="C152" s="226"/>
    </row>
    <row r="153" spans="1:6" x14ac:dyDescent="0.2">
      <c r="C153" s="226"/>
    </row>
    <row r="154" spans="1:6" x14ac:dyDescent="0.2">
      <c r="C154" s="226"/>
    </row>
    <row r="155" spans="1:6" x14ac:dyDescent="0.2">
      <c r="C155" s="226"/>
    </row>
    <row r="156" spans="1:6" x14ac:dyDescent="0.2">
      <c r="C156" s="226"/>
    </row>
    <row r="157" spans="1:6" x14ac:dyDescent="0.2">
      <c r="C157" s="226"/>
    </row>
    <row r="158" spans="1:6" x14ac:dyDescent="0.2">
      <c r="C158" s="226"/>
    </row>
    <row r="159" spans="1:6" x14ac:dyDescent="0.2">
      <c r="C159" s="226"/>
    </row>
    <row r="160" spans="1:6" x14ac:dyDescent="0.2">
      <c r="C160" s="226"/>
    </row>
    <row r="161" spans="3:3" x14ac:dyDescent="0.2">
      <c r="C161" s="226"/>
    </row>
    <row r="162" spans="3:3" x14ac:dyDescent="0.2">
      <c r="C162" s="226"/>
    </row>
    <row r="163" spans="3:3" x14ac:dyDescent="0.2">
      <c r="C163" s="226"/>
    </row>
    <row r="164" spans="3:3" x14ac:dyDescent="0.2">
      <c r="C164" s="226"/>
    </row>
    <row r="165" spans="3:3" x14ac:dyDescent="0.2">
      <c r="C165" s="226"/>
    </row>
    <row r="166" spans="3:3" x14ac:dyDescent="0.2">
      <c r="C166" s="226"/>
    </row>
    <row r="167" spans="3:3" x14ac:dyDescent="0.2">
      <c r="C167" s="226"/>
    </row>
    <row r="168" spans="3:3" x14ac:dyDescent="0.2">
      <c r="C168" s="226"/>
    </row>
    <row r="169" spans="3:3" x14ac:dyDescent="0.2">
      <c r="C169" s="226"/>
    </row>
    <row r="170" spans="3:3" x14ac:dyDescent="0.2">
      <c r="C170" s="226"/>
    </row>
    <row r="171" spans="3:3" x14ac:dyDescent="0.2">
      <c r="C171" s="226"/>
    </row>
    <row r="172" spans="3:3" x14ac:dyDescent="0.2">
      <c r="C172" s="226"/>
    </row>
    <row r="173" spans="3:3" x14ac:dyDescent="0.2">
      <c r="C173" s="226"/>
    </row>
    <row r="174" spans="3:3" x14ac:dyDescent="0.2">
      <c r="C174" s="226"/>
    </row>
    <row r="175" spans="3:3" x14ac:dyDescent="0.2">
      <c r="C175" s="226"/>
    </row>
    <row r="176" spans="3:3" x14ac:dyDescent="0.2">
      <c r="C176" s="226"/>
    </row>
    <row r="177" spans="3:3" x14ac:dyDescent="0.2">
      <c r="C177" s="226"/>
    </row>
    <row r="178" spans="3:3" x14ac:dyDescent="0.2">
      <c r="C178" s="226"/>
    </row>
    <row r="179" spans="3:3" x14ac:dyDescent="0.2">
      <c r="C179" s="226"/>
    </row>
    <row r="180" spans="3:3" x14ac:dyDescent="0.2">
      <c r="C180" s="226"/>
    </row>
    <row r="181" spans="3:3" x14ac:dyDescent="0.2">
      <c r="C181" s="226"/>
    </row>
    <row r="182" spans="3:3" x14ac:dyDescent="0.2">
      <c r="C182" s="226"/>
    </row>
    <row r="183" spans="3:3" x14ac:dyDescent="0.2">
      <c r="C183" s="226"/>
    </row>
    <row r="184" spans="3:3" x14ac:dyDescent="0.2">
      <c r="C184" s="226"/>
    </row>
    <row r="185" spans="3:3" x14ac:dyDescent="0.2">
      <c r="C185" s="226"/>
    </row>
    <row r="186" spans="3:3" x14ac:dyDescent="0.2">
      <c r="C186" s="226"/>
    </row>
    <row r="187" spans="3:3" x14ac:dyDescent="0.2">
      <c r="C187" s="226"/>
    </row>
    <row r="188" spans="3:3" x14ac:dyDescent="0.2">
      <c r="C188" s="226"/>
    </row>
    <row r="189" spans="3:3" x14ac:dyDescent="0.2">
      <c r="C189" s="226"/>
    </row>
    <row r="190" spans="3:3" x14ac:dyDescent="0.2">
      <c r="C190" s="226"/>
    </row>
    <row r="191" spans="3:3" x14ac:dyDescent="0.2">
      <c r="C191" s="226"/>
    </row>
    <row r="192" spans="3:3" x14ac:dyDescent="0.2">
      <c r="C192" s="226"/>
    </row>
    <row r="193" spans="3:3" x14ac:dyDescent="0.2">
      <c r="C193" s="226"/>
    </row>
    <row r="194" spans="3:3" x14ac:dyDescent="0.2">
      <c r="C194" s="226"/>
    </row>
    <row r="195" spans="3:3" x14ac:dyDescent="0.2">
      <c r="C195" s="226"/>
    </row>
    <row r="196" spans="3:3" x14ac:dyDescent="0.2">
      <c r="C196" s="226"/>
    </row>
    <row r="197" spans="3:3" x14ac:dyDescent="0.2">
      <c r="C197" s="226"/>
    </row>
    <row r="198" spans="3:3" x14ac:dyDescent="0.2">
      <c r="C198" s="226"/>
    </row>
    <row r="199" spans="3:3" x14ac:dyDescent="0.2">
      <c r="C199" s="226"/>
    </row>
    <row r="200" spans="3:3" x14ac:dyDescent="0.2">
      <c r="C200" s="226"/>
    </row>
    <row r="201" spans="3:3" x14ac:dyDescent="0.2">
      <c r="C201" s="226"/>
    </row>
    <row r="202" spans="3:3" x14ac:dyDescent="0.2">
      <c r="C202" s="226"/>
    </row>
    <row r="203" spans="3:3" x14ac:dyDescent="0.2">
      <c r="C203" s="226"/>
    </row>
    <row r="204" spans="3:3" x14ac:dyDescent="0.2">
      <c r="C204" s="226"/>
    </row>
    <row r="205" spans="3:3" x14ac:dyDescent="0.2">
      <c r="C205" s="226"/>
    </row>
    <row r="206" spans="3:3" x14ac:dyDescent="0.2">
      <c r="C206" s="226"/>
    </row>
    <row r="207" spans="3:3" x14ac:dyDescent="0.2">
      <c r="C207" s="226"/>
    </row>
    <row r="208" spans="3:3" x14ac:dyDescent="0.2">
      <c r="C208" s="226"/>
    </row>
    <row r="209" spans="3:3" x14ac:dyDescent="0.2">
      <c r="C209" s="226"/>
    </row>
    <row r="210" spans="3:3" x14ac:dyDescent="0.2">
      <c r="C210" s="226"/>
    </row>
    <row r="211" spans="3:3" x14ac:dyDescent="0.2">
      <c r="C211" s="226"/>
    </row>
    <row r="212" spans="3:3" x14ac:dyDescent="0.2">
      <c r="C212" s="226"/>
    </row>
    <row r="213" spans="3:3" x14ac:dyDescent="0.2">
      <c r="C213" s="226"/>
    </row>
    <row r="214" spans="3:3" x14ac:dyDescent="0.2">
      <c r="C214" s="226"/>
    </row>
    <row r="215" spans="3:3" x14ac:dyDescent="0.2">
      <c r="C215" s="226"/>
    </row>
    <row r="216" spans="3:3" x14ac:dyDescent="0.2">
      <c r="C216" s="226"/>
    </row>
    <row r="217" spans="3:3" x14ac:dyDescent="0.2">
      <c r="C217" s="226"/>
    </row>
    <row r="218" spans="3:3" x14ac:dyDescent="0.2">
      <c r="C218" s="226"/>
    </row>
    <row r="219" spans="3:3" x14ac:dyDescent="0.2">
      <c r="C219" s="226"/>
    </row>
  </sheetData>
  <mergeCells count="13">
    <mergeCell ref="A6:F6"/>
    <mergeCell ref="D7:F7"/>
    <mergeCell ref="A1:F1"/>
    <mergeCell ref="A2:F2"/>
    <mergeCell ref="A3:F3"/>
    <mergeCell ref="A4:F4"/>
    <mergeCell ref="D5:F5"/>
    <mergeCell ref="E8:E9"/>
    <mergeCell ref="F8:F9"/>
    <mergeCell ref="A8:A9"/>
    <mergeCell ref="B8:B9"/>
    <mergeCell ref="C8:C9"/>
    <mergeCell ref="D8:D9"/>
  </mergeCells>
  <printOptions gridLinesSet="0"/>
  <pageMargins left="1.1023622047244095" right="0.70866141732283472" top="0.74803149606299213" bottom="0.74803149606299213" header="0.51181102362204722" footer="0.51181102362204722"/>
  <pageSetup paperSize="9" fitToHeight="67" orientation="portrait" r:id="rId1"/>
  <headerFoot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view="pageBreakPreview" topLeftCell="A31" zoomScale="115" zoomScaleSheetLayoutView="115" workbookViewId="0">
      <selection activeCell="F24" sqref="F24"/>
    </sheetView>
  </sheetViews>
  <sheetFormatPr defaultColWidth="9.140625" defaultRowHeight="15.75" x14ac:dyDescent="0.25"/>
  <cols>
    <col min="1" max="1" width="4.140625" style="35" customWidth="1"/>
    <col min="2" max="2" width="42.7109375" style="35" customWidth="1"/>
    <col min="3" max="3" width="12.85546875" style="35" hidden="1" customWidth="1"/>
    <col min="4" max="4" width="11.28515625" style="35" hidden="1" customWidth="1"/>
    <col min="5" max="5" width="18.7109375" style="35" customWidth="1"/>
    <col min="6" max="6" width="43.42578125" style="35" customWidth="1"/>
    <col min="7" max="16384" width="9.140625" style="35"/>
  </cols>
  <sheetData>
    <row r="1" spans="1:9" x14ac:dyDescent="0.25">
      <c r="B1" s="868" t="s">
        <v>351</v>
      </c>
      <c r="C1" s="868"/>
      <c r="D1" s="868"/>
      <c r="E1" s="868"/>
    </row>
    <row r="2" spans="1:9" x14ac:dyDescent="0.25">
      <c r="B2" s="868" t="s">
        <v>1</v>
      </c>
      <c r="C2" s="868"/>
      <c r="D2" s="868"/>
      <c r="E2" s="868"/>
    </row>
    <row r="3" spans="1:9" x14ac:dyDescent="0.25">
      <c r="B3" s="868" t="s">
        <v>2</v>
      </c>
      <c r="C3" s="868"/>
      <c r="D3" s="868"/>
      <c r="E3" s="868"/>
    </row>
    <row r="4" spans="1:9" ht="14.25" customHeight="1" x14ac:dyDescent="0.25">
      <c r="B4" s="868" t="s">
        <v>3341</v>
      </c>
      <c r="C4" s="868"/>
      <c r="D4" s="868"/>
      <c r="E4" s="868"/>
    </row>
    <row r="5" spans="1:9" ht="9.75" customHeight="1" x14ac:dyDescent="0.25">
      <c r="B5" s="5"/>
      <c r="C5" s="5"/>
    </row>
    <row r="6" spans="1:9" ht="0.75" customHeight="1" x14ac:dyDescent="0.25"/>
    <row r="7" spans="1:9" ht="34.5" customHeight="1" x14ac:dyDescent="0.25">
      <c r="A7" s="869" t="s">
        <v>3096</v>
      </c>
      <c r="B7" s="869"/>
      <c r="C7" s="869"/>
      <c r="D7" s="869"/>
      <c r="E7" s="869"/>
      <c r="F7" s="4"/>
    </row>
    <row r="8" spans="1:9" s="494" customFormat="1" ht="34.5" hidden="1" customHeight="1" x14ac:dyDescent="0.25">
      <c r="A8" s="493"/>
      <c r="B8" s="493"/>
      <c r="C8" s="493"/>
      <c r="F8" s="4"/>
    </row>
    <row r="9" spans="1:9" ht="28.5" customHeight="1" thickBot="1" x14ac:dyDescent="0.3">
      <c r="A9" s="1033" t="s">
        <v>3200</v>
      </c>
      <c r="B9" s="1033"/>
      <c r="C9" s="1033"/>
      <c r="D9" s="1033"/>
      <c r="E9" s="1033"/>
    </row>
    <row r="10" spans="1:9" ht="13.9" customHeight="1" x14ac:dyDescent="0.25">
      <c r="A10" s="1035" t="s">
        <v>1012</v>
      </c>
      <c r="B10" s="1036"/>
      <c r="C10" s="315" t="s">
        <v>192</v>
      </c>
      <c r="D10" s="579" t="s">
        <v>997</v>
      </c>
      <c r="E10" s="579" t="s">
        <v>192</v>
      </c>
      <c r="I10" s="399"/>
    </row>
    <row r="11" spans="1:9" s="494" customFormat="1" x14ac:dyDescent="0.25">
      <c r="A11" s="993" t="s">
        <v>1015</v>
      </c>
      <c r="B11" s="994"/>
      <c r="C11" s="282">
        <v>700000</v>
      </c>
      <c r="D11" s="282"/>
      <c r="E11" s="282">
        <f>C11+D11</f>
        <v>700000</v>
      </c>
      <c r="I11" s="399"/>
    </row>
    <row r="12" spans="1:9" s="494" customFormat="1" x14ac:dyDescent="0.25">
      <c r="A12" s="993" t="s">
        <v>1039</v>
      </c>
      <c r="B12" s="994"/>
      <c r="C12" s="282">
        <v>1246185</v>
      </c>
      <c r="D12" s="282"/>
      <c r="E12" s="282">
        <f>C12+D12</f>
        <v>1246185</v>
      </c>
      <c r="I12" s="399"/>
    </row>
    <row r="13" spans="1:9" s="494" customFormat="1" x14ac:dyDescent="0.25">
      <c r="A13" s="993" t="s">
        <v>1040</v>
      </c>
      <c r="B13" s="994"/>
      <c r="C13" s="282">
        <v>1300000</v>
      </c>
      <c r="D13" s="282">
        <v>-680000</v>
      </c>
      <c r="E13" s="282">
        <f>C13+D13</f>
        <v>620000</v>
      </c>
      <c r="I13" s="399"/>
    </row>
    <row r="14" spans="1:9" s="494" customFormat="1" x14ac:dyDescent="0.25">
      <c r="A14" s="1041" t="s">
        <v>1016</v>
      </c>
      <c r="B14" s="1042"/>
      <c r="C14" s="282">
        <v>2000000</v>
      </c>
      <c r="D14" s="282">
        <v>350000</v>
      </c>
      <c r="E14" s="282">
        <f>C14+D14</f>
        <v>2350000</v>
      </c>
      <c r="I14" s="399"/>
    </row>
    <row r="15" spans="1:9" ht="17.25" customHeight="1" x14ac:dyDescent="0.25">
      <c r="A15" s="1037" t="s">
        <v>1037</v>
      </c>
      <c r="B15" s="1038"/>
      <c r="C15" s="234">
        <v>17303489</v>
      </c>
      <c r="D15" s="234">
        <v>330000</v>
      </c>
      <c r="E15" s="282">
        <f>C15+D15</f>
        <v>17633489</v>
      </c>
      <c r="I15" s="399"/>
    </row>
    <row r="16" spans="1:9" ht="18" customHeight="1" thickBot="1" x14ac:dyDescent="0.3">
      <c r="A16" s="1039" t="s">
        <v>177</v>
      </c>
      <c r="B16" s="1040"/>
      <c r="C16" s="400">
        <f>C11+C12+C13+C14+C15</f>
        <v>22549674</v>
      </c>
      <c r="D16" s="400">
        <f>D11+D12+D13+D14+D15</f>
        <v>0</v>
      </c>
      <c r="E16" s="400">
        <f>E11+E12+E13+E14+E15</f>
        <v>22549674</v>
      </c>
    </row>
    <row r="17" spans="1:5" ht="9" customHeight="1" x14ac:dyDescent="0.25"/>
    <row r="18" spans="1:5" ht="34.9" customHeight="1" thickBot="1" x14ac:dyDescent="0.3">
      <c r="A18" s="1034" t="s">
        <v>3201</v>
      </c>
      <c r="B18" s="1034"/>
      <c r="C18" s="1034"/>
      <c r="D18" s="1034"/>
      <c r="E18" s="1034"/>
    </row>
    <row r="19" spans="1:5" ht="31.5" x14ac:dyDescent="0.25">
      <c r="A19" s="1035" t="s">
        <v>1012</v>
      </c>
      <c r="B19" s="1036"/>
      <c r="C19" s="539" t="s">
        <v>192</v>
      </c>
      <c r="D19" s="579" t="s">
        <v>192</v>
      </c>
      <c r="E19" s="579" t="s">
        <v>192</v>
      </c>
    </row>
    <row r="20" spans="1:5" x14ac:dyDescent="0.25">
      <c r="A20" s="1037" t="s">
        <v>1016</v>
      </c>
      <c r="B20" s="1038"/>
      <c r="C20" s="234">
        <v>59000</v>
      </c>
      <c r="D20" s="234"/>
      <c r="E20" s="234">
        <v>59000</v>
      </c>
    </row>
    <row r="21" spans="1:5" ht="16.5" thickBot="1" x14ac:dyDescent="0.3">
      <c r="A21" s="1039" t="s">
        <v>177</v>
      </c>
      <c r="B21" s="1040"/>
      <c r="C21" s="400">
        <f>C20</f>
        <v>59000</v>
      </c>
      <c r="D21" s="400">
        <f>D20</f>
        <v>0</v>
      </c>
      <c r="E21" s="400">
        <f>E20</f>
        <v>59000</v>
      </c>
    </row>
    <row r="22" spans="1:5" s="684" customFormat="1" ht="9" customHeight="1" x14ac:dyDescent="0.25">
      <c r="A22" s="687"/>
      <c r="B22" s="687"/>
      <c r="C22" s="688"/>
      <c r="D22" s="688"/>
      <c r="E22" s="688"/>
    </row>
    <row r="23" spans="1:5" ht="36.6" customHeight="1" x14ac:dyDescent="0.25">
      <c r="A23" s="1034" t="s">
        <v>3317</v>
      </c>
      <c r="B23" s="1034"/>
      <c r="C23" s="1034"/>
      <c r="D23" s="1034"/>
      <c r="E23" s="1034"/>
    </row>
    <row r="24" spans="1:5" ht="31.9" customHeight="1" x14ac:dyDescent="0.25">
      <c r="A24" s="867" t="s">
        <v>1012</v>
      </c>
      <c r="B24" s="867"/>
      <c r="C24" s="696" t="s">
        <v>192</v>
      </c>
      <c r="D24" s="696" t="s">
        <v>192</v>
      </c>
      <c r="E24" s="696" t="s">
        <v>192</v>
      </c>
    </row>
    <row r="25" spans="1:5" x14ac:dyDescent="0.25">
      <c r="A25" s="1038" t="s">
        <v>1037</v>
      </c>
      <c r="B25" s="1038"/>
      <c r="C25" s="234">
        <v>62210987</v>
      </c>
      <c r="D25" s="234"/>
      <c r="E25" s="234">
        <f>C25+D25</f>
        <v>62210987</v>
      </c>
    </row>
    <row r="26" spans="1:5" s="684" customFormat="1" x14ac:dyDescent="0.25">
      <c r="A26" s="998" t="s">
        <v>177</v>
      </c>
      <c r="B26" s="998"/>
      <c r="C26" s="310">
        <f>C25</f>
        <v>62210987</v>
      </c>
      <c r="D26" s="310">
        <f>D25</f>
        <v>0</v>
      </c>
      <c r="E26" s="310">
        <f>E25</f>
        <v>62210987</v>
      </c>
    </row>
    <row r="27" spans="1:5" s="692" customFormat="1" ht="47.25" customHeight="1" thickBot="1" x14ac:dyDescent="0.3">
      <c r="A27" s="1034" t="s">
        <v>3346</v>
      </c>
      <c r="B27" s="1034"/>
      <c r="C27" s="1034"/>
      <c r="D27" s="1034"/>
      <c r="E27" s="1034"/>
    </row>
    <row r="28" spans="1:5" ht="31.5" x14ac:dyDescent="0.25">
      <c r="A28" s="1035" t="s">
        <v>1012</v>
      </c>
      <c r="B28" s="1036"/>
      <c r="C28" s="697" t="s">
        <v>192</v>
      </c>
      <c r="D28" s="697" t="s">
        <v>192</v>
      </c>
      <c r="E28" s="698" t="s">
        <v>192</v>
      </c>
    </row>
    <row r="29" spans="1:5" ht="20.25" customHeight="1" x14ac:dyDescent="0.25">
      <c r="A29" s="1037" t="s">
        <v>1037</v>
      </c>
      <c r="B29" s="1038"/>
      <c r="C29" s="325">
        <v>6546083.3799999999</v>
      </c>
      <c r="D29" s="234"/>
      <c r="E29" s="325">
        <f>C29+D29</f>
        <v>6546083.3799999999</v>
      </c>
    </row>
    <row r="30" spans="1:5" ht="16.5" thickBot="1" x14ac:dyDescent="0.3">
      <c r="A30" s="1039" t="s">
        <v>177</v>
      </c>
      <c r="B30" s="1040"/>
      <c r="C30" s="400">
        <f>C29</f>
        <v>6546083.3799999999</v>
      </c>
      <c r="D30" s="400">
        <f>D29</f>
        <v>0</v>
      </c>
      <c r="E30" s="699">
        <f>E29</f>
        <v>6546083.3799999999</v>
      </c>
    </row>
    <row r="31" spans="1:5" s="714" customFormat="1" x14ac:dyDescent="0.25">
      <c r="A31" s="687"/>
      <c r="B31" s="687"/>
      <c r="C31" s="688"/>
      <c r="D31" s="688"/>
      <c r="E31" s="688"/>
    </row>
    <row r="32" spans="1:5" s="714" customFormat="1" ht="33.75" customHeight="1" thickBot="1" x14ac:dyDescent="0.3">
      <c r="A32" s="1034" t="s">
        <v>3387</v>
      </c>
      <c r="B32" s="1034"/>
      <c r="C32" s="1034"/>
      <c r="D32" s="1034"/>
      <c r="E32" s="1034"/>
    </row>
    <row r="33" spans="1:5" s="714" customFormat="1" ht="31.5" x14ac:dyDescent="0.25">
      <c r="A33" s="1035" t="s">
        <v>1012</v>
      </c>
      <c r="B33" s="1036"/>
      <c r="C33" s="715" t="s">
        <v>192</v>
      </c>
      <c r="D33" s="715" t="s">
        <v>192</v>
      </c>
      <c r="E33" s="698" t="s">
        <v>192</v>
      </c>
    </row>
    <row r="34" spans="1:5" s="714" customFormat="1" x14ac:dyDescent="0.25">
      <c r="A34" s="1037" t="s">
        <v>1037</v>
      </c>
      <c r="B34" s="1038"/>
      <c r="C34" s="325">
        <v>0</v>
      </c>
      <c r="D34" s="234">
        <v>1509822</v>
      </c>
      <c r="E34" s="325">
        <f>C34+D34</f>
        <v>1509822</v>
      </c>
    </row>
    <row r="35" spans="1:5" s="714" customFormat="1" ht="16.5" thickBot="1" x14ac:dyDescent="0.3">
      <c r="A35" s="1039" t="s">
        <v>177</v>
      </c>
      <c r="B35" s="1040"/>
      <c r="C35" s="400">
        <f>C34</f>
        <v>0</v>
      </c>
      <c r="D35" s="400">
        <f>D34</f>
        <v>1509822</v>
      </c>
      <c r="E35" s="699">
        <f>E34</f>
        <v>1509822</v>
      </c>
    </row>
    <row r="36" spans="1:5" s="714" customFormat="1" ht="21.75" customHeight="1" x14ac:dyDescent="0.25">
      <c r="A36" s="687"/>
      <c r="B36" s="687"/>
      <c r="C36" s="688"/>
      <c r="D36" s="688"/>
      <c r="E36" s="688"/>
    </row>
    <row r="37" spans="1:5" s="714" customFormat="1" ht="48.75" customHeight="1" thickBot="1" x14ac:dyDescent="0.3">
      <c r="A37" s="1034" t="s">
        <v>3388</v>
      </c>
      <c r="B37" s="1034"/>
      <c r="C37" s="1034"/>
      <c r="D37" s="1034"/>
      <c r="E37" s="1034"/>
    </row>
    <row r="38" spans="1:5" s="714" customFormat="1" ht="31.5" x14ac:dyDescent="0.25">
      <c r="A38" s="1035" t="s">
        <v>1012</v>
      </c>
      <c r="B38" s="1036"/>
      <c r="C38" s="715" t="s">
        <v>192</v>
      </c>
      <c r="D38" s="715" t="s">
        <v>192</v>
      </c>
      <c r="E38" s="698" t="s">
        <v>192</v>
      </c>
    </row>
    <row r="39" spans="1:5" s="714" customFormat="1" ht="15.75" customHeight="1" x14ac:dyDescent="0.25">
      <c r="A39" s="993" t="s">
        <v>1040</v>
      </c>
      <c r="B39" s="994"/>
      <c r="C39" s="325">
        <v>0</v>
      </c>
      <c r="D39" s="234">
        <v>5302790</v>
      </c>
      <c r="E39" s="325">
        <f>C39+D39</f>
        <v>5302790</v>
      </c>
    </row>
    <row r="40" spans="1:5" s="714" customFormat="1" ht="16.5" thickBot="1" x14ac:dyDescent="0.3">
      <c r="A40" s="1039" t="s">
        <v>177</v>
      </c>
      <c r="B40" s="1040"/>
      <c r="C40" s="400">
        <f>C39</f>
        <v>0</v>
      </c>
      <c r="D40" s="400">
        <f>D39</f>
        <v>5302790</v>
      </c>
      <c r="E40" s="699">
        <f>E39</f>
        <v>5302790</v>
      </c>
    </row>
    <row r="41" spans="1:5" s="737" customFormat="1" x14ac:dyDescent="0.25">
      <c r="A41" s="687"/>
      <c r="B41" s="687"/>
      <c r="C41" s="688"/>
      <c r="D41" s="688"/>
      <c r="E41" s="688"/>
    </row>
    <row r="42" spans="1:5" s="737" customFormat="1" ht="38.25" customHeight="1" thickBot="1" x14ac:dyDescent="0.3">
      <c r="A42" s="1034" t="s">
        <v>3422</v>
      </c>
      <c r="B42" s="1034"/>
      <c r="C42" s="1034"/>
      <c r="D42" s="1034"/>
      <c r="E42" s="1034"/>
    </row>
    <row r="43" spans="1:5" s="737" customFormat="1" ht="31.5" x14ac:dyDescent="0.25">
      <c r="A43" s="1035" t="s">
        <v>1012</v>
      </c>
      <c r="B43" s="1036"/>
      <c r="C43" s="738" t="s">
        <v>192</v>
      </c>
      <c r="D43" s="738" t="s">
        <v>192</v>
      </c>
      <c r="E43" s="698" t="s">
        <v>192</v>
      </c>
    </row>
    <row r="44" spans="1:5" s="737" customFormat="1" x14ac:dyDescent="0.25">
      <c r="A44" s="1037" t="s">
        <v>1037</v>
      </c>
      <c r="B44" s="1038"/>
      <c r="C44" s="325">
        <v>0</v>
      </c>
      <c r="D44" s="234">
        <v>10000000</v>
      </c>
      <c r="E44" s="325">
        <f>C44+D44</f>
        <v>10000000</v>
      </c>
    </row>
    <row r="45" spans="1:5" s="737" customFormat="1" ht="16.5" thickBot="1" x14ac:dyDescent="0.3">
      <c r="A45" s="1039" t="s">
        <v>177</v>
      </c>
      <c r="B45" s="1040"/>
      <c r="C45" s="400">
        <f>C44</f>
        <v>0</v>
      </c>
      <c r="D45" s="400">
        <f>D44</f>
        <v>10000000</v>
      </c>
      <c r="E45" s="699">
        <f>E44</f>
        <v>10000000</v>
      </c>
    </row>
    <row r="46" spans="1:5" ht="16.5" thickBot="1" x14ac:dyDescent="0.3">
      <c r="A46" s="1045"/>
      <c r="B46" s="1045"/>
      <c r="C46" s="1045"/>
      <c r="D46" s="1045"/>
      <c r="E46" s="1045"/>
    </row>
    <row r="47" spans="1:5" ht="16.5" thickBot="1" x14ac:dyDescent="0.3">
      <c r="A47" s="1043" t="s">
        <v>901</v>
      </c>
      <c r="B47" s="1044"/>
      <c r="C47" s="717">
        <f>C16+C21+C26+C30</f>
        <v>91365744.379999995</v>
      </c>
      <c r="D47" s="717">
        <f>D16+D21+D26+D30+D35+D40+D45</f>
        <v>16812612</v>
      </c>
      <c r="E47" s="717">
        <f>E16+E21+E26+E30+E35+E40+E45</f>
        <v>108178356.38</v>
      </c>
    </row>
  </sheetData>
  <mergeCells count="39">
    <mergeCell ref="A45:B45"/>
    <mergeCell ref="A47:B47"/>
    <mergeCell ref="A28:B28"/>
    <mergeCell ref="A29:B29"/>
    <mergeCell ref="A30:B30"/>
    <mergeCell ref="A46:E46"/>
    <mergeCell ref="A32:E32"/>
    <mergeCell ref="A33:B33"/>
    <mergeCell ref="A34:B34"/>
    <mergeCell ref="A35:B35"/>
    <mergeCell ref="A37:E37"/>
    <mergeCell ref="A38:B38"/>
    <mergeCell ref="A39:B39"/>
    <mergeCell ref="A40:B40"/>
    <mergeCell ref="A42:E42"/>
    <mergeCell ref="A43:B43"/>
    <mergeCell ref="A44:B44"/>
    <mergeCell ref="A21:B21"/>
    <mergeCell ref="A19:B19"/>
    <mergeCell ref="A25:B25"/>
    <mergeCell ref="A26:B26"/>
    <mergeCell ref="A24:B24"/>
    <mergeCell ref="A23:E23"/>
    <mergeCell ref="A27:E27"/>
    <mergeCell ref="A20:B20"/>
    <mergeCell ref="B1:E1"/>
    <mergeCell ref="B2:E2"/>
    <mergeCell ref="B3:E3"/>
    <mergeCell ref="B4:E4"/>
    <mergeCell ref="A7:E7"/>
    <mergeCell ref="A9:E9"/>
    <mergeCell ref="A18:E18"/>
    <mergeCell ref="A10:B10"/>
    <mergeCell ref="A15:B15"/>
    <mergeCell ref="A16:B16"/>
    <mergeCell ref="A11:B11"/>
    <mergeCell ref="A12:B12"/>
    <mergeCell ref="A13:B13"/>
    <mergeCell ref="A14:B14"/>
  </mergeCells>
  <printOptions gridLinesSet="0"/>
  <pageMargins left="1.1023622047244095" right="0.70866141732283472" top="0.74803149606299213" bottom="0.74803149606299213" header="0.51181102362204722" footer="0.51181102362204722"/>
  <pageSetup paperSize="9" fitToHeight="3"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view="pageBreakPreview" zoomScaleSheetLayoutView="100" workbookViewId="0">
      <selection activeCell="E18" sqref="E18"/>
    </sheetView>
  </sheetViews>
  <sheetFormatPr defaultColWidth="9.140625" defaultRowHeight="12.75" x14ac:dyDescent="0.2"/>
  <cols>
    <col min="1" max="1" width="4.140625" style="126" customWidth="1"/>
    <col min="2" max="2" width="55.140625" style="126" customWidth="1"/>
    <col min="3" max="4" width="13.5703125" style="126" hidden="1" customWidth="1"/>
    <col min="5" max="5" width="11.28515625" style="126" bestFit="1" customWidth="1"/>
    <col min="6" max="7" width="11.28515625" style="126" hidden="1" customWidth="1"/>
    <col min="8" max="8" width="11.28515625" style="126" bestFit="1" customWidth="1"/>
    <col min="9" max="16384" width="9.140625" style="126"/>
  </cols>
  <sheetData>
    <row r="1" spans="1:8" ht="15.75" x14ac:dyDescent="0.25">
      <c r="A1" s="35"/>
      <c r="B1" s="868" t="s">
        <v>1044</v>
      </c>
      <c r="C1" s="868"/>
      <c r="D1" s="868"/>
      <c r="E1" s="868"/>
      <c r="F1" s="868"/>
      <c r="G1" s="868"/>
      <c r="H1" s="868"/>
    </row>
    <row r="2" spans="1:8" ht="15.75" x14ac:dyDescent="0.25">
      <c r="A2" s="35"/>
      <c r="B2" s="868" t="s">
        <v>1</v>
      </c>
      <c r="C2" s="868"/>
      <c r="D2" s="868"/>
      <c r="E2" s="868"/>
      <c r="F2" s="868"/>
      <c r="G2" s="868"/>
      <c r="H2" s="868"/>
    </row>
    <row r="3" spans="1:8" ht="15.75" x14ac:dyDescent="0.25">
      <c r="A3" s="35"/>
      <c r="B3" s="868" t="s">
        <v>2</v>
      </c>
      <c r="C3" s="868"/>
      <c r="D3" s="868"/>
      <c r="E3" s="868"/>
      <c r="F3" s="868"/>
      <c r="G3" s="868"/>
      <c r="H3" s="868"/>
    </row>
    <row r="4" spans="1:8" ht="15.75" x14ac:dyDescent="0.25">
      <c r="A4" s="35"/>
      <c r="B4" s="868" t="s">
        <v>3093</v>
      </c>
      <c r="C4" s="868"/>
      <c r="D4" s="868"/>
      <c r="E4" s="868"/>
      <c r="F4" s="868"/>
      <c r="G4" s="868"/>
      <c r="H4" s="868"/>
    </row>
    <row r="5" spans="1:8" ht="15.75" x14ac:dyDescent="0.25">
      <c r="A5" s="35"/>
      <c r="B5" s="5"/>
      <c r="C5" s="35"/>
      <c r="D5" s="889"/>
      <c r="E5" s="889"/>
      <c r="F5" s="889"/>
      <c r="G5" s="889"/>
      <c r="H5" s="889"/>
    </row>
    <row r="6" spans="1:8" ht="15.75" x14ac:dyDescent="0.25">
      <c r="A6" s="35"/>
      <c r="B6" s="35"/>
      <c r="C6" s="35"/>
      <c r="D6" s="889"/>
      <c r="E6" s="889"/>
      <c r="F6" s="889"/>
      <c r="G6" s="889"/>
      <c r="H6" s="889"/>
    </row>
    <row r="7" spans="1:8" ht="35.25" customHeight="1" x14ac:dyDescent="0.2">
      <c r="A7" s="869" t="s">
        <v>3098</v>
      </c>
      <c r="B7" s="869"/>
      <c r="C7" s="869"/>
      <c r="D7" s="869"/>
      <c r="E7" s="869"/>
      <c r="F7" s="869"/>
      <c r="G7" s="869"/>
      <c r="H7" s="869"/>
    </row>
    <row r="8" spans="1:8" ht="12.75" customHeight="1" x14ac:dyDescent="0.2">
      <c r="A8" s="1034" t="s">
        <v>3097</v>
      </c>
      <c r="B8" s="1034"/>
      <c r="C8" s="1034"/>
      <c r="D8" s="1034"/>
      <c r="E8" s="1034"/>
      <c r="F8" s="1034"/>
      <c r="G8" s="1034"/>
      <c r="H8" s="1034"/>
    </row>
    <row r="9" spans="1:8" ht="12.75" customHeight="1" x14ac:dyDescent="0.2">
      <c r="A9" s="1034"/>
      <c r="B9" s="1034"/>
      <c r="C9" s="1034"/>
      <c r="D9" s="1034"/>
      <c r="E9" s="1034"/>
      <c r="F9" s="1034"/>
      <c r="G9" s="1034"/>
      <c r="H9" s="1034"/>
    </row>
    <row r="10" spans="1:8" ht="47.25" x14ac:dyDescent="0.2">
      <c r="A10" s="867" t="s">
        <v>1012</v>
      </c>
      <c r="B10" s="867"/>
      <c r="C10" s="501" t="s">
        <v>2812</v>
      </c>
      <c r="D10" s="578" t="s">
        <v>997</v>
      </c>
      <c r="E10" s="578" t="s">
        <v>2812</v>
      </c>
      <c r="F10" s="501" t="s">
        <v>569</v>
      </c>
      <c r="G10" s="578" t="s">
        <v>997</v>
      </c>
      <c r="H10" s="578" t="s">
        <v>569</v>
      </c>
    </row>
    <row r="11" spans="1:8" ht="15.75" customHeight="1" x14ac:dyDescent="0.25">
      <c r="A11" s="993" t="s">
        <v>1039</v>
      </c>
      <c r="B11" s="994"/>
      <c r="C11" s="262">
        <v>500000</v>
      </c>
      <c r="D11" s="262"/>
      <c r="E11" s="262"/>
      <c r="F11" s="262"/>
      <c r="G11" s="262"/>
      <c r="H11" s="262"/>
    </row>
    <row r="12" spans="1:8" ht="15.75" customHeight="1" x14ac:dyDescent="0.25">
      <c r="A12" s="993" t="s">
        <v>1040</v>
      </c>
      <c r="B12" s="994"/>
      <c r="C12" s="262">
        <v>1500000</v>
      </c>
      <c r="D12" s="262"/>
      <c r="E12" s="262"/>
      <c r="F12" s="262"/>
      <c r="G12" s="262"/>
      <c r="H12" s="262"/>
    </row>
    <row r="13" spans="1:8" ht="15.75" customHeight="1" x14ac:dyDescent="0.25">
      <c r="A13" s="993" t="s">
        <v>1041</v>
      </c>
      <c r="B13" s="994"/>
      <c r="C13" s="234">
        <v>500000</v>
      </c>
      <c r="D13" s="234"/>
      <c r="E13" s="262"/>
      <c r="F13" s="234"/>
      <c r="G13" s="234"/>
      <c r="H13" s="262"/>
    </row>
    <row r="14" spans="1:8" ht="15.75" x14ac:dyDescent="0.25">
      <c r="A14" s="993" t="s">
        <v>1015</v>
      </c>
      <c r="B14" s="994"/>
      <c r="C14" s="234">
        <v>500000</v>
      </c>
      <c r="D14" s="234"/>
      <c r="E14" s="262"/>
      <c r="F14" s="234"/>
      <c r="G14" s="234"/>
      <c r="H14" s="262"/>
    </row>
    <row r="15" spans="1:8" ht="15.75" x14ac:dyDescent="0.25">
      <c r="A15" s="993" t="s">
        <v>1037</v>
      </c>
      <c r="B15" s="994"/>
      <c r="C15" s="234">
        <v>12700000</v>
      </c>
      <c r="D15" s="234"/>
      <c r="E15" s="262"/>
      <c r="F15" s="234"/>
      <c r="G15" s="234"/>
      <c r="H15" s="262"/>
    </row>
    <row r="16" spans="1:8" ht="15.75" x14ac:dyDescent="0.25">
      <c r="A16" s="998" t="s">
        <v>177</v>
      </c>
      <c r="B16" s="998"/>
      <c r="C16" s="23">
        <f t="shared" ref="C16:H16" si="0">SUM(C11:C15)</f>
        <v>15700000</v>
      </c>
      <c r="D16" s="23">
        <f t="shared" si="0"/>
        <v>0</v>
      </c>
      <c r="E16" s="23">
        <f t="shared" si="0"/>
        <v>0</v>
      </c>
      <c r="F16" s="23">
        <f t="shared" si="0"/>
        <v>0</v>
      </c>
      <c r="G16" s="23">
        <f t="shared" si="0"/>
        <v>0</v>
      </c>
      <c r="H16" s="23">
        <f t="shared" si="0"/>
        <v>0</v>
      </c>
    </row>
    <row r="17" spans="1:8" ht="15.75" x14ac:dyDescent="0.25">
      <c r="A17" s="1046"/>
      <c r="B17" s="1046"/>
      <c r="C17" s="1046"/>
      <c r="D17" s="1047"/>
      <c r="E17" s="1046"/>
      <c r="F17" s="1046"/>
      <c r="G17" s="1046"/>
      <c r="H17" s="1047"/>
    </row>
  </sheetData>
  <mergeCells count="16">
    <mergeCell ref="A8:H9"/>
    <mergeCell ref="E17:H17"/>
    <mergeCell ref="A14:B14"/>
    <mergeCell ref="A15:B15"/>
    <mergeCell ref="A16:B16"/>
    <mergeCell ref="A17:D17"/>
    <mergeCell ref="A10:B10"/>
    <mergeCell ref="A11:B11"/>
    <mergeCell ref="A12:B12"/>
    <mergeCell ref="A13:B13"/>
    <mergeCell ref="A7:H7"/>
    <mergeCell ref="B1:H1"/>
    <mergeCell ref="B2:H2"/>
    <mergeCell ref="B3:H3"/>
    <mergeCell ref="B4:H4"/>
    <mergeCell ref="D5:H6"/>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9.140625" defaultRowHeight="12.75" x14ac:dyDescent="0.2"/>
  <cols>
    <col min="1" max="1" width="59" style="126" customWidth="1"/>
    <col min="2" max="3" width="0" style="126" hidden="1" customWidth="1"/>
    <col min="4" max="4" width="14.85546875" style="126" customWidth="1"/>
    <col min="5" max="5" width="14.42578125" style="126" customWidth="1"/>
    <col min="6" max="16384" width="9.140625" style="126"/>
  </cols>
  <sheetData/>
  <printOptions gridLinesSet="0"/>
  <pageMargins left="0.70866141732283472" right="0.70866141732283472" top="0.74803149606299213" bottom="0.74803149606299213" header="0.5" footer="0.5"/>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GridLines="0" view="pageBreakPreview" zoomScale="115" zoomScaleSheetLayoutView="115" workbookViewId="0">
      <selection activeCell="H24" sqref="H24"/>
    </sheetView>
  </sheetViews>
  <sheetFormatPr defaultColWidth="9.140625" defaultRowHeight="12.75" x14ac:dyDescent="0.2"/>
  <cols>
    <col min="1" max="1" width="64" style="126" customWidth="1"/>
    <col min="2" max="3" width="0" style="126" hidden="1" customWidth="1"/>
    <col min="4" max="4" width="18" style="126" customWidth="1"/>
    <col min="5" max="16384" width="9.140625" style="126"/>
  </cols>
  <sheetData>
    <row r="1" spans="1:4" ht="15.75" x14ac:dyDescent="0.25">
      <c r="A1" s="872" t="s">
        <v>1044</v>
      </c>
      <c r="B1" s="872"/>
      <c r="C1" s="872"/>
      <c r="D1" s="872"/>
    </row>
    <row r="2" spans="1:4" ht="15.75" x14ac:dyDescent="0.25">
      <c r="A2" s="872" t="s">
        <v>1</v>
      </c>
      <c r="B2" s="872"/>
      <c r="C2" s="872"/>
      <c r="D2" s="872"/>
    </row>
    <row r="3" spans="1:4" ht="15.75" x14ac:dyDescent="0.25">
      <c r="A3" s="872" t="s">
        <v>2</v>
      </c>
      <c r="B3" s="872"/>
      <c r="C3" s="872"/>
      <c r="D3" s="872"/>
    </row>
    <row r="4" spans="1:4" ht="15.75" x14ac:dyDescent="0.25">
      <c r="A4" s="872" t="s">
        <v>3093</v>
      </c>
      <c r="B4" s="872"/>
      <c r="C4" s="872"/>
      <c r="D4" s="872"/>
    </row>
    <row r="5" spans="1:4" x14ac:dyDescent="0.2">
      <c r="A5" s="505"/>
      <c r="B5" s="505"/>
      <c r="C5" s="505"/>
      <c r="D5" s="506"/>
    </row>
    <row r="6" spans="1:4" x14ac:dyDescent="0.2">
      <c r="A6" s="506"/>
      <c r="B6" s="506"/>
      <c r="C6" s="506"/>
      <c r="D6" s="506"/>
    </row>
    <row r="7" spans="1:4" ht="34.5" customHeight="1" x14ac:dyDescent="0.2">
      <c r="A7" s="874" t="s">
        <v>3099</v>
      </c>
      <c r="B7" s="874"/>
      <c r="C7" s="874"/>
      <c r="D7" s="874"/>
    </row>
    <row r="8" spans="1:4" ht="18.75" x14ac:dyDescent="0.2">
      <c r="A8" s="507"/>
      <c r="B8" s="507"/>
      <c r="C8" s="507"/>
      <c r="D8" s="506"/>
    </row>
    <row r="9" spans="1:4" ht="41.25" customHeight="1" x14ac:dyDescent="0.2">
      <c r="A9" s="874" t="s">
        <v>1046</v>
      </c>
      <c r="B9" s="874"/>
      <c r="C9" s="874"/>
      <c r="D9" s="874"/>
    </row>
    <row r="10" spans="1:4" ht="18.75" x14ac:dyDescent="0.2">
      <c r="A10" s="508"/>
      <c r="B10" s="508"/>
      <c r="C10" s="508"/>
      <c r="D10" s="506"/>
    </row>
    <row r="11" spans="1:4" ht="18.75" x14ac:dyDescent="0.2">
      <c r="A11" s="508"/>
      <c r="B11" s="508"/>
      <c r="C11" s="508"/>
      <c r="D11" s="506"/>
    </row>
    <row r="12" spans="1:4" ht="47.25" x14ac:dyDescent="0.2">
      <c r="A12" s="509" t="s">
        <v>1012</v>
      </c>
      <c r="B12" s="510" t="s">
        <v>2813</v>
      </c>
      <c r="C12" s="510" t="s">
        <v>1048</v>
      </c>
      <c r="D12" s="629" t="s">
        <v>2812</v>
      </c>
    </row>
    <row r="13" spans="1:4" ht="15.75" x14ac:dyDescent="0.25">
      <c r="A13" s="511" t="s">
        <v>1015</v>
      </c>
      <c r="B13" s="512">
        <v>57000</v>
      </c>
      <c r="C13" s="512"/>
      <c r="D13" s="513">
        <v>77860</v>
      </c>
    </row>
    <row r="14" spans="1:4" ht="15.75" x14ac:dyDescent="0.25">
      <c r="A14" s="511" t="s">
        <v>1050</v>
      </c>
      <c r="B14" s="512">
        <v>57000</v>
      </c>
      <c r="C14" s="512"/>
      <c r="D14" s="513">
        <v>77860</v>
      </c>
    </row>
    <row r="15" spans="1:4" ht="15.75" x14ac:dyDescent="0.25">
      <c r="A15" s="511" t="s">
        <v>1040</v>
      </c>
      <c r="B15" s="512">
        <v>374000</v>
      </c>
      <c r="C15" s="512"/>
      <c r="D15" s="513">
        <v>389318</v>
      </c>
    </row>
    <row r="16" spans="1:4" ht="15.75" x14ac:dyDescent="0.25">
      <c r="A16" s="511" t="s">
        <v>1016</v>
      </c>
      <c r="B16" s="512">
        <v>187000</v>
      </c>
      <c r="C16" s="512"/>
      <c r="D16" s="513">
        <v>194659</v>
      </c>
    </row>
    <row r="17" spans="1:4" ht="15.75" x14ac:dyDescent="0.25">
      <c r="A17" s="514" t="s">
        <v>177</v>
      </c>
      <c r="B17" s="515">
        <f>SUM(B13:B16)</f>
        <v>675000</v>
      </c>
      <c r="C17" s="515">
        <f>SUM(C13:C16)</f>
        <v>0</v>
      </c>
      <c r="D17" s="516">
        <f>SUM(D13:D16)</f>
        <v>739697</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view="pageBreakPreview" zoomScale="85" zoomScaleSheetLayoutView="85" workbookViewId="0">
      <selection activeCell="N38" sqref="N38"/>
    </sheetView>
  </sheetViews>
  <sheetFormatPr defaultColWidth="9.140625" defaultRowHeight="12.75" x14ac:dyDescent="0.2"/>
  <cols>
    <col min="1" max="1" width="64" style="496" customWidth="1"/>
    <col min="2" max="3" width="0" style="496" hidden="1" customWidth="1"/>
    <col min="4" max="4" width="18" style="496" customWidth="1"/>
    <col min="5" max="5" width="20.42578125" style="496" customWidth="1"/>
    <col min="6" max="16384" width="9.140625" style="496"/>
  </cols>
  <sheetData>
    <row r="1" spans="1:5" ht="18.75" x14ac:dyDescent="0.3">
      <c r="A1" s="1001" t="s">
        <v>1051</v>
      </c>
      <c r="B1" s="1001"/>
      <c r="C1" s="1001"/>
      <c r="D1" s="1001"/>
      <c r="E1" s="1001"/>
    </row>
    <row r="2" spans="1:5" ht="18.75" x14ac:dyDescent="0.3">
      <c r="A2" s="1001" t="s">
        <v>1</v>
      </c>
      <c r="B2" s="1001"/>
      <c r="C2" s="1001"/>
      <c r="D2" s="1001"/>
      <c r="E2" s="1001"/>
    </row>
    <row r="3" spans="1:5" ht="18.75" x14ac:dyDescent="0.3">
      <c r="A3" s="1001" t="s">
        <v>2</v>
      </c>
      <c r="B3" s="1001"/>
      <c r="C3" s="1001"/>
      <c r="D3" s="1001"/>
      <c r="E3" s="1001"/>
    </row>
    <row r="4" spans="1:5" ht="18.75" x14ac:dyDescent="0.3">
      <c r="A4" s="1001" t="s">
        <v>3093</v>
      </c>
      <c r="B4" s="1001"/>
      <c r="C4" s="1001"/>
      <c r="D4" s="1001"/>
      <c r="E4" s="1001"/>
    </row>
    <row r="5" spans="1:5" x14ac:dyDescent="0.2">
      <c r="A5" s="1048"/>
      <c r="B5" s="1048"/>
      <c r="C5" s="1048"/>
      <c r="D5" s="1048"/>
      <c r="E5" s="1048"/>
    </row>
    <row r="6" spans="1:5" ht="18.75" x14ac:dyDescent="0.3">
      <c r="A6" s="1049"/>
      <c r="B6" s="1049"/>
      <c r="C6" s="1049"/>
      <c r="D6" s="1049"/>
      <c r="E6" s="1049"/>
    </row>
    <row r="7" spans="1:5" ht="47.25" customHeight="1" x14ac:dyDescent="0.2">
      <c r="A7" s="1021" t="s">
        <v>3100</v>
      </c>
      <c r="B7" s="1021"/>
      <c r="C7" s="1021"/>
      <c r="D7" s="1021"/>
      <c r="E7" s="1021"/>
    </row>
    <row r="8" spans="1:5" ht="18.75" x14ac:dyDescent="0.3">
      <c r="A8" s="566"/>
      <c r="B8" s="566"/>
      <c r="C8" s="566"/>
      <c r="D8" s="1049"/>
      <c r="E8" s="1049"/>
    </row>
    <row r="9" spans="1:5" ht="39" customHeight="1" x14ac:dyDescent="0.2">
      <c r="A9" s="1021" t="s">
        <v>1046</v>
      </c>
      <c r="B9" s="1021"/>
      <c r="C9" s="1021"/>
      <c r="D9" s="1021"/>
      <c r="E9" s="1021"/>
    </row>
    <row r="10" spans="1:5" ht="18.75" x14ac:dyDescent="0.2">
      <c r="A10" s="1021"/>
      <c r="B10" s="1021"/>
      <c r="C10" s="1021"/>
      <c r="D10" s="1021"/>
      <c r="E10" s="1021"/>
    </row>
    <row r="11" spans="1:5" ht="19.5" thickBot="1" x14ac:dyDescent="0.25">
      <c r="A11" s="1021"/>
      <c r="B11" s="1021"/>
      <c r="C11" s="1021"/>
      <c r="D11" s="1021"/>
      <c r="E11" s="1021"/>
    </row>
    <row r="12" spans="1:5" ht="56.25" x14ac:dyDescent="0.2">
      <c r="A12" s="567" t="s">
        <v>1012</v>
      </c>
      <c r="B12" s="568" t="s">
        <v>2813</v>
      </c>
      <c r="C12" s="568" t="s">
        <v>1048</v>
      </c>
      <c r="D12" s="249" t="s">
        <v>569</v>
      </c>
      <c r="E12" s="249" t="s">
        <v>3095</v>
      </c>
    </row>
    <row r="13" spans="1:5" ht="18.75" x14ac:dyDescent="0.3">
      <c r="A13" s="569" t="s">
        <v>1015</v>
      </c>
      <c r="B13" s="570">
        <v>57000</v>
      </c>
      <c r="C13" s="570"/>
      <c r="D13" s="571">
        <v>78702</v>
      </c>
      <c r="E13" s="571">
        <v>81578</v>
      </c>
    </row>
    <row r="14" spans="1:5" ht="18.75" x14ac:dyDescent="0.3">
      <c r="A14" s="569" t="s">
        <v>1050</v>
      </c>
      <c r="B14" s="570">
        <v>57000</v>
      </c>
      <c r="C14" s="570"/>
      <c r="D14" s="571">
        <v>78702</v>
      </c>
      <c r="E14" s="571">
        <v>81578</v>
      </c>
    </row>
    <row r="15" spans="1:5" ht="18.75" x14ac:dyDescent="0.3">
      <c r="A15" s="569" t="s">
        <v>1040</v>
      </c>
      <c r="B15" s="570">
        <v>374000</v>
      </c>
      <c r="C15" s="570"/>
      <c r="D15" s="571">
        <v>393516</v>
      </c>
      <c r="E15" s="571">
        <v>407892</v>
      </c>
    </row>
    <row r="16" spans="1:5" ht="18.75" x14ac:dyDescent="0.3">
      <c r="A16" s="569" t="s">
        <v>1016</v>
      </c>
      <c r="B16" s="570">
        <v>187000</v>
      </c>
      <c r="C16" s="570"/>
      <c r="D16" s="571">
        <v>196758</v>
      </c>
      <c r="E16" s="571">
        <v>203946</v>
      </c>
    </row>
    <row r="17" spans="1:5" ht="19.5" thickBot="1" x14ac:dyDescent="0.35">
      <c r="A17" s="572" t="s">
        <v>177</v>
      </c>
      <c r="B17" s="573">
        <f>SUM(B13:B16)</f>
        <v>675000</v>
      </c>
      <c r="C17" s="573">
        <f>SUM(C13:C16)</f>
        <v>0</v>
      </c>
      <c r="D17" s="574">
        <f>SUM(D13:D16)</f>
        <v>747678</v>
      </c>
      <c r="E17" s="574">
        <f>SUM(E13:E16)</f>
        <v>774994</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BreakPreview" topLeftCell="A8" zoomScale="115" zoomScaleSheetLayoutView="115" workbookViewId="0">
      <selection activeCell="B36" sqref="B36"/>
    </sheetView>
  </sheetViews>
  <sheetFormatPr defaultColWidth="9.140625" defaultRowHeight="12.75" x14ac:dyDescent="0.2"/>
  <cols>
    <col min="1" max="1" width="46.140625" style="496" customWidth="1"/>
    <col min="2" max="2" width="13.140625" style="496" customWidth="1"/>
    <col min="3" max="3" width="12.7109375" style="496" customWidth="1"/>
    <col min="4" max="4" width="14.5703125" style="496" customWidth="1"/>
    <col min="5" max="16384" width="9.140625" style="496"/>
  </cols>
  <sheetData>
    <row r="1" spans="1:4" ht="15.75" x14ac:dyDescent="0.25">
      <c r="A1" s="872" t="s">
        <v>567</v>
      </c>
      <c r="B1" s="872"/>
      <c r="C1" s="872"/>
      <c r="D1" s="872"/>
    </row>
    <row r="2" spans="1:4" ht="15.75" x14ac:dyDescent="0.25">
      <c r="A2" s="872" t="s">
        <v>1</v>
      </c>
      <c r="B2" s="872"/>
      <c r="C2" s="872"/>
      <c r="D2" s="872"/>
    </row>
    <row r="3" spans="1:4" ht="15.75" x14ac:dyDescent="0.25">
      <c r="A3" s="872" t="s">
        <v>2</v>
      </c>
      <c r="B3" s="872"/>
      <c r="C3" s="872"/>
      <c r="D3" s="872"/>
    </row>
    <row r="4" spans="1:4" ht="15.75" x14ac:dyDescent="0.25">
      <c r="A4" s="872" t="s">
        <v>3341</v>
      </c>
      <c r="B4" s="872"/>
      <c r="C4" s="872"/>
      <c r="D4" s="872"/>
    </row>
    <row r="5" spans="1:4" x14ac:dyDescent="0.2">
      <c r="A5" s="500"/>
      <c r="B5" s="499"/>
      <c r="C5" s="664"/>
      <c r="D5" s="664"/>
    </row>
    <row r="6" spans="1:4" x14ac:dyDescent="0.2">
      <c r="A6" s="499"/>
      <c r="B6" s="499"/>
      <c r="C6" s="664"/>
      <c r="D6" s="664"/>
    </row>
    <row r="7" spans="1:4" ht="45" customHeight="1" x14ac:dyDescent="0.2">
      <c r="A7" s="1050" t="s">
        <v>3101</v>
      </c>
      <c r="B7" s="1050"/>
      <c r="C7" s="1050"/>
      <c r="D7" s="1050"/>
    </row>
    <row r="8" spans="1:4" ht="18.75" x14ac:dyDescent="0.2">
      <c r="A8" s="517"/>
      <c r="B8" s="499"/>
      <c r="C8" s="664"/>
      <c r="D8" s="664"/>
    </row>
    <row r="9" spans="1:4" ht="48" customHeight="1" x14ac:dyDescent="0.2">
      <c r="A9" s="1050" t="s">
        <v>2924</v>
      </c>
      <c r="B9" s="1050"/>
      <c r="C9" s="1050"/>
      <c r="D9" s="1050"/>
    </row>
    <row r="10" spans="1:4" ht="0.75" customHeight="1" x14ac:dyDescent="0.2">
      <c r="A10" s="518"/>
      <c r="B10" s="499"/>
      <c r="C10" s="664"/>
      <c r="D10" s="664"/>
    </row>
    <row r="11" spans="1:4" ht="19.5" thickBot="1" x14ac:dyDescent="0.25">
      <c r="A11" s="518"/>
      <c r="B11" s="499"/>
      <c r="C11" s="664"/>
      <c r="D11" s="664"/>
    </row>
    <row r="12" spans="1:4" ht="32.25" thickBot="1" x14ac:dyDescent="0.25">
      <c r="A12" s="676" t="s">
        <v>1012</v>
      </c>
      <c r="B12" s="677" t="s">
        <v>2812</v>
      </c>
      <c r="C12" s="678" t="s">
        <v>997</v>
      </c>
      <c r="D12" s="679" t="s">
        <v>2812</v>
      </c>
    </row>
    <row r="13" spans="1:4" ht="15.75" hidden="1" x14ac:dyDescent="0.25">
      <c r="A13" s="672" t="s">
        <v>1015</v>
      </c>
      <c r="B13" s="673" t="e">
        <f>#REF!+#REF!</f>
        <v>#REF!</v>
      </c>
      <c r="C13" s="674"/>
      <c r="D13" s="675"/>
    </row>
    <row r="14" spans="1:4" ht="15.75" x14ac:dyDescent="0.25">
      <c r="A14" s="519" t="s">
        <v>1015</v>
      </c>
      <c r="B14" s="665">
        <v>300000</v>
      </c>
      <c r="C14" s="689"/>
      <c r="D14" s="666">
        <f>SUM(B14:C14)</f>
        <v>300000</v>
      </c>
    </row>
    <row r="15" spans="1:4" ht="15.75" x14ac:dyDescent="0.25">
      <c r="A15" s="519" t="s">
        <v>1050</v>
      </c>
      <c r="B15" s="665">
        <v>200000</v>
      </c>
      <c r="C15" s="689"/>
      <c r="D15" s="666">
        <f>SUM(B15:C15)</f>
        <v>200000</v>
      </c>
    </row>
    <row r="16" spans="1:4" ht="15.75" hidden="1" x14ac:dyDescent="0.25">
      <c r="A16" s="519" t="s">
        <v>1040</v>
      </c>
      <c r="B16" s="665">
        <v>400000</v>
      </c>
      <c r="C16" s="689">
        <v>-400000</v>
      </c>
      <c r="D16" s="666">
        <f>SUM(B16:C16)</f>
        <v>0</v>
      </c>
    </row>
    <row r="17" spans="1:4" ht="16.5" thickBot="1" x14ac:dyDescent="0.3">
      <c r="A17" s="520" t="s">
        <v>1016</v>
      </c>
      <c r="B17" s="667">
        <v>700000</v>
      </c>
      <c r="C17" s="690"/>
      <c r="D17" s="668">
        <f>SUM(B17:C17)</f>
        <v>700000</v>
      </c>
    </row>
    <row r="18" spans="1:4" ht="20.25" customHeight="1" thickBot="1" x14ac:dyDescent="0.3">
      <c r="A18" s="669" t="s">
        <v>177</v>
      </c>
      <c r="B18" s="670">
        <f>B14+B15+B17</f>
        <v>1200000</v>
      </c>
      <c r="C18" s="670">
        <f>C14+C15+C17</f>
        <v>0</v>
      </c>
      <c r="D18" s="671">
        <f>SUM(D13:D17)</f>
        <v>1200000</v>
      </c>
    </row>
    <row r="19" spans="1:4" x14ac:dyDescent="0.2">
      <c r="A19" s="703"/>
      <c r="B19" s="703"/>
      <c r="C19" s="703"/>
      <c r="D19" s="703"/>
    </row>
    <row r="20" spans="1:4" ht="62.25" customHeight="1" x14ac:dyDescent="0.2">
      <c r="A20" s="1050" t="s">
        <v>3369</v>
      </c>
      <c r="B20" s="1050"/>
      <c r="C20" s="1050"/>
      <c r="D20" s="1050"/>
    </row>
    <row r="21" spans="1:4" ht="13.5" customHeight="1" thickBot="1" x14ac:dyDescent="0.25">
      <c r="A21" s="518"/>
      <c r="B21" s="701"/>
      <c r="C21" s="664"/>
      <c r="D21" s="664"/>
    </row>
    <row r="22" spans="1:4" ht="31.5" x14ac:dyDescent="0.2">
      <c r="A22" s="707" t="s">
        <v>1012</v>
      </c>
      <c r="B22" s="708" t="s">
        <v>2812</v>
      </c>
      <c r="C22" s="704" t="s">
        <v>997</v>
      </c>
      <c r="D22" s="705" t="s">
        <v>2812</v>
      </c>
    </row>
    <row r="23" spans="1:4" ht="15.75" x14ac:dyDescent="0.25">
      <c r="A23" s="711" t="s">
        <v>1015</v>
      </c>
      <c r="B23" s="665">
        <v>500000</v>
      </c>
      <c r="C23" s="689"/>
      <c r="D23" s="706">
        <f>SUM(B23:C23)</f>
        <v>500000</v>
      </c>
    </row>
    <row r="24" spans="1:4" ht="15.75" x14ac:dyDescent="0.25">
      <c r="A24" s="711" t="s">
        <v>1050</v>
      </c>
      <c r="B24" s="665">
        <v>1311000</v>
      </c>
      <c r="C24" s="689"/>
      <c r="D24" s="706">
        <f>SUM(B24:C24)</f>
        <v>1311000</v>
      </c>
    </row>
    <row r="25" spans="1:4" ht="15.75" x14ac:dyDescent="0.25">
      <c r="A25" s="711" t="s">
        <v>1040</v>
      </c>
      <c r="B25" s="665">
        <v>500000</v>
      </c>
      <c r="C25" s="689"/>
      <c r="D25" s="706">
        <f>SUM(B25:C25)</f>
        <v>500000</v>
      </c>
    </row>
    <row r="26" spans="1:4" ht="15.75" customHeight="1" x14ac:dyDescent="0.25">
      <c r="A26" s="711" t="s">
        <v>1016</v>
      </c>
      <c r="B26" s="665">
        <v>800000</v>
      </c>
      <c r="C26" s="689"/>
      <c r="D26" s="706">
        <f>SUM(B26:C26)</f>
        <v>800000</v>
      </c>
    </row>
    <row r="27" spans="1:4" ht="15.75" customHeight="1" x14ac:dyDescent="0.25">
      <c r="A27" s="711" t="s">
        <v>1037</v>
      </c>
      <c r="B27" s="665">
        <v>1389000</v>
      </c>
      <c r="C27" s="689"/>
      <c r="D27" s="706">
        <f>SUM(B27:C27)</f>
        <v>1389000</v>
      </c>
    </row>
    <row r="28" spans="1:4" ht="16.5" thickBot="1" x14ac:dyDescent="0.3">
      <c r="A28" s="709" t="s">
        <v>177</v>
      </c>
      <c r="B28" s="710">
        <f>SUM(B23:B27)</f>
        <v>4500000</v>
      </c>
      <c r="C28" s="710">
        <f>SUM(C23:C27)</f>
        <v>0</v>
      </c>
      <c r="D28" s="710">
        <f>SUM(D23:D27)</f>
        <v>4500000</v>
      </c>
    </row>
    <row r="29" spans="1:4" ht="17.25" customHeight="1" x14ac:dyDescent="0.2">
      <c r="A29" s="664"/>
      <c r="B29" s="664"/>
      <c r="C29" s="664"/>
      <c r="D29" s="664"/>
    </row>
    <row r="30" spans="1:4" x14ac:dyDescent="0.2">
      <c r="A30" s="713" t="s">
        <v>901</v>
      </c>
      <c r="B30" s="712">
        <f>B18+B28</f>
        <v>5700000</v>
      </c>
      <c r="C30" s="712">
        <f>C18+C28</f>
        <v>0</v>
      </c>
      <c r="D30" s="712">
        <f>D18+D28</f>
        <v>5700000</v>
      </c>
    </row>
    <row r="31" spans="1:4" x14ac:dyDescent="0.2">
      <c r="A31" s="664"/>
      <c r="B31" s="664"/>
      <c r="C31" s="664"/>
      <c r="D31" s="664"/>
    </row>
  </sheetData>
  <mergeCells count="7">
    <mergeCell ref="A20:D20"/>
    <mergeCell ref="A9:D9"/>
    <mergeCell ref="A7:D7"/>
    <mergeCell ref="A1:D1"/>
    <mergeCell ref="A2:D2"/>
    <mergeCell ref="A3:D3"/>
    <mergeCell ref="A4:D4"/>
  </mergeCells>
  <pageMargins left="1.1023622047244095" right="0.70866141732283472" top="0.74803149606299213" bottom="0.74803149606299213" header="0.51181102362204722" footer="0.51181102362204722"/>
  <pageSetup paperSize="9" scale="97"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view="pageBreakPreview" zoomScaleSheetLayoutView="100" workbookViewId="0">
      <selection activeCell="A7" sqref="A7:E7"/>
    </sheetView>
  </sheetViews>
  <sheetFormatPr defaultRowHeight="12.75" x14ac:dyDescent="0.2"/>
  <cols>
    <col min="1" max="1" width="28.5703125" customWidth="1"/>
    <col min="2" max="2" width="41.140625" customWidth="1"/>
    <col min="3" max="3" width="16.5703125" hidden="1" customWidth="1"/>
    <col min="4" max="4" width="14.85546875" hidden="1" customWidth="1"/>
    <col min="5" max="5" width="17" customWidth="1"/>
    <col min="6" max="6" width="43.42578125" customWidth="1"/>
  </cols>
  <sheetData>
    <row r="1" spans="1:5" ht="15.75" x14ac:dyDescent="0.25">
      <c r="A1" s="868" t="s">
        <v>189</v>
      </c>
      <c r="B1" s="868"/>
      <c r="C1" s="868"/>
      <c r="D1" s="868"/>
      <c r="E1" s="868"/>
    </row>
    <row r="2" spans="1:5" ht="15.75" x14ac:dyDescent="0.25">
      <c r="A2" s="868" t="s">
        <v>1</v>
      </c>
      <c r="B2" s="868"/>
      <c r="C2" s="868"/>
      <c r="D2" s="868"/>
      <c r="E2" s="868"/>
    </row>
    <row r="3" spans="1:5" ht="15.75" x14ac:dyDescent="0.25">
      <c r="A3" s="868" t="s">
        <v>2</v>
      </c>
      <c r="B3" s="868"/>
      <c r="C3" s="868"/>
      <c r="D3" s="868"/>
      <c r="E3" s="868"/>
    </row>
    <row r="4" spans="1:5" ht="15.75" x14ac:dyDescent="0.25">
      <c r="A4" s="868" t="s">
        <v>3478</v>
      </c>
      <c r="B4" s="868"/>
      <c r="C4" s="868"/>
      <c r="D4" s="868"/>
      <c r="E4" s="868"/>
    </row>
    <row r="6" spans="1:5" ht="15.75" x14ac:dyDescent="0.25">
      <c r="A6" s="73"/>
      <c r="B6" s="1"/>
    </row>
    <row r="7" spans="1:5" ht="33" customHeight="1" x14ac:dyDescent="0.2">
      <c r="A7" s="869" t="s">
        <v>3132</v>
      </c>
      <c r="B7" s="869"/>
      <c r="C7" s="869"/>
      <c r="D7" s="869"/>
      <c r="E7" s="869"/>
    </row>
    <row r="8" spans="1:5" ht="19.5" thickBot="1" x14ac:dyDescent="0.25">
      <c r="A8" s="8"/>
      <c r="B8" s="1"/>
    </row>
    <row r="9" spans="1:5" ht="16.5" thickBot="1" x14ac:dyDescent="0.25">
      <c r="A9" s="74" t="s">
        <v>190</v>
      </c>
      <c r="B9" s="74" t="s">
        <v>306</v>
      </c>
      <c r="C9" s="74" t="s">
        <v>192</v>
      </c>
      <c r="D9" s="74" t="s">
        <v>192</v>
      </c>
      <c r="E9" s="74" t="s">
        <v>192</v>
      </c>
    </row>
    <row r="10" spans="1:5" ht="32.25" thickBot="1" x14ac:dyDescent="0.25">
      <c r="A10" s="75" t="s">
        <v>307</v>
      </c>
      <c r="B10" s="60" t="s">
        <v>308</v>
      </c>
      <c r="C10" s="76">
        <f>C11+C13</f>
        <v>14279000</v>
      </c>
      <c r="D10" s="76">
        <f>D11+D13</f>
        <v>0</v>
      </c>
      <c r="E10" s="76">
        <f>SUM(C10:D10)</f>
        <v>14279000</v>
      </c>
    </row>
    <row r="11" spans="1:5" ht="48" thickBot="1" x14ac:dyDescent="0.25">
      <c r="A11" s="77" t="s">
        <v>309</v>
      </c>
      <c r="B11" s="63" t="s">
        <v>310</v>
      </c>
      <c r="C11" s="78">
        <f>C12</f>
        <v>14279000</v>
      </c>
      <c r="D11" s="78">
        <f>D12</f>
        <v>0</v>
      </c>
      <c r="E11" s="78">
        <f>SUM(C11:D11)</f>
        <v>14279000</v>
      </c>
    </row>
    <row r="12" spans="1:5" ht="63.75" thickBot="1" x14ac:dyDescent="0.25">
      <c r="A12" s="77" t="s">
        <v>311</v>
      </c>
      <c r="B12" s="63" t="s">
        <v>312</v>
      </c>
      <c r="C12" s="78">
        <v>14279000</v>
      </c>
      <c r="D12" s="78"/>
      <c r="E12" s="78">
        <f t="shared" ref="E12:E25" si="0">SUM(C12:D12)</f>
        <v>14279000</v>
      </c>
    </row>
    <row r="13" spans="1:5" ht="48" hidden="1" thickBot="1" x14ac:dyDescent="0.25">
      <c r="A13" s="77" t="s">
        <v>313</v>
      </c>
      <c r="B13" s="63" t="s">
        <v>314</v>
      </c>
      <c r="C13" s="78">
        <f>C14</f>
        <v>0</v>
      </c>
      <c r="D13" s="78">
        <f>D14</f>
        <v>0</v>
      </c>
      <c r="E13" s="78">
        <f t="shared" si="0"/>
        <v>0</v>
      </c>
    </row>
    <row r="14" spans="1:5" ht="63.75" hidden="1" thickBot="1" x14ac:dyDescent="0.25">
      <c r="A14" s="77" t="s">
        <v>315</v>
      </c>
      <c r="B14" s="63" t="s">
        <v>316</v>
      </c>
      <c r="C14" s="78">
        <v>0</v>
      </c>
      <c r="D14" s="78"/>
      <c r="E14" s="78">
        <f t="shared" si="0"/>
        <v>0</v>
      </c>
    </row>
    <row r="15" spans="1:5" ht="48" thickBot="1" x14ac:dyDescent="0.25">
      <c r="A15" s="75" t="s">
        <v>317</v>
      </c>
      <c r="B15" s="60" t="s">
        <v>318</v>
      </c>
      <c r="C15" s="76">
        <f>-C18+C16</f>
        <v>-14279000</v>
      </c>
      <c r="D15" s="76">
        <f>D18+D16</f>
        <v>0</v>
      </c>
      <c r="E15" s="76">
        <f t="shared" si="0"/>
        <v>-14279000</v>
      </c>
    </row>
    <row r="16" spans="1:5" ht="79.5" hidden="1" thickBot="1" x14ac:dyDescent="0.25">
      <c r="A16" s="79" t="s">
        <v>319</v>
      </c>
      <c r="B16" s="63" t="s">
        <v>320</v>
      </c>
      <c r="C16" s="78">
        <f>C17</f>
        <v>0</v>
      </c>
      <c r="D16" s="78">
        <f>D17</f>
        <v>0</v>
      </c>
      <c r="E16" s="78">
        <f t="shared" si="0"/>
        <v>0</v>
      </c>
    </row>
    <row r="17" spans="1:5" ht="79.5" hidden="1" thickBot="1" x14ac:dyDescent="0.25">
      <c r="A17" s="79" t="s">
        <v>321</v>
      </c>
      <c r="B17" s="63" t="s">
        <v>322</v>
      </c>
      <c r="C17" s="78">
        <v>0</v>
      </c>
      <c r="D17" s="78"/>
      <c r="E17" s="78">
        <f t="shared" si="0"/>
        <v>0</v>
      </c>
    </row>
    <row r="18" spans="1:5" ht="79.5" thickBot="1" x14ac:dyDescent="0.25">
      <c r="A18" s="77" t="s">
        <v>323</v>
      </c>
      <c r="B18" s="63" t="s">
        <v>324</v>
      </c>
      <c r="C18" s="78">
        <f>C19</f>
        <v>14279000</v>
      </c>
      <c r="D18" s="78">
        <f>D19</f>
        <v>0</v>
      </c>
      <c r="E18" s="78">
        <f t="shared" si="0"/>
        <v>14279000</v>
      </c>
    </row>
    <row r="19" spans="1:5" ht="79.5" thickBot="1" x14ac:dyDescent="0.25">
      <c r="A19" s="77" t="s">
        <v>325</v>
      </c>
      <c r="B19" s="63" t="s">
        <v>326</v>
      </c>
      <c r="C19" s="78">
        <f>14279000</f>
        <v>14279000</v>
      </c>
      <c r="D19" s="78"/>
      <c r="E19" s="78">
        <f t="shared" si="0"/>
        <v>14279000</v>
      </c>
    </row>
    <row r="20" spans="1:5" ht="32.25" thickBot="1" x14ac:dyDescent="0.25">
      <c r="A20" s="75" t="s">
        <v>327</v>
      </c>
      <c r="B20" s="60" t="s">
        <v>328</v>
      </c>
      <c r="C20" s="76">
        <f>+C22-C21</f>
        <v>58875999.970000267</v>
      </c>
      <c r="D20" s="76">
        <f>+D22-D21</f>
        <v>-2426000.2599999979</v>
      </c>
      <c r="E20" s="76">
        <f>+E22-E21</f>
        <v>56449999.710000038</v>
      </c>
    </row>
    <row r="21" spans="1:5" ht="48" thickBot="1" x14ac:dyDescent="0.25">
      <c r="A21" s="77" t="s">
        <v>329</v>
      </c>
      <c r="B21" s="63" t="s">
        <v>330</v>
      </c>
      <c r="C21" s="78">
        <f>(Пр1!J166+C12+C25)</f>
        <v>2222560687.8699999</v>
      </c>
      <c r="D21" s="78">
        <f>(Пр1!K166+D12+D25)</f>
        <v>-14471036</v>
      </c>
      <c r="E21" s="78">
        <f t="shared" si="0"/>
        <v>2208089651.8699999</v>
      </c>
    </row>
    <row r="22" spans="1:5" ht="48" thickBot="1" x14ac:dyDescent="0.25">
      <c r="A22" s="77" t="s">
        <v>331</v>
      </c>
      <c r="B22" s="63" t="s">
        <v>332</v>
      </c>
      <c r="C22" s="78">
        <f>Пр_3!C121+C19</f>
        <v>2281436687.8400002</v>
      </c>
      <c r="D22" s="78">
        <f>Пр_3!D121+D19-1</f>
        <v>-16897036.259999998</v>
      </c>
      <c r="E22" s="78">
        <f>SUM(C22:D22)</f>
        <v>2264539651.5799999</v>
      </c>
    </row>
    <row r="23" spans="1:5" ht="48" hidden="1" thickBot="1" x14ac:dyDescent="0.25">
      <c r="A23" s="75" t="s">
        <v>333</v>
      </c>
      <c r="B23" s="60" t="s">
        <v>334</v>
      </c>
      <c r="C23" s="76">
        <f>C24</f>
        <v>0</v>
      </c>
      <c r="D23" s="76">
        <f>D24</f>
        <v>0</v>
      </c>
      <c r="E23" s="78">
        <f t="shared" si="0"/>
        <v>0</v>
      </c>
    </row>
    <row r="24" spans="1:5" ht="48" hidden="1" thickBot="1" x14ac:dyDescent="0.25">
      <c r="A24" s="77" t="s">
        <v>335</v>
      </c>
      <c r="B24" s="63" t="s">
        <v>336</v>
      </c>
      <c r="C24" s="78">
        <f>C25</f>
        <v>0</v>
      </c>
      <c r="D24" s="78">
        <f>D25</f>
        <v>0</v>
      </c>
      <c r="E24" s="78">
        <f t="shared" si="0"/>
        <v>0</v>
      </c>
    </row>
    <row r="25" spans="1:5" ht="63.75" hidden="1" thickBot="1" x14ac:dyDescent="0.25">
      <c r="A25" s="77" t="s">
        <v>337</v>
      </c>
      <c r="B25" s="63" t="s">
        <v>338</v>
      </c>
      <c r="C25" s="78"/>
      <c r="D25" s="78"/>
      <c r="E25" s="78">
        <f t="shared" si="0"/>
        <v>0</v>
      </c>
    </row>
    <row r="26" spans="1:5" ht="16.5" thickBot="1" x14ac:dyDescent="0.25">
      <c r="A26" s="881" t="s">
        <v>339</v>
      </c>
      <c r="B26" s="881"/>
      <c r="C26" s="80">
        <f>C20+C10+C23+C15</f>
        <v>58875999.970000267</v>
      </c>
      <c r="D26" s="80">
        <f>D20+D10+D23+D15</f>
        <v>-2426000.2599999979</v>
      </c>
      <c r="E26" s="76">
        <f>SUM(C26:D26)</f>
        <v>56449999.710000269</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3"/>
  <sheetViews>
    <sheetView showGridLines="0" topLeftCell="A1442" workbookViewId="0">
      <selection activeCell="B1474" sqref="B1473:B1474"/>
    </sheetView>
  </sheetViews>
  <sheetFormatPr defaultColWidth="31.85546875" defaultRowHeight="12.75" x14ac:dyDescent="0.2"/>
  <cols>
    <col min="1" max="1" width="7" style="401" bestFit="1" customWidth="1"/>
    <col min="2" max="2" width="106.140625" style="402" customWidth="1"/>
    <col min="3" max="16384" width="31.85546875" style="384"/>
  </cols>
  <sheetData>
    <row r="1" spans="1:2" s="403" customFormat="1" hidden="1" x14ac:dyDescent="0.2">
      <c r="A1" s="401"/>
      <c r="B1" s="404"/>
    </row>
    <row r="2" spans="1:2" hidden="1" x14ac:dyDescent="0.2"/>
    <row r="3" spans="1:2" hidden="1" x14ac:dyDescent="0.2"/>
    <row r="4" spans="1:2" hidden="1" x14ac:dyDescent="0.2"/>
    <row r="5" spans="1:2" hidden="1" x14ac:dyDescent="0.2"/>
    <row r="6" spans="1:2" hidden="1" x14ac:dyDescent="0.2"/>
    <row r="7" spans="1:2" hidden="1" x14ac:dyDescent="0.2"/>
    <row r="8" spans="1:2" hidden="1" x14ac:dyDescent="0.2"/>
    <row r="9" spans="1:2" hidden="1" x14ac:dyDescent="0.2"/>
    <row r="10" spans="1:2" hidden="1" x14ac:dyDescent="0.2"/>
    <row r="11" spans="1:2" hidden="1" x14ac:dyDescent="0.2"/>
    <row r="12" spans="1:2" hidden="1" x14ac:dyDescent="0.2"/>
    <row r="13" spans="1:2" hidden="1" x14ac:dyDescent="0.2"/>
    <row r="14" spans="1:2" hidden="1" x14ac:dyDescent="0.2"/>
    <row r="15" spans="1:2" hidden="1" x14ac:dyDescent="0.2"/>
    <row r="16" spans="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2" hidden="1" x14ac:dyDescent="0.2"/>
    <row r="98" spans="2:2" hidden="1" x14ac:dyDescent="0.2"/>
    <row r="99" spans="2:2" hidden="1" x14ac:dyDescent="0.2">
      <c r="B99" s="384"/>
    </row>
    <row r="100" spans="2:2" hidden="1" x14ac:dyDescent="0.2"/>
    <row r="101" spans="2:2" hidden="1" x14ac:dyDescent="0.2"/>
    <row r="102" spans="2:2" hidden="1" x14ac:dyDescent="0.2"/>
    <row r="103" spans="2:2" hidden="1" x14ac:dyDescent="0.2"/>
    <row r="104" spans="2:2" hidden="1" x14ac:dyDescent="0.2"/>
    <row r="105" spans="2:2" hidden="1" x14ac:dyDescent="0.2"/>
    <row r="106" spans="2:2" hidden="1" x14ac:dyDescent="0.2"/>
    <row r="107" spans="2:2" hidden="1" x14ac:dyDescent="0.2"/>
    <row r="108" spans="2:2" hidden="1" x14ac:dyDescent="0.2"/>
    <row r="109" spans="2:2" hidden="1" x14ac:dyDescent="0.2"/>
    <row r="110" spans="2:2" hidden="1" x14ac:dyDescent="0.2"/>
    <row r="111" spans="2:2" hidden="1" x14ac:dyDescent="0.2"/>
    <row r="112" spans="2: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spans="1:3" hidden="1" x14ac:dyDescent="0.2"/>
    <row r="1394" spans="1:3" hidden="1" x14ac:dyDescent="0.2"/>
    <row r="1395" spans="1:3" hidden="1" x14ac:dyDescent="0.2"/>
    <row r="1396" spans="1:3" hidden="1" x14ac:dyDescent="0.2"/>
    <row r="1397" spans="1:3" hidden="1" x14ac:dyDescent="0.2"/>
    <row r="1398" spans="1:3" hidden="1" x14ac:dyDescent="0.2"/>
    <row r="1399" spans="1:3" hidden="1" x14ac:dyDescent="0.2"/>
    <row r="1400" spans="1:3" x14ac:dyDescent="0.2">
      <c r="A1400" s="405">
        <v>100</v>
      </c>
      <c r="B1400" s="406" t="s">
        <v>193</v>
      </c>
      <c r="C1400" s="402"/>
    </row>
    <row r="1401" spans="1:3" x14ac:dyDescent="0.2">
      <c r="A1401" s="407">
        <v>101</v>
      </c>
      <c r="B1401" s="408" t="s">
        <v>194</v>
      </c>
      <c r="C1401" s="402"/>
    </row>
    <row r="1402" spans="1:3" x14ac:dyDescent="0.2">
      <c r="A1402" s="407">
        <v>102</v>
      </c>
      <c r="B1402" s="409" t="s">
        <v>195</v>
      </c>
      <c r="C1402" s="402"/>
    </row>
    <row r="1403" spans="1:3" ht="25.5" x14ac:dyDescent="0.2">
      <c r="A1403" s="407">
        <v>103</v>
      </c>
      <c r="B1403" s="409" t="s">
        <v>196</v>
      </c>
      <c r="C1403" s="402"/>
    </row>
    <row r="1404" spans="1:3" ht="25.5" x14ac:dyDescent="0.2">
      <c r="A1404" s="407">
        <v>104</v>
      </c>
      <c r="B1404" s="409" t="s">
        <v>197</v>
      </c>
      <c r="C1404" s="402"/>
    </row>
    <row r="1405" spans="1:3" x14ac:dyDescent="0.2">
      <c r="A1405" s="407">
        <v>105</v>
      </c>
      <c r="B1405" s="409" t="s">
        <v>198</v>
      </c>
      <c r="C1405" s="402"/>
    </row>
    <row r="1406" spans="1:3" ht="25.5" x14ac:dyDescent="0.2">
      <c r="A1406" s="407">
        <v>106</v>
      </c>
      <c r="B1406" s="409" t="s">
        <v>199</v>
      </c>
      <c r="C1406" s="402"/>
    </row>
    <row r="1407" spans="1:3" x14ac:dyDescent="0.2">
      <c r="A1407" s="407">
        <v>107</v>
      </c>
      <c r="B1407" s="409" t="s">
        <v>200</v>
      </c>
      <c r="C1407" s="402"/>
    </row>
    <row r="1408" spans="1:3" x14ac:dyDescent="0.2">
      <c r="A1408" s="407">
        <v>108</v>
      </c>
      <c r="B1408" s="409" t="s">
        <v>201</v>
      </c>
      <c r="C1408" s="402"/>
    </row>
    <row r="1409" spans="1:3" x14ac:dyDescent="0.2">
      <c r="A1409" s="407">
        <v>109</v>
      </c>
      <c r="B1409" s="409" t="s">
        <v>202</v>
      </c>
      <c r="C1409" s="402"/>
    </row>
    <row r="1410" spans="1:3" x14ac:dyDescent="0.2">
      <c r="A1410" s="407">
        <v>110</v>
      </c>
      <c r="B1410" s="409" t="s">
        <v>203</v>
      </c>
      <c r="C1410" s="402"/>
    </row>
    <row r="1411" spans="1:3" x14ac:dyDescent="0.2">
      <c r="A1411" s="407">
        <v>111</v>
      </c>
      <c r="B1411" s="409" t="s">
        <v>204</v>
      </c>
      <c r="C1411" s="402"/>
    </row>
    <row r="1412" spans="1:3" x14ac:dyDescent="0.2">
      <c r="A1412" s="407">
        <v>112</v>
      </c>
      <c r="B1412" s="409" t="s">
        <v>205</v>
      </c>
      <c r="C1412" s="402"/>
    </row>
    <row r="1413" spans="1:3" x14ac:dyDescent="0.2">
      <c r="A1413" s="407">
        <v>113</v>
      </c>
      <c r="B1413" s="409" t="s">
        <v>206</v>
      </c>
      <c r="C1413" s="402"/>
    </row>
    <row r="1414" spans="1:3" x14ac:dyDescent="0.2">
      <c r="A1414" s="405">
        <v>200</v>
      </c>
      <c r="B1414" s="410" t="s">
        <v>207</v>
      </c>
      <c r="C1414" s="402"/>
    </row>
    <row r="1415" spans="1:3" x14ac:dyDescent="0.2">
      <c r="A1415" s="407">
        <v>201</v>
      </c>
      <c r="B1415" s="409" t="s">
        <v>208</v>
      </c>
      <c r="C1415" s="402"/>
    </row>
    <row r="1416" spans="1:3" x14ac:dyDescent="0.2">
      <c r="A1416" s="407">
        <v>202</v>
      </c>
      <c r="B1416" s="409" t="s">
        <v>209</v>
      </c>
      <c r="C1416" s="402"/>
    </row>
    <row r="1417" spans="1:3" x14ac:dyDescent="0.2">
      <c r="A1417" s="407">
        <v>203</v>
      </c>
      <c r="B1417" s="409" t="s">
        <v>210</v>
      </c>
      <c r="C1417" s="402"/>
    </row>
    <row r="1418" spans="1:3" x14ac:dyDescent="0.2">
      <c r="A1418" s="407">
        <v>204</v>
      </c>
      <c r="B1418" s="409" t="s">
        <v>211</v>
      </c>
      <c r="C1418" s="402"/>
    </row>
    <row r="1419" spans="1:3" x14ac:dyDescent="0.2">
      <c r="A1419" s="407">
        <v>205</v>
      </c>
      <c r="B1419" s="409" t="s">
        <v>212</v>
      </c>
      <c r="C1419" s="402"/>
    </row>
    <row r="1420" spans="1:3" x14ac:dyDescent="0.2">
      <c r="A1420" s="407">
        <v>206</v>
      </c>
      <c r="B1420" s="409" t="s">
        <v>213</v>
      </c>
      <c r="C1420" s="402"/>
    </row>
    <row r="1421" spans="1:3" x14ac:dyDescent="0.2">
      <c r="A1421" s="407">
        <v>207</v>
      </c>
      <c r="B1421" s="409" t="s">
        <v>214</v>
      </c>
      <c r="C1421" s="402"/>
    </row>
    <row r="1422" spans="1:3" x14ac:dyDescent="0.2">
      <c r="A1422" s="407">
        <v>208</v>
      </c>
      <c r="B1422" s="409" t="s">
        <v>215</v>
      </c>
      <c r="C1422" s="402"/>
    </row>
    <row r="1423" spans="1:3" x14ac:dyDescent="0.2">
      <c r="A1423" s="407">
        <v>209</v>
      </c>
      <c r="B1423" s="409" t="s">
        <v>216</v>
      </c>
      <c r="C1423" s="402"/>
    </row>
    <row r="1424" spans="1:3" x14ac:dyDescent="0.2">
      <c r="A1424" s="405">
        <v>300</v>
      </c>
      <c r="B1424" s="410" t="s">
        <v>217</v>
      </c>
      <c r="C1424" s="402"/>
    </row>
    <row r="1425" spans="1:3" x14ac:dyDescent="0.2">
      <c r="A1425" s="407">
        <v>301</v>
      </c>
      <c r="B1425" s="409" t="s">
        <v>2814</v>
      </c>
      <c r="C1425" s="402"/>
    </row>
    <row r="1426" spans="1:3" x14ac:dyDescent="0.2">
      <c r="A1426" s="407">
        <v>302</v>
      </c>
      <c r="B1426" s="409" t="s">
        <v>2815</v>
      </c>
      <c r="C1426" s="402"/>
    </row>
    <row r="1427" spans="1:3" x14ac:dyDescent="0.2">
      <c r="A1427" s="407">
        <v>303</v>
      </c>
      <c r="B1427" s="409" t="s">
        <v>218</v>
      </c>
      <c r="C1427" s="402"/>
    </row>
    <row r="1428" spans="1:3" x14ac:dyDescent="0.2">
      <c r="A1428" s="407">
        <v>304</v>
      </c>
      <c r="B1428" s="409" t="s">
        <v>219</v>
      </c>
      <c r="C1428" s="402"/>
    </row>
    <row r="1429" spans="1:3" x14ac:dyDescent="0.2">
      <c r="A1429" s="407">
        <v>305</v>
      </c>
      <c r="B1429" s="409" t="s">
        <v>220</v>
      </c>
      <c r="C1429" s="402"/>
    </row>
    <row r="1430" spans="1:3" x14ac:dyDescent="0.2">
      <c r="A1430" s="407">
        <v>306</v>
      </c>
      <c r="B1430" s="409" t="s">
        <v>221</v>
      </c>
      <c r="C1430" s="402"/>
    </row>
    <row r="1431" spans="1:3" x14ac:dyDescent="0.2">
      <c r="A1431" s="407">
        <v>307</v>
      </c>
      <c r="B1431" s="409" t="s">
        <v>222</v>
      </c>
      <c r="C1431" s="402"/>
    </row>
    <row r="1432" spans="1:3" x14ac:dyDescent="0.2">
      <c r="A1432" s="407">
        <v>308</v>
      </c>
      <c r="B1432" s="409" t="s">
        <v>223</v>
      </c>
      <c r="C1432" s="402"/>
    </row>
    <row r="1433" spans="1:3" ht="25.5" x14ac:dyDescent="0.2">
      <c r="A1433" s="407">
        <v>309</v>
      </c>
      <c r="B1433" s="409" t="s">
        <v>224</v>
      </c>
      <c r="C1433" s="402"/>
    </row>
    <row r="1434" spans="1:3" x14ac:dyDescent="0.2">
      <c r="A1434" s="407">
        <v>310</v>
      </c>
      <c r="B1434" s="409" t="s">
        <v>225</v>
      </c>
      <c r="C1434" s="402"/>
    </row>
    <row r="1435" spans="1:3" x14ac:dyDescent="0.2">
      <c r="A1435" s="407">
        <v>311</v>
      </c>
      <c r="B1435" s="409" t="s">
        <v>226</v>
      </c>
      <c r="C1435" s="402"/>
    </row>
    <row r="1436" spans="1:3" x14ac:dyDescent="0.2">
      <c r="A1436" s="407">
        <v>312</v>
      </c>
      <c r="B1436" s="409" t="s">
        <v>227</v>
      </c>
      <c r="C1436" s="402"/>
    </row>
    <row r="1437" spans="1:3" x14ac:dyDescent="0.2">
      <c r="A1437" s="407">
        <v>313</v>
      </c>
      <c r="B1437" s="409" t="s">
        <v>228</v>
      </c>
      <c r="C1437" s="402"/>
    </row>
    <row r="1438" spans="1:3" x14ac:dyDescent="0.2">
      <c r="A1438" s="407">
        <v>314</v>
      </c>
      <c r="B1438" s="409" t="s">
        <v>229</v>
      </c>
      <c r="C1438" s="402"/>
    </row>
    <row r="1439" spans="1:3" x14ac:dyDescent="0.2">
      <c r="A1439" s="405">
        <v>400</v>
      </c>
      <c r="B1439" s="410" t="s">
        <v>230</v>
      </c>
      <c r="C1439" s="402"/>
    </row>
    <row r="1440" spans="1:3" x14ac:dyDescent="0.2">
      <c r="A1440" s="407">
        <v>401</v>
      </c>
      <c r="B1440" s="411" t="s">
        <v>231</v>
      </c>
      <c r="C1440" s="402"/>
    </row>
    <row r="1441" spans="1:3" x14ac:dyDescent="0.2">
      <c r="A1441" s="407">
        <v>402</v>
      </c>
      <c r="B1441" s="408" t="s">
        <v>232</v>
      </c>
      <c r="C1441" s="402"/>
    </row>
    <row r="1442" spans="1:3" x14ac:dyDescent="0.2">
      <c r="A1442" s="407">
        <v>403</v>
      </c>
      <c r="B1442" s="409" t="s">
        <v>233</v>
      </c>
      <c r="C1442" s="402"/>
    </row>
    <row r="1443" spans="1:3" x14ac:dyDescent="0.2">
      <c r="A1443" s="407">
        <v>404</v>
      </c>
      <c r="B1443" s="409" t="s">
        <v>234</v>
      </c>
      <c r="C1443" s="402"/>
    </row>
    <row r="1444" spans="1:3" x14ac:dyDescent="0.2">
      <c r="A1444" s="407">
        <v>405</v>
      </c>
      <c r="B1444" s="409" t="s">
        <v>235</v>
      </c>
      <c r="C1444" s="402"/>
    </row>
    <row r="1445" spans="1:3" x14ac:dyDescent="0.2">
      <c r="A1445" s="407">
        <v>406</v>
      </c>
      <c r="B1445" s="409" t="s">
        <v>236</v>
      </c>
      <c r="C1445" s="402"/>
    </row>
    <row r="1446" spans="1:3" x14ac:dyDescent="0.2">
      <c r="A1446" s="407">
        <v>407</v>
      </c>
      <c r="B1446" s="409" t="s">
        <v>237</v>
      </c>
      <c r="C1446" s="402"/>
    </row>
    <row r="1447" spans="1:3" x14ac:dyDescent="0.2">
      <c r="A1447" s="407">
        <v>408</v>
      </c>
      <c r="B1447" s="409" t="s">
        <v>238</v>
      </c>
      <c r="C1447" s="402"/>
    </row>
    <row r="1448" spans="1:3" x14ac:dyDescent="0.2">
      <c r="A1448" s="407">
        <v>409</v>
      </c>
      <c r="B1448" s="409" t="s">
        <v>239</v>
      </c>
      <c r="C1448" s="402"/>
    </row>
    <row r="1449" spans="1:3" x14ac:dyDescent="0.2">
      <c r="A1449" s="407">
        <v>410</v>
      </c>
      <c r="B1449" s="409" t="s">
        <v>240</v>
      </c>
      <c r="C1449" s="402"/>
    </row>
    <row r="1450" spans="1:3" x14ac:dyDescent="0.2">
      <c r="A1450" s="407">
        <v>411</v>
      </c>
      <c r="B1450" s="409" t="s">
        <v>241</v>
      </c>
      <c r="C1450" s="402"/>
    </row>
    <row r="1451" spans="1:3" x14ac:dyDescent="0.2">
      <c r="A1451" s="407">
        <v>412</v>
      </c>
      <c r="B1451" s="409" t="s">
        <v>242</v>
      </c>
      <c r="C1451" s="402"/>
    </row>
    <row r="1452" spans="1:3" x14ac:dyDescent="0.2">
      <c r="A1452" s="405">
        <v>500</v>
      </c>
      <c r="B1452" s="410" t="s">
        <v>243</v>
      </c>
      <c r="C1452" s="402"/>
    </row>
    <row r="1453" spans="1:3" x14ac:dyDescent="0.2">
      <c r="A1453" s="407">
        <v>501</v>
      </c>
      <c r="B1453" s="409" t="s">
        <v>244</v>
      </c>
      <c r="C1453" s="402"/>
    </row>
    <row r="1454" spans="1:3" x14ac:dyDescent="0.2">
      <c r="A1454" s="407">
        <v>502</v>
      </c>
      <c r="B1454" s="409" t="s">
        <v>245</v>
      </c>
      <c r="C1454" s="402"/>
    </row>
    <row r="1455" spans="1:3" x14ac:dyDescent="0.2">
      <c r="A1455" s="407">
        <v>503</v>
      </c>
      <c r="B1455" s="408" t="s">
        <v>246</v>
      </c>
      <c r="C1455" s="402"/>
    </row>
    <row r="1456" spans="1:3" x14ac:dyDescent="0.2">
      <c r="A1456" s="407">
        <v>504</v>
      </c>
      <c r="B1456" s="409" t="s">
        <v>247</v>
      </c>
      <c r="C1456" s="402"/>
    </row>
    <row r="1457" spans="1:3" x14ac:dyDescent="0.2">
      <c r="A1457" s="407">
        <v>505</v>
      </c>
      <c r="B1457" s="409" t="s">
        <v>248</v>
      </c>
      <c r="C1457" s="402"/>
    </row>
    <row r="1458" spans="1:3" x14ac:dyDescent="0.2">
      <c r="A1458" s="405">
        <v>600</v>
      </c>
      <c r="B1458" s="412" t="s">
        <v>249</v>
      </c>
      <c r="C1458" s="402"/>
    </row>
    <row r="1459" spans="1:3" x14ac:dyDescent="0.2">
      <c r="A1459" s="407">
        <v>601</v>
      </c>
      <c r="B1459" s="408" t="s">
        <v>250</v>
      </c>
      <c r="C1459" s="402"/>
    </row>
    <row r="1460" spans="1:3" x14ac:dyDescent="0.2">
      <c r="A1460" s="407">
        <v>602</v>
      </c>
      <c r="B1460" s="409" t="s">
        <v>251</v>
      </c>
      <c r="C1460" s="402"/>
    </row>
    <row r="1461" spans="1:3" x14ac:dyDescent="0.2">
      <c r="A1461" s="407">
        <v>603</v>
      </c>
      <c r="B1461" s="409" t="s">
        <v>252</v>
      </c>
      <c r="C1461" s="402"/>
    </row>
    <row r="1462" spans="1:3" x14ac:dyDescent="0.2">
      <c r="A1462" s="407">
        <v>604</v>
      </c>
      <c r="B1462" s="409" t="s">
        <v>253</v>
      </c>
      <c r="C1462" s="402"/>
    </row>
    <row r="1463" spans="1:3" x14ac:dyDescent="0.2">
      <c r="A1463" s="407">
        <v>605</v>
      </c>
      <c r="B1463" s="409" t="s">
        <v>254</v>
      </c>
      <c r="C1463" s="402"/>
    </row>
    <row r="1464" spans="1:3" x14ac:dyDescent="0.2">
      <c r="A1464" s="405">
        <v>700</v>
      </c>
      <c r="B1464" s="412" t="s">
        <v>255</v>
      </c>
      <c r="C1464" s="402"/>
    </row>
    <row r="1465" spans="1:3" x14ac:dyDescent="0.2">
      <c r="A1465" s="407">
        <v>701</v>
      </c>
      <c r="B1465" s="409" t="s">
        <v>256</v>
      </c>
      <c r="C1465" s="402"/>
    </row>
    <row r="1466" spans="1:3" x14ac:dyDescent="0.2">
      <c r="A1466" s="407">
        <v>702</v>
      </c>
      <c r="B1466" s="409" t="s">
        <v>257</v>
      </c>
      <c r="C1466" s="402"/>
    </row>
    <row r="1467" spans="1:3" x14ac:dyDescent="0.2">
      <c r="A1467" s="407">
        <v>703</v>
      </c>
      <c r="B1467" s="409" t="s">
        <v>2916</v>
      </c>
      <c r="C1467" s="402"/>
    </row>
    <row r="1468" spans="1:3" x14ac:dyDescent="0.2">
      <c r="A1468" s="407">
        <v>704</v>
      </c>
      <c r="B1468" s="409" t="s">
        <v>258</v>
      </c>
      <c r="C1468" s="402"/>
    </row>
    <row r="1469" spans="1:3" x14ac:dyDescent="0.2">
      <c r="A1469" s="407">
        <v>705</v>
      </c>
      <c r="B1469" s="409" t="s">
        <v>259</v>
      </c>
      <c r="C1469" s="402"/>
    </row>
    <row r="1470" spans="1:3" x14ac:dyDescent="0.2">
      <c r="A1470" s="413">
        <v>706</v>
      </c>
      <c r="B1470" s="414" t="s">
        <v>260</v>
      </c>
      <c r="C1470" s="402"/>
    </row>
    <row r="1471" spans="1:3" x14ac:dyDescent="0.2">
      <c r="A1471" s="407">
        <v>707</v>
      </c>
      <c r="B1471" s="409" t="s">
        <v>2917</v>
      </c>
      <c r="C1471" s="402"/>
    </row>
    <row r="1472" spans="1:3" x14ac:dyDescent="0.2">
      <c r="A1472" s="407">
        <v>708</v>
      </c>
      <c r="B1472" s="409" t="s">
        <v>261</v>
      </c>
      <c r="C1472" s="402"/>
    </row>
    <row r="1473" spans="1:3" x14ac:dyDescent="0.2">
      <c r="A1473" s="407">
        <v>709</v>
      </c>
      <c r="B1473" s="409" t="s">
        <v>262</v>
      </c>
      <c r="C1473" s="402"/>
    </row>
    <row r="1474" spans="1:3" x14ac:dyDescent="0.2">
      <c r="A1474" s="405">
        <v>800</v>
      </c>
      <c r="B1474" s="412" t="s">
        <v>263</v>
      </c>
      <c r="C1474" s="402"/>
    </row>
    <row r="1475" spans="1:3" x14ac:dyDescent="0.2">
      <c r="A1475" s="407">
        <v>801</v>
      </c>
      <c r="B1475" s="409" t="s">
        <v>264</v>
      </c>
      <c r="C1475" s="402"/>
    </row>
    <row r="1476" spans="1:3" x14ac:dyDescent="0.2">
      <c r="A1476" s="407">
        <v>802</v>
      </c>
      <c r="B1476" s="409" t="s">
        <v>265</v>
      </c>
      <c r="C1476" s="402"/>
    </row>
    <row r="1477" spans="1:3" x14ac:dyDescent="0.2">
      <c r="A1477" s="407">
        <v>803</v>
      </c>
      <c r="B1477" s="409" t="s">
        <v>266</v>
      </c>
      <c r="C1477" s="402"/>
    </row>
    <row r="1478" spans="1:3" x14ac:dyDescent="0.2">
      <c r="A1478" s="407">
        <v>804</v>
      </c>
      <c r="B1478" s="409" t="s">
        <v>267</v>
      </c>
      <c r="C1478" s="402"/>
    </row>
    <row r="1479" spans="1:3" x14ac:dyDescent="0.2">
      <c r="A1479" s="405">
        <v>900</v>
      </c>
      <c r="B1479" s="412" t="s">
        <v>268</v>
      </c>
      <c r="C1479" s="402"/>
    </row>
    <row r="1480" spans="1:3" x14ac:dyDescent="0.2">
      <c r="A1480" s="407">
        <v>901</v>
      </c>
      <c r="B1480" s="409" t="s">
        <v>269</v>
      </c>
      <c r="C1480" s="402"/>
    </row>
    <row r="1481" spans="1:3" x14ac:dyDescent="0.2">
      <c r="A1481" s="407">
        <v>902</v>
      </c>
      <c r="B1481" s="409" t="s">
        <v>270</v>
      </c>
      <c r="C1481" s="402"/>
    </row>
    <row r="1482" spans="1:3" x14ac:dyDescent="0.2">
      <c r="A1482" s="407">
        <v>903</v>
      </c>
      <c r="B1482" s="409" t="s">
        <v>271</v>
      </c>
      <c r="C1482" s="402"/>
    </row>
    <row r="1483" spans="1:3" x14ac:dyDescent="0.2">
      <c r="A1483" s="407">
        <v>904</v>
      </c>
      <c r="B1483" s="409" t="s">
        <v>272</v>
      </c>
      <c r="C1483" s="402"/>
    </row>
    <row r="1484" spans="1:3" x14ac:dyDescent="0.2">
      <c r="A1484" s="407">
        <v>905</v>
      </c>
      <c r="B1484" s="415" t="s">
        <v>273</v>
      </c>
      <c r="C1484" s="402"/>
    </row>
    <row r="1485" spans="1:3" x14ac:dyDescent="0.2">
      <c r="A1485" s="407">
        <v>906</v>
      </c>
      <c r="B1485" s="415" t="s">
        <v>274</v>
      </c>
      <c r="C1485" s="402"/>
    </row>
    <row r="1486" spans="1:3" x14ac:dyDescent="0.2">
      <c r="A1486" s="407">
        <v>907</v>
      </c>
      <c r="B1486" s="409" t="s">
        <v>275</v>
      </c>
      <c r="C1486" s="402"/>
    </row>
    <row r="1487" spans="1:3" x14ac:dyDescent="0.2">
      <c r="A1487" s="407">
        <v>908</v>
      </c>
      <c r="B1487" s="408" t="s">
        <v>276</v>
      </c>
      <c r="C1487" s="402"/>
    </row>
    <row r="1488" spans="1:3" x14ac:dyDescent="0.2">
      <c r="A1488" s="407">
        <v>909</v>
      </c>
      <c r="B1488" s="409" t="s">
        <v>277</v>
      </c>
      <c r="C1488" s="402"/>
    </row>
    <row r="1489" spans="1:3" x14ac:dyDescent="0.2">
      <c r="A1489" s="405">
        <v>1000</v>
      </c>
      <c r="B1489" s="412" t="s">
        <v>278</v>
      </c>
      <c r="C1489" s="402"/>
    </row>
    <row r="1490" spans="1:3" x14ac:dyDescent="0.2">
      <c r="A1490" s="407">
        <v>1001</v>
      </c>
      <c r="B1490" s="409" t="s">
        <v>279</v>
      </c>
      <c r="C1490" s="402"/>
    </row>
    <row r="1491" spans="1:3" x14ac:dyDescent="0.2">
      <c r="A1491" s="407">
        <v>1002</v>
      </c>
      <c r="B1491" s="409" t="s">
        <v>280</v>
      </c>
      <c r="C1491" s="402"/>
    </row>
    <row r="1492" spans="1:3" x14ac:dyDescent="0.2">
      <c r="A1492" s="407">
        <v>1003</v>
      </c>
      <c r="B1492" s="409" t="s">
        <v>281</v>
      </c>
      <c r="C1492" s="402"/>
    </row>
    <row r="1493" spans="1:3" x14ac:dyDescent="0.2">
      <c r="A1493" s="407">
        <v>1004</v>
      </c>
      <c r="B1493" s="408" t="s">
        <v>282</v>
      </c>
      <c r="C1493" s="402"/>
    </row>
    <row r="1494" spans="1:3" x14ac:dyDescent="0.2">
      <c r="A1494" s="407">
        <v>1005</v>
      </c>
      <c r="B1494" s="409" t="s">
        <v>283</v>
      </c>
      <c r="C1494" s="402"/>
    </row>
    <row r="1495" spans="1:3" x14ac:dyDescent="0.2">
      <c r="A1495" s="407">
        <v>1006</v>
      </c>
      <c r="B1495" s="409" t="s">
        <v>284</v>
      </c>
      <c r="C1495" s="402"/>
    </row>
    <row r="1496" spans="1:3" x14ac:dyDescent="0.2">
      <c r="A1496" s="405">
        <v>1100</v>
      </c>
      <c r="B1496" s="412" t="s">
        <v>285</v>
      </c>
      <c r="C1496" s="402"/>
    </row>
    <row r="1497" spans="1:3" x14ac:dyDescent="0.2">
      <c r="A1497" s="407">
        <v>1101</v>
      </c>
      <c r="B1497" s="409" t="s">
        <v>286</v>
      </c>
      <c r="C1497" s="402"/>
    </row>
    <row r="1498" spans="1:3" x14ac:dyDescent="0.2">
      <c r="A1498" s="407">
        <v>1102</v>
      </c>
      <c r="B1498" s="415" t="s">
        <v>287</v>
      </c>
      <c r="C1498" s="402"/>
    </row>
    <row r="1499" spans="1:3" x14ac:dyDescent="0.2">
      <c r="A1499" s="407">
        <v>1103</v>
      </c>
      <c r="B1499" s="409" t="s">
        <v>288</v>
      </c>
      <c r="C1499" s="402"/>
    </row>
    <row r="1500" spans="1:3" x14ac:dyDescent="0.2">
      <c r="A1500" s="407">
        <v>1104</v>
      </c>
      <c r="B1500" s="409" t="s">
        <v>289</v>
      </c>
      <c r="C1500" s="402"/>
    </row>
    <row r="1501" spans="1:3" x14ac:dyDescent="0.2">
      <c r="A1501" s="407">
        <v>1105</v>
      </c>
      <c r="B1501" s="409" t="s">
        <v>290</v>
      </c>
      <c r="C1501" s="402"/>
    </row>
    <row r="1502" spans="1:3" x14ac:dyDescent="0.2">
      <c r="A1502" s="405">
        <v>1200</v>
      </c>
      <c r="B1502" s="412" t="s">
        <v>291</v>
      </c>
    </row>
    <row r="1503" spans="1:3" x14ac:dyDescent="0.2">
      <c r="A1503" s="407">
        <v>1201</v>
      </c>
      <c r="B1503" s="409" t="s">
        <v>292</v>
      </c>
    </row>
    <row r="1504" spans="1:3" x14ac:dyDescent="0.2">
      <c r="A1504" s="407">
        <v>1202</v>
      </c>
      <c r="B1504" s="409" t="s">
        <v>293</v>
      </c>
    </row>
    <row r="1505" spans="1:2" x14ac:dyDescent="0.2">
      <c r="A1505" s="407">
        <v>1203</v>
      </c>
      <c r="B1505" s="409" t="s">
        <v>294</v>
      </c>
    </row>
    <row r="1506" spans="1:2" x14ac:dyDescent="0.2">
      <c r="A1506" s="407">
        <v>1204</v>
      </c>
      <c r="B1506" s="409" t="s">
        <v>295</v>
      </c>
    </row>
    <row r="1507" spans="1:2" x14ac:dyDescent="0.2">
      <c r="A1507" s="405">
        <v>1300</v>
      </c>
      <c r="B1507" s="412" t="s">
        <v>296</v>
      </c>
    </row>
    <row r="1508" spans="1:2" x14ac:dyDescent="0.2">
      <c r="A1508" s="407">
        <v>1301</v>
      </c>
      <c r="B1508" s="409" t="s">
        <v>297</v>
      </c>
    </row>
    <row r="1509" spans="1:2" x14ac:dyDescent="0.2">
      <c r="A1509" s="407">
        <v>1302</v>
      </c>
      <c r="B1509" s="409" t="s">
        <v>298</v>
      </c>
    </row>
    <row r="1510" spans="1:2" ht="25.5" x14ac:dyDescent="0.2">
      <c r="A1510" s="405">
        <v>1400</v>
      </c>
      <c r="B1510" s="412" t="s">
        <v>299</v>
      </c>
    </row>
    <row r="1511" spans="1:2" x14ac:dyDescent="0.2">
      <c r="A1511" s="407">
        <v>1401</v>
      </c>
      <c r="B1511" s="409" t="s">
        <v>300</v>
      </c>
    </row>
    <row r="1512" spans="1:2" x14ac:dyDescent="0.2">
      <c r="A1512" s="407">
        <v>1402</v>
      </c>
      <c r="B1512" s="409" t="s">
        <v>301</v>
      </c>
    </row>
    <row r="1513" spans="1:2" ht="25.5" x14ac:dyDescent="0.2">
      <c r="A1513" s="407">
        <v>1403</v>
      </c>
      <c r="B1513" s="409" t="s">
        <v>302</v>
      </c>
    </row>
  </sheetData>
  <printOptions gridLinesSet="0"/>
  <pageMargins left="0.75" right="0.75" top="1" bottom="1" header="0.5" footer="0.5"/>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1"/>
  <sheetViews>
    <sheetView showGridLines="0" view="pageBreakPreview" topLeftCell="B25" zoomScale="115" zoomScaleSheetLayoutView="115" workbookViewId="0">
      <selection activeCell="E16" sqref="E16"/>
    </sheetView>
  </sheetViews>
  <sheetFormatPr defaultColWidth="9.140625" defaultRowHeight="12.75" x14ac:dyDescent="0.2"/>
  <cols>
    <col min="1" max="1" width="92.28515625" style="128" hidden="1" customWidth="1"/>
    <col min="2" max="2" width="55.85546875" style="128" customWidth="1"/>
    <col min="3" max="3" width="13.140625" style="128" customWidth="1"/>
    <col min="4" max="5" width="15.5703125" style="128" customWidth="1"/>
    <col min="6" max="6" width="16.5703125" style="128" customWidth="1"/>
    <col min="7" max="7" width="16.28515625" style="128" customWidth="1"/>
    <col min="8" max="8" width="21" style="128" customWidth="1"/>
    <col min="9" max="9" width="16.5703125" style="128" customWidth="1"/>
    <col min="10" max="16384" width="9.140625" style="128"/>
  </cols>
  <sheetData>
    <row r="1" spans="1:10" ht="15.75" customHeight="1" x14ac:dyDescent="0.25">
      <c r="B1" s="1055" t="s">
        <v>567</v>
      </c>
      <c r="C1" s="1055"/>
      <c r="D1" s="1055"/>
      <c r="E1" s="1055"/>
      <c r="F1" s="1055"/>
      <c r="G1" s="1055"/>
      <c r="H1" s="1055"/>
      <c r="I1" s="1055"/>
      <c r="J1" s="621"/>
    </row>
    <row r="2" spans="1:10" ht="15.75" customHeight="1" x14ac:dyDescent="0.25">
      <c r="B2" s="1055" t="s">
        <v>1</v>
      </c>
      <c r="C2" s="1055"/>
      <c r="D2" s="1055"/>
      <c r="E2" s="1055"/>
      <c r="F2" s="1055"/>
      <c r="G2" s="1055"/>
      <c r="H2" s="1055"/>
      <c r="I2" s="1055"/>
      <c r="J2" s="621"/>
    </row>
    <row r="3" spans="1:10" ht="15.75" customHeight="1" x14ac:dyDescent="0.25">
      <c r="B3" s="1055" t="s">
        <v>2</v>
      </c>
      <c r="C3" s="1055"/>
      <c r="D3" s="1055"/>
      <c r="E3" s="1055"/>
      <c r="F3" s="1055"/>
      <c r="G3" s="1055"/>
      <c r="H3" s="1055"/>
      <c r="I3" s="1055"/>
      <c r="J3" s="621"/>
    </row>
    <row r="4" spans="1:10" ht="15.75" customHeight="1" x14ac:dyDescent="0.25">
      <c r="B4" s="1055" t="s">
        <v>3341</v>
      </c>
      <c r="C4" s="1055"/>
      <c r="D4" s="1055"/>
      <c r="E4" s="1055"/>
      <c r="F4" s="1055"/>
      <c r="G4" s="1055"/>
      <c r="H4" s="1055"/>
      <c r="I4" s="1055"/>
      <c r="J4" s="621"/>
    </row>
    <row r="5" spans="1:10" ht="15.75" x14ac:dyDescent="0.25">
      <c r="B5" s="227"/>
      <c r="C5" s="623"/>
      <c r="D5" s="623"/>
      <c r="E5" s="623"/>
      <c r="F5" s="623"/>
      <c r="G5" s="623"/>
      <c r="H5" s="623"/>
      <c r="I5" s="623"/>
      <c r="J5" s="622"/>
    </row>
    <row r="6" spans="1:10" ht="37.5" customHeight="1" x14ac:dyDescent="0.25">
      <c r="B6" s="1056" t="s">
        <v>3156</v>
      </c>
      <c r="C6" s="1056"/>
      <c r="D6" s="1056"/>
      <c r="E6" s="1056"/>
      <c r="F6" s="1056"/>
      <c r="G6" s="1056"/>
      <c r="H6" s="1056"/>
      <c r="I6" s="1056"/>
    </row>
    <row r="7" spans="1:10" ht="16.5" thickBot="1" x14ac:dyDescent="0.3">
      <c r="A7" s="227"/>
      <c r="B7" s="228"/>
      <c r="C7" s="228"/>
      <c r="D7" s="228"/>
      <c r="E7" s="981"/>
      <c r="F7" s="981"/>
      <c r="G7" s="981"/>
      <c r="H7" s="981"/>
      <c r="I7" s="981"/>
    </row>
    <row r="8" spans="1:10" ht="13.5" customHeight="1" thickBot="1" x14ac:dyDescent="0.25">
      <c r="A8" s="904" t="s">
        <v>903</v>
      </c>
      <c r="B8" s="1057" t="s">
        <v>904</v>
      </c>
      <c r="C8" s="1051" t="s">
        <v>905</v>
      </c>
      <c r="D8" s="1051" t="s">
        <v>2812</v>
      </c>
      <c r="E8" s="1053" t="s">
        <v>997</v>
      </c>
      <c r="F8" s="1051" t="s">
        <v>569</v>
      </c>
      <c r="G8" s="1051" t="s">
        <v>569</v>
      </c>
      <c r="H8" s="1053" t="s">
        <v>997</v>
      </c>
      <c r="I8" s="1051" t="s">
        <v>3095</v>
      </c>
    </row>
    <row r="9" spans="1:10" ht="23.25" customHeight="1" thickBot="1" x14ac:dyDescent="0.25">
      <c r="A9" s="904"/>
      <c r="B9" s="1058"/>
      <c r="C9" s="1059"/>
      <c r="D9" s="1052"/>
      <c r="E9" s="1054"/>
      <c r="F9" s="1052"/>
      <c r="G9" s="1052"/>
      <c r="H9" s="1054"/>
      <c r="I9" s="1052"/>
    </row>
    <row r="10" spans="1:10" s="211" customFormat="1" ht="48" thickBot="1" x14ac:dyDescent="0.25">
      <c r="A10" s="251" t="s">
        <v>907</v>
      </c>
      <c r="B10" s="252" t="str">
        <f>IF(C10&gt;0,VLOOKUP(C10,Программа!A$2:B$5100,2))</f>
        <v>Муниципальная программа  "Развитие культуры, туризма и молодежной политики в Тутаевском муниципальном районе"</v>
      </c>
      <c r="C10" s="253" t="s">
        <v>716</v>
      </c>
      <c r="D10" s="254">
        <f>SUMIFS(Пр.13!G$10:G$1305,Пр.13!$D$10:$D$1305,C10)</f>
        <v>114426254</v>
      </c>
      <c r="E10" s="255">
        <f>SUMIFS(Пр.13!H$10:H$1305,Пр.13!$D$10:$D$1305,C10)</f>
        <v>0</v>
      </c>
      <c r="F10" s="255">
        <f>SUMIFS(Пр.13!I$10:I$1305,Пр.13!$D$10:$D$1305,C10)</f>
        <v>114426254</v>
      </c>
      <c r="G10" s="255">
        <f>SUMIFS(Пр.13!J$10:J$1305,Пр.13!$D$10:$D$1305,C10)</f>
        <v>59426254</v>
      </c>
      <c r="H10" s="255">
        <f>SUMIFS(Пр.13!K$10:K$1305,Пр.13!$D$10:$D$1305,C10)</f>
        <v>0</v>
      </c>
      <c r="I10" s="255">
        <f>SUMIFS(Пр.13!L$10:L$1305,Пр.13!$D$10:$D$1305,C10)</f>
        <v>59426254</v>
      </c>
    </row>
    <row r="11" spans="1:10" ht="16.5" thickBot="1" x14ac:dyDescent="0.25">
      <c r="A11" s="256" t="s">
        <v>1000</v>
      </c>
      <c r="B11" s="257" t="str">
        <f>IF(C11&gt;0,VLOOKUP(C11,Программа!A$2:B$5100,2))</f>
        <v>Ведомственная целевая программа «Молодежь»</v>
      </c>
      <c r="C11" s="258" t="s">
        <v>824</v>
      </c>
      <c r="D11" s="259">
        <f>SUMIFS(Пр.13!G$10:G$1305,Пр.13!$D$10:$D$1305,C11)</f>
        <v>6000000</v>
      </c>
      <c r="E11" s="260">
        <f>SUMIFS(Пр.13!H$10:H$1305,Пр.13!$D$10:$D$1305,C11)</f>
        <v>0</v>
      </c>
      <c r="F11" s="627">
        <f>SUMIFS(Пр.13!I$10:I$1305,Пр.13!$D$10:$D$1305,C11)</f>
        <v>6000000</v>
      </c>
      <c r="G11" s="627">
        <f>SUMIFS(Пр.13!J$10:J$1305,Пр.13!$D$10:$D$1305,C11)</f>
        <v>2000000</v>
      </c>
      <c r="H11" s="627">
        <f>SUMIFS(Пр.13!K$10:K$1305,Пр.13!$D$10:$D$1305,C11)</f>
        <v>0</v>
      </c>
      <c r="I11" s="627">
        <f>SUMIFS(Пр.13!L$10:L$1305,Пр.13!$D$10:$D$1305,C11)</f>
        <v>2000000</v>
      </c>
    </row>
    <row r="12" spans="1:10" ht="48" thickBot="1" x14ac:dyDescent="0.25">
      <c r="A12" s="256"/>
      <c r="B12" s="261"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154" t="s">
        <v>826</v>
      </c>
      <c r="D12" s="262">
        <f>SUMIFS(Пр.13!G$10:G$1305,Пр.13!$D$10:$D$1305,C12)</f>
        <v>6000000</v>
      </c>
      <c r="E12" s="263">
        <f>SUMIFS(Пр.13!H$10:H$1305,Пр.13!$D$10:$D$1305,C12)</f>
        <v>0</v>
      </c>
      <c r="F12" s="627">
        <f>SUMIFS(Пр.13!I$10:I$1305,Пр.13!$D$10:$D$1305,C12)</f>
        <v>6000000</v>
      </c>
      <c r="G12" s="627">
        <f>SUMIFS(Пр.13!J$10:J$1305,Пр.13!$D$10:$D$1305,C12)</f>
        <v>2000000</v>
      </c>
      <c r="H12" s="627">
        <f>SUMIFS(Пр.13!K$10:K$1305,Пр.13!$D$10:$D$1305,C12)</f>
        <v>0</v>
      </c>
      <c r="I12" s="627">
        <f>SUMIFS(Пр.13!L$10:L$1305,Пр.13!$D$10:$D$1305,C12)</f>
        <v>2000000</v>
      </c>
    </row>
    <row r="13" spans="1:10" ht="32.25" hidden="1" thickBot="1" x14ac:dyDescent="0.25">
      <c r="A13" s="256"/>
      <c r="B13" s="261" t="str">
        <f>IF(C13&gt;0,VLOOKUP(C13,Программа!A$2:B$5100,2))</f>
        <v>Обеспечение качества и доступности услуг(работ) в сфере молодежной политики</v>
      </c>
      <c r="C13" s="154" t="s">
        <v>3050</v>
      </c>
      <c r="D13" s="262">
        <f>SUMIFS(Пр.13!G$10:G$1305,Пр.13!$D$10:$D$1305,C13)</f>
        <v>0</v>
      </c>
      <c r="E13" s="263">
        <f>SUMIFS(Пр.13!H$10:H$1305,Пр.13!$D$10:$D$1305,C13)</f>
        <v>0</v>
      </c>
      <c r="F13" s="627">
        <f>SUMIFS(Пр.13!I$10:I$1305,Пр.13!$D$10:$D$1305,C13)</f>
        <v>0</v>
      </c>
      <c r="G13" s="627">
        <f>SUMIFS(Пр.13!J$10:J$1305,Пр.13!$D$10:$D$1305,C13)</f>
        <v>0</v>
      </c>
      <c r="H13" s="627">
        <f>SUMIFS(Пр.13!K$10:K$1305,Пр.13!$D$10:$D$1305,C13)</f>
        <v>0</v>
      </c>
      <c r="I13" s="627">
        <f>SUMIFS(Пр.13!L$10:L$1305,Пр.13!$D$10:$D$1305,C13)</f>
        <v>0</v>
      </c>
    </row>
    <row r="14" spans="1:10" ht="63.75" hidden="1" thickBot="1" x14ac:dyDescent="0.25">
      <c r="A14" s="256"/>
      <c r="B14" s="264"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65" t="s">
        <v>718</v>
      </c>
      <c r="D14" s="266">
        <f>SUMIFS(Пр.13!G$10:G$1305,Пр.13!$D$10:$D$1305,C14)</f>
        <v>0</v>
      </c>
      <c r="E14" s="267">
        <f>SUMIFS(Пр.13!H$10:H$1305,Пр.13!$D$10:$D$1305,C14)</f>
        <v>0</v>
      </c>
      <c r="F14" s="627">
        <f>SUMIFS(Пр.13!I$10:I$1305,Пр.13!$D$10:$D$1305,C14)</f>
        <v>0</v>
      </c>
      <c r="G14" s="627">
        <f>SUMIFS(Пр.13!J$10:J$1305,Пр.13!$D$10:$D$1305,C14)</f>
        <v>0</v>
      </c>
      <c r="H14" s="627">
        <f>SUMIFS(Пр.13!K$10:K$1305,Пр.13!$D$10:$D$1305,C14)</f>
        <v>0</v>
      </c>
      <c r="I14" s="627">
        <f>SUMIFS(Пр.13!L$10:L$1305,Пр.13!$D$10:$D$1305,C14)</f>
        <v>0</v>
      </c>
    </row>
    <row r="15" spans="1:10" ht="63.75" hidden="1" thickBot="1" x14ac:dyDescent="0.25">
      <c r="A15" s="268" t="s">
        <v>81</v>
      </c>
      <c r="B15" s="261"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174" t="s">
        <v>720</v>
      </c>
      <c r="D15" s="262">
        <f>SUMIFS(Пр.13!G$10:G$1305,Пр.13!$D$10:$D$1305,C15)</f>
        <v>0</v>
      </c>
      <c r="E15" s="263">
        <f>SUMIFS(Пр.13!H$10:H$1305,Пр.13!$D$10:$D$1305,C15)</f>
        <v>0</v>
      </c>
      <c r="F15" s="627">
        <f>SUMIFS(Пр.13!I$10:I$1305,Пр.13!$D$10:$D$1305,C15)</f>
        <v>0</v>
      </c>
      <c r="G15" s="627">
        <f>SUMIFS(Пр.13!J$10:J$1305,Пр.13!$D$10:$D$1305,C15)</f>
        <v>0</v>
      </c>
      <c r="H15" s="627">
        <f>SUMIFS(Пр.13!K$10:K$1305,Пр.13!$D$10:$D$1305,C15)</f>
        <v>0</v>
      </c>
      <c r="I15" s="627">
        <f>SUMIFS(Пр.13!L$10:L$1305,Пр.13!$D$10:$D$1305,C15)</f>
        <v>0</v>
      </c>
    </row>
    <row r="16" spans="1:10" ht="48" thickBot="1" x14ac:dyDescent="0.25">
      <c r="A16" s="269" t="s">
        <v>910</v>
      </c>
      <c r="B16" s="264"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265" t="s">
        <v>723</v>
      </c>
      <c r="D16" s="266">
        <f>SUMIFS(Пр.13!G$10:G$1305,Пр.13!$D$10:$D$1305,C16)</f>
        <v>151581</v>
      </c>
      <c r="E16" s="267">
        <f>SUMIFS(Пр.13!H$10:H$1305,Пр.13!$D$10:$D$1305,C16)</f>
        <v>0</v>
      </c>
      <c r="F16" s="627">
        <f>SUMIFS(Пр.13!I$10:I$1305,Пр.13!$D$10:$D$1305,C16)</f>
        <v>151581</v>
      </c>
      <c r="G16" s="627">
        <f>SUMIFS(Пр.13!J$10:J$1305,Пр.13!$D$10:$D$1305,C16)</f>
        <v>151581</v>
      </c>
      <c r="H16" s="627">
        <f>SUMIFS(Пр.13!K$10:K$1305,Пр.13!$D$10:$D$1305,C16)</f>
        <v>0</v>
      </c>
      <c r="I16" s="627">
        <f>SUMIFS(Пр.13!L$10:L$1305,Пр.13!$D$10:$D$1305,C16)</f>
        <v>151581</v>
      </c>
    </row>
    <row r="17" spans="1:9" ht="32.25" thickBot="1" x14ac:dyDescent="0.25">
      <c r="A17" s="269" t="s">
        <v>911</v>
      </c>
      <c r="B17" s="261" t="str">
        <f>IF(C17&gt;0,VLOOKUP(C17,Программа!A$2:B$5100,2))</f>
        <v>Развитие системы профилактики немедицинского потребления наркотиков</v>
      </c>
      <c r="C17" s="174" t="s">
        <v>725</v>
      </c>
      <c r="D17" s="262">
        <f>SUMIFS(Пр.13!G$10:G$1305,Пр.13!$D$10:$D$1305,C17)</f>
        <v>151581</v>
      </c>
      <c r="E17" s="263">
        <f>SUMIFS(Пр.13!H$10:H$1305,Пр.13!$D$10:$D$1305,C17)</f>
        <v>0</v>
      </c>
      <c r="F17" s="627">
        <f>SUMIFS(Пр.13!I$10:I$1305,Пр.13!$D$10:$D$1305,C17)</f>
        <v>151581</v>
      </c>
      <c r="G17" s="627">
        <f>SUMIFS(Пр.13!J$10:J$1305,Пр.13!$D$10:$D$1305,C17)</f>
        <v>151581</v>
      </c>
      <c r="H17" s="627">
        <f>SUMIFS(Пр.13!K$10:K$1305,Пр.13!$D$10:$D$1305,C17)</f>
        <v>0</v>
      </c>
      <c r="I17" s="627">
        <f>SUMIFS(Пр.13!L$10:L$1305,Пр.13!$D$10:$D$1305,C17)</f>
        <v>151581</v>
      </c>
    </row>
    <row r="18" spans="1:9" s="214" customFormat="1" ht="48" thickBot="1" x14ac:dyDescent="0.25">
      <c r="A18" s="270"/>
      <c r="B18" s="264" t="str">
        <f>IF(C18&gt;0,VLOOKUP(C18,Программа!A$2:B$5100,2))</f>
        <v>Ведомственная целевая программа «Сохранение и развитие культуры Тутаевского муниципального района»</v>
      </c>
      <c r="C18" s="265" t="s">
        <v>819</v>
      </c>
      <c r="D18" s="266">
        <f>SUMIFS(Пр.13!G$10:G$1305,Пр.13!$D$10:$D$1305,C18)</f>
        <v>108274673</v>
      </c>
      <c r="E18" s="267">
        <f>SUMIFS(Пр.13!H$10:H$1305,Пр.13!$D$10:$D$1305,C18)</f>
        <v>0</v>
      </c>
      <c r="F18" s="627">
        <f>SUMIFS(Пр.13!I$10:I$1305,Пр.13!$D$10:$D$1305,C18)</f>
        <v>108274673</v>
      </c>
      <c r="G18" s="627">
        <f>SUMIFS(Пр.13!J$10:J$1305,Пр.13!$D$10:$D$1305,C18)</f>
        <v>57274673</v>
      </c>
      <c r="H18" s="627">
        <f>SUMIFS(Пр.13!K$10:K$1305,Пр.13!$D$10:$D$1305,C18)</f>
        <v>0</v>
      </c>
      <c r="I18" s="627">
        <f>SUMIFS(Пр.13!L$10:L$1305,Пр.13!$D$10:$D$1305,C18)</f>
        <v>57274673</v>
      </c>
    </row>
    <row r="19" spans="1:9" ht="32.25" thickBot="1" x14ac:dyDescent="0.25">
      <c r="A19" s="269"/>
      <c r="B19" s="261" t="str">
        <f>IF(C19&gt;0,VLOOKUP(C19,Программа!A$2:B$5100,2))</f>
        <v>Реализация дополнительных образовательных программ в сфере культуры</v>
      </c>
      <c r="C19" s="174" t="s">
        <v>821</v>
      </c>
      <c r="D19" s="262">
        <f>SUMIFS(Пр.13!G$10:G$1305,Пр.13!$D$10:$D$1305,C19)</f>
        <v>22000000</v>
      </c>
      <c r="E19" s="263">
        <f>SUMIFS(Пр.13!H$10:H$1305,Пр.13!$D$10:$D$1305,C19)</f>
        <v>0</v>
      </c>
      <c r="F19" s="627">
        <f>SUMIFS(Пр.13!I$10:I$1305,Пр.13!$D$10:$D$1305,C19)</f>
        <v>22000000</v>
      </c>
      <c r="G19" s="627">
        <f>SUMIFS(Пр.13!J$10:J$1305,Пр.13!$D$10:$D$1305,C19)</f>
        <v>8000000</v>
      </c>
      <c r="H19" s="627">
        <f>SUMIFS(Пр.13!K$10:K$1305,Пр.13!$D$10:$D$1305,C19)</f>
        <v>0</v>
      </c>
      <c r="I19" s="627">
        <f>SUMIFS(Пр.13!L$10:L$1305,Пр.13!$D$10:$D$1305,C19)</f>
        <v>8000000</v>
      </c>
    </row>
    <row r="20" spans="1:9" ht="16.5" thickBot="1" x14ac:dyDescent="0.25">
      <c r="A20" s="269"/>
      <c r="B20" s="261" t="str">
        <f>IF(C20&gt;0,VLOOKUP(C20,Программа!A$2:B$5100,2))</f>
        <v>Содействие доступу граждан к культурным ценностям</v>
      </c>
      <c r="C20" s="174" t="s">
        <v>838</v>
      </c>
      <c r="D20" s="262">
        <f>SUMIFS(Пр.13!G$10:G$1305,Пр.13!$D$10:$D$1305,C20)</f>
        <v>45000000</v>
      </c>
      <c r="E20" s="263">
        <f>SUMIFS(Пр.13!H$10:H$1305,Пр.13!$D$10:$D$1305,C20)</f>
        <v>0</v>
      </c>
      <c r="F20" s="627">
        <f>SUMIFS(Пр.13!I$10:I$1305,Пр.13!$D$10:$D$1305,C20)</f>
        <v>45000000</v>
      </c>
      <c r="G20" s="627">
        <f>SUMIFS(Пр.13!J$10:J$1305,Пр.13!$D$10:$D$1305,C20)</f>
        <v>16000000</v>
      </c>
      <c r="H20" s="627">
        <f>SUMIFS(Пр.13!K$10:K$1305,Пр.13!$D$10:$D$1305,C20)</f>
        <v>0</v>
      </c>
      <c r="I20" s="627">
        <f>SUMIFS(Пр.13!L$10:L$1305,Пр.13!$D$10:$D$1305,C20)</f>
        <v>16000000</v>
      </c>
    </row>
    <row r="21" spans="1:9" ht="32.25" thickBot="1" x14ac:dyDescent="0.25">
      <c r="A21" s="268" t="s">
        <v>914</v>
      </c>
      <c r="B21" s="261" t="str">
        <f>IF(C21&gt;0,VLOOKUP(C21,Программа!A$2:B$5100,2))</f>
        <v>Поддержка доступа граждан к информационно-библиотечным ресурсам</v>
      </c>
      <c r="C21" s="174" t="s">
        <v>843</v>
      </c>
      <c r="D21" s="262">
        <f>SUMIFS(Пр.13!G$10:G$1305,Пр.13!$D$10:$D$1305,C21)</f>
        <v>13000000</v>
      </c>
      <c r="E21" s="263">
        <f>SUMIFS(Пр.13!H$10:H$1305,Пр.13!$D$10:$D$1305,C21)</f>
        <v>0</v>
      </c>
      <c r="F21" s="627">
        <f>SUMIFS(Пр.13!I$10:I$1305,Пр.13!$D$10:$D$1305,C21)</f>
        <v>13000000</v>
      </c>
      <c r="G21" s="627">
        <f>SUMIFS(Пр.13!J$10:J$1305,Пр.13!$D$10:$D$1305,C21)</f>
        <v>5000000</v>
      </c>
      <c r="H21" s="627">
        <f>SUMIFS(Пр.13!K$10:K$1305,Пр.13!$D$10:$D$1305,C21)</f>
        <v>0</v>
      </c>
      <c r="I21" s="627">
        <f>SUMIFS(Пр.13!L$10:L$1305,Пр.13!$D$10:$D$1305,C21)</f>
        <v>5000000</v>
      </c>
    </row>
    <row r="22" spans="1:9" ht="32.25" thickBot="1" x14ac:dyDescent="0.25">
      <c r="A22" s="269" t="s">
        <v>915</v>
      </c>
      <c r="B22" s="261" t="str">
        <f>IF(C22&gt;0,VLOOKUP(C22,Программа!A$2:B$5100,2))</f>
        <v>Обеспечение эффективности управления системой культуры</v>
      </c>
      <c r="C22" s="174" t="s">
        <v>846</v>
      </c>
      <c r="D22" s="262">
        <f>SUMIFS(Пр.13!G$10:G$1305,Пр.13!$D$10:$D$1305,C22)</f>
        <v>28274673</v>
      </c>
      <c r="E22" s="263">
        <f>SUMIFS(Пр.13!H$10:H$1305,Пр.13!$D$10:$D$1305,C22)</f>
        <v>0</v>
      </c>
      <c r="F22" s="627">
        <f>SUMIFS(Пр.13!I$10:I$1305,Пр.13!$D$10:$D$1305,C22)</f>
        <v>28274673</v>
      </c>
      <c r="G22" s="627">
        <f>SUMIFS(Пр.13!J$10:J$1305,Пр.13!$D$10:$D$1305,C22)</f>
        <v>28274673</v>
      </c>
      <c r="H22" s="627">
        <f>SUMIFS(Пр.13!K$10:K$1305,Пр.13!$D$10:$D$1305,C22)</f>
        <v>0</v>
      </c>
      <c r="I22" s="627">
        <f>SUMIFS(Пр.13!L$10:L$1305,Пр.13!$D$10:$D$1305,C22)</f>
        <v>28274673</v>
      </c>
    </row>
    <row r="23" spans="1:9" ht="48" hidden="1" thickBot="1" x14ac:dyDescent="0.25">
      <c r="A23" s="269" t="s">
        <v>1001</v>
      </c>
      <c r="B23" s="264"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265" t="s">
        <v>814</v>
      </c>
      <c r="D23" s="262">
        <f>SUMIFS(Пр.13!G$10:G$1305,Пр.13!$D$10:$D$1305,C23)</f>
        <v>0</v>
      </c>
      <c r="E23" s="263">
        <f>SUMIFS(Пр.13!H$10:H$1305,Пр.13!$D$10:$D$1305,C23)</f>
        <v>0</v>
      </c>
      <c r="F23" s="255">
        <f>SUMIFS(Пр.13!I$10:I$1305,Пр.13!$D$10:$D$1305,C23)</f>
        <v>0</v>
      </c>
      <c r="G23" s="255">
        <f>SUMIFS(Пр.13!J$10:J$1305,Пр.13!$D$10:$D$1305,C23)</f>
        <v>0</v>
      </c>
      <c r="H23" s="255">
        <f>SUMIFS(Пр.13!K$10:K$1305,Пр.13!$D$10:$D$1305,C23)</f>
        <v>0</v>
      </c>
      <c r="I23" s="255">
        <f>SUMIFS(Пр.13!L$10:L$1305,Пр.13!$D$10:$D$1305,C23)</f>
        <v>0</v>
      </c>
    </row>
    <row r="24" spans="1:9" ht="32.25" hidden="1" thickBot="1" x14ac:dyDescent="0.25">
      <c r="A24" s="268" t="s">
        <v>916</v>
      </c>
      <c r="B24" s="271" t="str">
        <f>IF(C24&gt;0,VLOOKUP(C24,Программа!A$2:B$5100,2))</f>
        <v>Создание благоприятных условий для развития туризма</v>
      </c>
      <c r="C24" s="272" t="s">
        <v>816</v>
      </c>
      <c r="D24" s="273">
        <f>SUMIFS(Пр.13!G$10:G$1305,Пр.13!$D$10:$D$1305,C24)</f>
        <v>0</v>
      </c>
      <c r="E24" s="274">
        <f>SUMIFS(Пр.13!H$10:H$1305,Пр.13!$D$10:$D$1305,C24)</f>
        <v>0</v>
      </c>
      <c r="F24" s="255">
        <f>SUMIFS(Пр.13!I$10:I$1305,Пр.13!$D$10:$D$1305,C24)</f>
        <v>0</v>
      </c>
      <c r="G24" s="255">
        <f>SUMIFS(Пр.13!J$10:J$1305,Пр.13!$D$10:$D$1305,C24)</f>
        <v>0</v>
      </c>
      <c r="H24" s="255">
        <f>SUMIFS(Пр.13!K$10:K$1305,Пр.13!$D$10:$D$1305,C24)</f>
        <v>0</v>
      </c>
      <c r="I24" s="255">
        <f>SUMIFS(Пр.13!L$10:L$1305,Пр.13!$D$10:$D$1305,C24)</f>
        <v>0</v>
      </c>
    </row>
    <row r="25" spans="1:9" ht="48" thickBot="1" x14ac:dyDescent="0.25">
      <c r="A25" s="269" t="s">
        <v>917</v>
      </c>
      <c r="B25" s="252" t="str">
        <f>IF(C25&gt;0,VLOOKUP(C25,Программа!A$2:B$5100,2))</f>
        <v>Муниципальная программа "Развитие образования, физической культуры и спорта в Тутаевском муниципальном районе"</v>
      </c>
      <c r="C25" s="253" t="s">
        <v>686</v>
      </c>
      <c r="D25" s="254">
        <f>SUMIFS(Пр.13!G$10:G$1305,Пр.13!$D$10:$D$1305,C25)</f>
        <v>912287316</v>
      </c>
      <c r="E25" s="255">
        <f>SUMIFS(Пр.13!H$10:H$1305,Пр.13!$D$10:$D$1305,C25)</f>
        <v>0</v>
      </c>
      <c r="F25" s="255">
        <f>SUMIFS(Пр.13!I$10:I$1305,Пр.13!$D$10:$D$1305,C25)</f>
        <v>912287316</v>
      </c>
      <c r="G25" s="255">
        <f>SUMIFS(Пр.13!J$10:J$1305,Пр.13!$D$10:$D$1305,C25)</f>
        <v>776269772</v>
      </c>
      <c r="H25" s="255">
        <f>SUMIFS(Пр.13!K$10:K$1305,Пр.13!$D$10:$D$1305,C25)</f>
        <v>0</v>
      </c>
      <c r="I25" s="255">
        <f>SUMIFS(Пр.13!L$10:L$1305,Пр.13!$D$10:$D$1305,C25)</f>
        <v>776269772</v>
      </c>
    </row>
    <row r="26" spans="1:9" ht="48" thickBot="1" x14ac:dyDescent="0.25">
      <c r="A26" s="268" t="s">
        <v>918</v>
      </c>
      <c r="B26" s="257"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275" t="s">
        <v>688</v>
      </c>
      <c r="D26" s="259">
        <f>SUMIFS(Пр.13!G$10:G$1305,Пр.13!$D$10:$D$1305,C26)</f>
        <v>882287316</v>
      </c>
      <c r="E26" s="260">
        <f>SUMIFS(Пр.13!H$10:H$1305,Пр.13!$D$10:$D$1305,C26)</f>
        <v>0</v>
      </c>
      <c r="F26" s="627">
        <f>SUMIFS(Пр.13!I$10:I$1305,Пр.13!$D$10:$D$1305,C26)</f>
        <v>882287316</v>
      </c>
      <c r="G26" s="627">
        <f>SUMIFS(Пр.13!J$10:J$1305,Пр.13!$D$10:$D$1305,C26)</f>
        <v>762990931</v>
      </c>
      <c r="H26" s="627">
        <f>SUMIFS(Пр.13!K$10:K$1305,Пр.13!$D$10:$D$1305,C26)</f>
        <v>0</v>
      </c>
      <c r="I26" s="627">
        <f>SUMIFS(Пр.13!L$10:L$1305,Пр.13!$D$10:$D$1305,C26)</f>
        <v>762990931</v>
      </c>
    </row>
    <row r="27" spans="1:9" ht="48" thickBot="1" x14ac:dyDescent="0.25">
      <c r="A27" s="269" t="s">
        <v>919</v>
      </c>
      <c r="B27" s="261" t="str">
        <f>IF(C27&gt;0,VLOOKUP(C27,Программа!A$2:B$5100,2))</f>
        <v>Обеспечение качества и доступности образовательных услуг в сфере дошкольного образования</v>
      </c>
      <c r="C27" s="174" t="s">
        <v>689</v>
      </c>
      <c r="D27" s="262">
        <f>SUMIFS(Пр.13!G$10:G$1305,Пр.13!$D$10:$D$1305,C27)</f>
        <v>365941675</v>
      </c>
      <c r="E27" s="263">
        <f>SUMIFS(Пр.13!H$10:H$1305,Пр.13!$D$10:$D$1305,C27)</f>
        <v>0</v>
      </c>
      <c r="F27" s="627">
        <f>SUMIFS(Пр.13!I$10:I$1305,Пр.13!$D$10:$D$1305,C27)</f>
        <v>365941675</v>
      </c>
      <c r="G27" s="627">
        <f>SUMIFS(Пр.13!J$10:J$1305,Пр.13!$D$10:$D$1305,C27)</f>
        <v>311620410</v>
      </c>
      <c r="H27" s="627">
        <f>SUMIFS(Пр.13!K$10:K$1305,Пр.13!$D$10:$D$1305,C27)</f>
        <v>0</v>
      </c>
      <c r="I27" s="627">
        <f>SUMIFS(Пр.13!L$10:L$1305,Пр.13!$D$10:$D$1305,C27)</f>
        <v>311620410</v>
      </c>
    </row>
    <row r="28" spans="1:9" ht="32.25" thickBot="1" x14ac:dyDescent="0.25">
      <c r="A28" s="269"/>
      <c r="B28" s="261" t="str">
        <f>IF(C28&gt;0,VLOOKUP(C28,Программа!A$2:B$5100,2))</f>
        <v>Обеспечение качества и доступности образовательных услуг в сфере общего образования</v>
      </c>
      <c r="C28" s="174" t="s">
        <v>729</v>
      </c>
      <c r="D28" s="262">
        <f>SUMIFS(Пр.13!G$10:G$1305,Пр.13!$D$10:$D$1305,C28)</f>
        <v>388710089</v>
      </c>
      <c r="E28" s="263">
        <f>SUMIFS(Пр.13!H$10:H$1305,Пр.13!$D$10:$D$1305,C28)</f>
        <v>0</v>
      </c>
      <c r="F28" s="627">
        <f>SUMIFS(Пр.13!I$10:I$1305,Пр.13!$D$10:$D$1305,C28)</f>
        <v>388710089</v>
      </c>
      <c r="G28" s="627">
        <f>SUMIFS(Пр.13!J$10:J$1305,Пр.13!$D$10:$D$1305,C28)</f>
        <v>352733800</v>
      </c>
      <c r="H28" s="627">
        <f>SUMIFS(Пр.13!K$10:K$1305,Пр.13!$D$10:$D$1305,C28)</f>
        <v>0</v>
      </c>
      <c r="I28" s="627">
        <f>SUMIFS(Пр.13!L$10:L$1305,Пр.13!$D$10:$D$1305,C28)</f>
        <v>352733800</v>
      </c>
    </row>
    <row r="29" spans="1:9" ht="48" thickBot="1" x14ac:dyDescent="0.25">
      <c r="A29" s="269"/>
      <c r="B29" s="261" t="str">
        <f>IF(C29&gt;0,VLOOKUP(C29,Программа!A$2:B$5100,2))</f>
        <v>Обеспечение качества и доступности образовательных услуг в сфере дополнительного образования</v>
      </c>
      <c r="C29" s="174" t="s">
        <v>753</v>
      </c>
      <c r="D29" s="262">
        <f>SUMIFS(Пр.13!G$10:G$1305,Пр.13!$D$10:$D$1305,C29)</f>
        <v>37000000</v>
      </c>
      <c r="E29" s="263">
        <f>SUMIFS(Пр.13!H$10:H$1305,Пр.13!$D$10:$D$1305,C29)</f>
        <v>0</v>
      </c>
      <c r="F29" s="627">
        <f>SUMIFS(Пр.13!I$10:I$1305,Пр.13!$D$10:$D$1305,C29)</f>
        <v>37000000</v>
      </c>
      <c r="G29" s="627">
        <f>SUMIFS(Пр.13!J$10:J$1305,Пр.13!$D$10:$D$1305,C29)</f>
        <v>13000000</v>
      </c>
      <c r="H29" s="627">
        <f>SUMIFS(Пр.13!K$10:K$1305,Пр.13!$D$10:$D$1305,C29)</f>
        <v>0</v>
      </c>
      <c r="I29" s="627">
        <f>SUMIFS(Пр.13!L$10:L$1305,Пр.13!$D$10:$D$1305,C29)</f>
        <v>13000000</v>
      </c>
    </row>
    <row r="30" spans="1:9" ht="32.25" hidden="1" thickBot="1" x14ac:dyDescent="0.25">
      <c r="A30" s="268" t="s">
        <v>922</v>
      </c>
      <c r="B30" s="261" t="str">
        <f>IF(C30&gt;0,VLOOKUP(C30,Программа!A$2:B$5100,2))</f>
        <v>Повышение мотивации участников образовательного процесса</v>
      </c>
      <c r="C30" s="174" t="s">
        <v>731</v>
      </c>
      <c r="D30" s="262">
        <f>SUMIFS(Пр.13!G$10:G$1305,Пр.13!$D$10:$D$1305,C30)</f>
        <v>0</v>
      </c>
      <c r="E30" s="263">
        <f>SUMIFS(Пр.13!H$10:H$1305,Пр.13!$D$10:$D$1305,C30)</f>
        <v>0</v>
      </c>
      <c r="F30" s="627">
        <f>SUMIFS(Пр.13!I$10:I$1305,Пр.13!$D$10:$D$1305,C30)</f>
        <v>0</v>
      </c>
      <c r="G30" s="627">
        <f>SUMIFS(Пр.13!J$10:J$1305,Пр.13!$D$10:$D$1305,C30)</f>
        <v>0</v>
      </c>
      <c r="H30" s="627">
        <f>SUMIFS(Пр.13!K$10:K$1305,Пр.13!$D$10:$D$1305,C30)</f>
        <v>0</v>
      </c>
      <c r="I30" s="627">
        <f>SUMIFS(Пр.13!L$10:L$1305,Пр.13!$D$10:$D$1305,C30)</f>
        <v>0</v>
      </c>
    </row>
    <row r="31" spans="1:9" ht="63.75" thickBot="1" x14ac:dyDescent="0.25">
      <c r="A31" s="269" t="s">
        <v>923</v>
      </c>
      <c r="B31" s="261"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174" t="s">
        <v>708</v>
      </c>
      <c r="D31" s="262">
        <f>SUMIFS(Пр.13!G$10:G$1305,Пр.13!$D$10:$D$1305,C31)</f>
        <v>9000000</v>
      </c>
      <c r="E31" s="263">
        <f>SUMIFS(Пр.13!H$10:H$1305,Пр.13!$D$10:$D$1305,C31)</f>
        <v>0</v>
      </c>
      <c r="F31" s="627">
        <f>SUMIFS(Пр.13!I$10:I$1305,Пр.13!$D$10:$D$1305,C31)</f>
        <v>9000000</v>
      </c>
      <c r="G31" s="627">
        <f>SUMIFS(Пр.13!J$10:J$1305,Пр.13!$D$10:$D$1305,C31)</f>
        <v>4000000</v>
      </c>
      <c r="H31" s="627">
        <f>SUMIFS(Пр.13!K$10:K$1305,Пр.13!$D$10:$D$1305,C31)</f>
        <v>0</v>
      </c>
      <c r="I31" s="627">
        <f>SUMIFS(Пр.13!L$10:L$1305,Пр.13!$D$10:$D$1305,C31)</f>
        <v>4000000</v>
      </c>
    </row>
    <row r="32" spans="1:9" ht="48" thickBot="1" x14ac:dyDescent="0.25">
      <c r="A32" s="268" t="s">
        <v>924</v>
      </c>
      <c r="B32" s="261" t="str">
        <f>IF(C32&gt;0,VLOOKUP(C32,Программа!A$2:B$5100,2))</f>
        <v>Обеспечение качества реализации мер по социальной поддержке детей-сирот и детей, оставшихся без попечения родителей</v>
      </c>
      <c r="C32" s="174" t="s">
        <v>738</v>
      </c>
      <c r="D32" s="262">
        <f>SUMIFS(Пр.13!G$10:G$1305,Пр.13!$D$10:$D$1305,C32)</f>
        <v>28667617</v>
      </c>
      <c r="E32" s="263">
        <f>SUMIFS(Пр.13!H$10:H$1305,Пр.13!$D$10:$D$1305,C32)</f>
        <v>0</v>
      </c>
      <c r="F32" s="627">
        <f>SUMIFS(Пр.13!I$10:I$1305,Пр.13!$D$10:$D$1305,C32)</f>
        <v>28667617</v>
      </c>
      <c r="G32" s="627">
        <f>SUMIFS(Пр.13!J$10:J$1305,Пр.13!$D$10:$D$1305,C32)</f>
        <v>28668786</v>
      </c>
      <c r="H32" s="627">
        <f>SUMIFS(Пр.13!K$10:K$1305,Пр.13!$D$10:$D$1305,C32)</f>
        <v>0</v>
      </c>
      <c r="I32" s="627">
        <f>SUMIFS(Пр.13!L$10:L$1305,Пр.13!$D$10:$D$1305,C32)</f>
        <v>28668786</v>
      </c>
    </row>
    <row r="33" spans="1:9" ht="48" hidden="1" thickBot="1" x14ac:dyDescent="0.25">
      <c r="A33" s="269" t="s">
        <v>925</v>
      </c>
      <c r="B33" s="261" t="str">
        <f>IF(C33&gt;0,VLOOKUP(C33,Программа!A$2:B$5100,2))</f>
        <v>Муниципальная целевая программа "Духовно-нравственное воспитание и просвещение населения Тутаевского муниципального района"</v>
      </c>
      <c r="C33" s="265" t="s">
        <v>740</v>
      </c>
      <c r="D33" s="262">
        <f>SUMIFS(Пр.13!G$10:G$1305,Пр.13!$D$10:$D$1305,C33)</f>
        <v>0</v>
      </c>
      <c r="E33" s="263">
        <f>SUMIFS(Пр.13!H$10:H$1305,Пр.13!$D$10:$D$1305,C33)</f>
        <v>0</v>
      </c>
      <c r="F33" s="627">
        <f>SUMIFS(Пр.13!I$10:I$1305,Пр.13!$D$10:$D$1305,C33)</f>
        <v>0</v>
      </c>
      <c r="G33" s="627">
        <f>SUMIFS(Пр.13!J$10:J$1305,Пр.13!$D$10:$D$1305,C33)</f>
        <v>0</v>
      </c>
      <c r="H33" s="627">
        <f>SUMIFS(Пр.13!K$10:K$1305,Пр.13!$D$10:$D$1305,C33)</f>
        <v>0</v>
      </c>
      <c r="I33" s="627">
        <f>SUMIFS(Пр.13!L$10:L$1305,Пр.13!$D$10:$D$1305,C33)</f>
        <v>0</v>
      </c>
    </row>
    <row r="34" spans="1:9" ht="48" hidden="1" thickBot="1" x14ac:dyDescent="0.25">
      <c r="A34" s="269" t="s">
        <v>926</v>
      </c>
      <c r="B34" s="261" t="str">
        <f>IF(C34&gt;0,VLOOKUP(C34,Программа!A$2:B$5100,2))</f>
        <v>Реализация мер по созданию целостной системы духовно-нравственного воспитания и просвещения населения</v>
      </c>
      <c r="C34" s="174" t="s">
        <v>742</v>
      </c>
      <c r="D34" s="262">
        <f>SUMIFS(Пр.13!G$10:G$1305,Пр.13!$D$10:$D$1305,C34)</f>
        <v>0</v>
      </c>
      <c r="E34" s="263">
        <f>SUMIFS(Пр.13!H$10:H$1305,Пр.13!$D$10:$D$1305,C34)</f>
        <v>0</v>
      </c>
      <c r="F34" s="627">
        <f>SUMIFS(Пр.13!I$10:I$1305,Пр.13!$D$10:$D$1305,C34)</f>
        <v>0</v>
      </c>
      <c r="G34" s="627">
        <f>SUMIFS(Пр.13!J$10:J$1305,Пр.13!$D$10:$D$1305,C34)</f>
        <v>0</v>
      </c>
      <c r="H34" s="627">
        <f>SUMIFS(Пр.13!K$10:K$1305,Пр.13!$D$10:$D$1305,C34)</f>
        <v>0</v>
      </c>
      <c r="I34" s="627">
        <f>SUMIFS(Пр.13!L$10:L$1305,Пр.13!$D$10:$D$1305,C34)</f>
        <v>0</v>
      </c>
    </row>
    <row r="35" spans="1:9" ht="48" hidden="1" thickBot="1" x14ac:dyDescent="0.25">
      <c r="A35" s="268" t="s">
        <v>947</v>
      </c>
      <c r="B35" s="261" t="str">
        <f>IF(C35&gt;0,VLOOKUP(C35,Программа!A$2:B$5100,2))</f>
        <v>Муниципальная целевая программа "Развитие физической культуры и спорта в Тутаевском муниципальном районе"</v>
      </c>
      <c r="C35" s="265" t="s">
        <v>706</v>
      </c>
      <c r="D35" s="262">
        <f>SUMIFS(Пр.13!G$10:G$1305,Пр.13!$D$10:$D$1305,C35)</f>
        <v>30000000</v>
      </c>
      <c r="E35" s="263">
        <f>SUMIFS(Пр.13!H$10:H$1305,Пр.13!$D$10:$D$1305,C35)</f>
        <v>0</v>
      </c>
      <c r="F35" s="627">
        <f>SUMIFS(Пр.13!I$10:I$1305,Пр.13!$D$10:$D$1305,C35)</f>
        <v>30000000</v>
      </c>
      <c r="G35" s="627">
        <f>SUMIFS(Пр.13!J$10:J$1305,Пр.13!$D$10:$D$1305,C35)</f>
        <v>13278841</v>
      </c>
      <c r="H35" s="627">
        <f>SUMIFS(Пр.13!K$10:K$1305,Пр.13!$D$10:$D$1305,C35)</f>
        <v>0</v>
      </c>
      <c r="I35" s="627">
        <f>SUMIFS(Пр.13!L$10:L$1305,Пр.13!$D$10:$D$1305,C35)</f>
        <v>13278841</v>
      </c>
    </row>
    <row r="36" spans="1:9" ht="63.75" hidden="1" thickBot="1" x14ac:dyDescent="0.25">
      <c r="A36" s="269" t="s">
        <v>949</v>
      </c>
      <c r="B36" s="261" t="str">
        <f>IF(C36&gt;0,VLOOKUP(C36,Программа!A$2:B$5100,2))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174" t="s">
        <v>763</v>
      </c>
      <c r="D36" s="262">
        <f>SUMIFS(Пр.13!G$10:G$1305,Пр.13!$D$10:$D$1305,C36)</f>
        <v>30000000</v>
      </c>
      <c r="E36" s="263">
        <f>SUMIFS(Пр.13!H$10:H$1305,Пр.13!$D$10:$D$1305,C36)</f>
        <v>0</v>
      </c>
      <c r="F36" s="627">
        <f>SUMIFS(Пр.13!I$10:I$1305,Пр.13!$D$10:$D$1305,C36)</f>
        <v>30000000</v>
      </c>
      <c r="G36" s="627">
        <f>SUMIFS(Пр.13!J$10:J$1305,Пр.13!$D$10:$D$1305,C36)</f>
        <v>13278841</v>
      </c>
      <c r="H36" s="627">
        <f>SUMIFS(Пр.13!K$10:K$1305,Пр.13!$D$10:$D$1305,C36)</f>
        <v>0</v>
      </c>
      <c r="I36" s="627">
        <f>SUMIFS(Пр.13!L$10:L$1305,Пр.13!$D$10:$D$1305,C36)</f>
        <v>13278841</v>
      </c>
    </row>
    <row r="37" spans="1:9" ht="32.25" hidden="1" thickBot="1" x14ac:dyDescent="0.25">
      <c r="A37" s="268" t="s">
        <v>950</v>
      </c>
      <c r="B37" s="261" t="str">
        <f>IF(C37&gt;0,VLOOKUP(C37,Программа!A$2:B$5100,2))</f>
        <v>Строительство и реконструкция спортивных сооружений и укрепление материальной базы</v>
      </c>
      <c r="C37" s="272" t="s">
        <v>707</v>
      </c>
      <c r="D37" s="262">
        <f>SUMIFS(Пр.13!G$10:G$1305,Пр.13!$D$10:$D$1305,C37)</f>
        <v>0</v>
      </c>
      <c r="E37" s="263">
        <f>SUMIFS(Пр.13!H$10:H$1305,Пр.13!$D$10:$D$1305,C37)</f>
        <v>0</v>
      </c>
      <c r="F37" s="627">
        <f>SUMIFS(Пр.13!I$10:I$1305,Пр.13!$D$10:$D$1305,C37)</f>
        <v>0</v>
      </c>
      <c r="G37" s="627">
        <f>SUMIFS(Пр.13!J$10:J$1305,Пр.13!$D$10:$D$1305,C37)</f>
        <v>0</v>
      </c>
      <c r="H37" s="627">
        <f>SUMIFS(Пр.13!K$10:K$1305,Пр.13!$D$10:$D$1305,C37)</f>
        <v>0</v>
      </c>
      <c r="I37" s="627">
        <f>SUMIFS(Пр.13!L$10:L$1305,Пр.13!$D$10:$D$1305,C37)</f>
        <v>0</v>
      </c>
    </row>
    <row r="38" spans="1:9" ht="32.25" thickBot="1" x14ac:dyDescent="0.25">
      <c r="A38" s="268"/>
      <c r="B38" s="261" t="str">
        <f>IF(C38&gt;0,VLOOKUP(C38,Программа!A$2:B$5100,2))</f>
        <v>Обеспечение реализации мероприятий в рамках областных целевых программ</v>
      </c>
      <c r="C38" s="174" t="s">
        <v>2949</v>
      </c>
      <c r="D38" s="262">
        <f>SUMIFS(Пр.13!G$10:G$1305,Пр.13!$D$10:$D$1305,C38)</f>
        <v>5396850</v>
      </c>
      <c r="E38" s="263">
        <f>SUMIFS(Пр.13!H$10:H$1305,Пр.13!$D$10:$D$1305,C38)</f>
        <v>0</v>
      </c>
      <c r="F38" s="627">
        <f>SUMIFS(Пр.13!I$10:I$1305,Пр.13!$D$10:$D$1305,C38)</f>
        <v>5396850</v>
      </c>
      <c r="G38" s="627">
        <f>SUMIFS(Пр.13!J$10:J$1305,Пр.13!$D$10:$D$1305,C38)</f>
        <v>5396850</v>
      </c>
      <c r="H38" s="627">
        <f>SUMIFS(Пр.13!K$10:K$1305,Пр.13!$D$10:$D$1305,C38)</f>
        <v>0</v>
      </c>
      <c r="I38" s="627">
        <f>SUMIFS(Пр.13!L$10:L$1305,Пр.13!$D$10:$D$1305,C38)</f>
        <v>5396850</v>
      </c>
    </row>
    <row r="39" spans="1:9" ht="16.5" thickBot="1" x14ac:dyDescent="0.25">
      <c r="A39" s="268"/>
      <c r="B39" s="261" t="str">
        <f>IF(C39&gt;0,VLOOKUP(C39,Программа!A$2:B$5100,2))</f>
        <v>Обеспечение компенсационных выплат</v>
      </c>
      <c r="C39" s="174" t="s">
        <v>2955</v>
      </c>
      <c r="D39" s="262">
        <f>SUMIFS(Пр.13!G$10:G$1305,Пр.13!$D$10:$D$1305,C39)</f>
        <v>19121467</v>
      </c>
      <c r="E39" s="263">
        <f>SUMIFS(Пр.13!H$10:H$1305,Пр.13!$D$10:$D$1305,C39)</f>
        <v>0</v>
      </c>
      <c r="F39" s="627">
        <f>SUMIFS(Пр.13!I$10:I$1305,Пр.13!$D$10:$D$1305,C39)</f>
        <v>19121467</v>
      </c>
      <c r="G39" s="627">
        <f>SUMIFS(Пр.13!J$10:J$1305,Пр.13!$D$10:$D$1305,C39)</f>
        <v>19121467</v>
      </c>
      <c r="H39" s="627">
        <f>SUMIFS(Пр.13!K$10:K$1305,Пр.13!$D$10:$D$1305,C39)</f>
        <v>0</v>
      </c>
      <c r="I39" s="627">
        <f>SUMIFS(Пр.13!L$10:L$1305,Пр.13!$D$10:$D$1305,C39)</f>
        <v>19121467</v>
      </c>
    </row>
    <row r="40" spans="1:9" ht="32.25" thickBot="1" x14ac:dyDescent="0.25">
      <c r="A40" s="268"/>
      <c r="B40" s="261" t="str">
        <f>IF(C40&gt;0,VLOOKUP(C40,Программа!A$2:B$5100,2))</f>
        <v>Обеспечение эффективности управления системой образования</v>
      </c>
      <c r="C40" s="174" t="s">
        <v>2952</v>
      </c>
      <c r="D40" s="262">
        <f>SUMIFS(Пр.13!G$10:G$1305,Пр.13!$D$10:$D$1305,C40)</f>
        <v>28449618</v>
      </c>
      <c r="E40" s="263">
        <f>SUMIFS(Пр.13!H$10:H$1305,Пр.13!$D$10:$D$1305,C40)</f>
        <v>0</v>
      </c>
      <c r="F40" s="627">
        <f>SUMIFS(Пр.13!I$10:I$1305,Пр.13!$D$10:$D$1305,C40)</f>
        <v>28449618</v>
      </c>
      <c r="G40" s="627">
        <f>SUMIFS(Пр.13!J$10:J$1305,Пр.13!$D$10:$D$1305,C40)</f>
        <v>28449618</v>
      </c>
      <c r="H40" s="627">
        <f>SUMIFS(Пр.13!K$10:K$1305,Пр.13!$D$10:$D$1305,C40)</f>
        <v>0</v>
      </c>
      <c r="I40" s="627">
        <f>SUMIFS(Пр.13!L$10:L$1305,Пр.13!$D$10:$D$1305,C40)</f>
        <v>28449618</v>
      </c>
    </row>
    <row r="41" spans="1:9" s="214" customFormat="1" ht="48" thickBot="1" x14ac:dyDescent="0.25">
      <c r="A41" s="546"/>
      <c r="B41" s="264" t="str">
        <f>IF(C41&gt;0,VLOOKUP(C41,Программа!A$2:B$5100,2))</f>
        <v>Муниципальная целевая программа "Развитие физической культуры и спорта в Тутаевском муниципальном районе"</v>
      </c>
      <c r="C41" s="265" t="s">
        <v>706</v>
      </c>
      <c r="D41" s="266">
        <f>SUMIFS(Пр.13!G$10:G$1305,Пр.13!$D$10:$D$1305,C41)</f>
        <v>30000000</v>
      </c>
      <c r="E41" s="267">
        <f>SUMIFS(Пр.13!H$10:H$1305,Пр.13!$D$10:$D$1305,C41)</f>
        <v>0</v>
      </c>
      <c r="F41" s="627">
        <f>SUMIFS(Пр.13!I$10:I$1305,Пр.13!$D$10:$D$1305,C41)</f>
        <v>30000000</v>
      </c>
      <c r="G41" s="627">
        <f>SUMIFS(Пр.13!J$10:J$1305,Пр.13!$D$10:$D$1305,C41)</f>
        <v>13278841</v>
      </c>
      <c r="H41" s="627">
        <f>SUMIFS(Пр.13!K$10:K$1305,Пр.13!$D$10:$D$1305,C41)</f>
        <v>0</v>
      </c>
      <c r="I41" s="627">
        <f>SUMIFS(Пр.13!L$10:L$1305,Пр.13!$D$10:$D$1305,C41)</f>
        <v>13278841</v>
      </c>
    </row>
    <row r="42" spans="1:9" ht="63.75" thickBot="1" x14ac:dyDescent="0.25">
      <c r="A42" s="268"/>
      <c r="B42" s="261" t="str">
        <f>IF(C42&gt;0,VLOOKUP(C42,Программа!A$2:B$5100,2))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42" s="174" t="s">
        <v>763</v>
      </c>
      <c r="D42" s="262">
        <f>SUMIFS(Пр.13!G$10:G$1305,Пр.13!$D$10:$D$1305,C42)</f>
        <v>30000000</v>
      </c>
      <c r="E42" s="263">
        <f>SUMIFS(Пр.13!H$10:H$1305,Пр.13!$D$10:$D$1305,C42)</f>
        <v>0</v>
      </c>
      <c r="F42" s="627">
        <f>SUMIFS(Пр.13!I$10:I$1305,Пр.13!$D$10:$D$1305,C42)</f>
        <v>30000000</v>
      </c>
      <c r="G42" s="627">
        <f>SUMIFS(Пр.13!J$10:J$1305,Пр.13!$D$10:$D$1305,C42)</f>
        <v>13278841</v>
      </c>
      <c r="H42" s="627">
        <f>SUMIFS(Пр.13!K$10:K$1305,Пр.13!$D$10:$D$1305,C42)</f>
        <v>0</v>
      </c>
      <c r="I42" s="627">
        <f>SUMIFS(Пр.13!L$10:L$1305,Пр.13!$D$10:$D$1305,C42)</f>
        <v>13278841</v>
      </c>
    </row>
    <row r="43" spans="1:9" ht="16.5" hidden="1" thickBot="1" x14ac:dyDescent="0.25">
      <c r="A43" s="268"/>
      <c r="B43" s="261" t="str">
        <f>IF(C43&gt;0,VLOOKUP(C43,Программа!A$2:B$5100,2))</f>
        <v>Развитие сети плоскостных спортивных сооружений</v>
      </c>
      <c r="C43" s="174" t="s">
        <v>744</v>
      </c>
      <c r="D43" s="262">
        <f>SUMIFS(Пр.13!G$10:G$1305,Пр.13!$D$10:$D$1305,C43)</f>
        <v>0</v>
      </c>
      <c r="E43" s="263">
        <f>SUMIFS(Пр.13!H$10:H$1305,Пр.13!$D$10:$D$1305,C43)</f>
        <v>0</v>
      </c>
      <c r="F43" s="255">
        <f>SUMIFS(Пр.13!I$10:I$1305,Пр.13!$D$10:$D$1305,C43)</f>
        <v>0</v>
      </c>
      <c r="G43" s="255">
        <f>SUMIFS(Пр.13!J$10:J$1305,Пр.13!$D$10:$D$1305,C43)</f>
        <v>0</v>
      </c>
      <c r="H43" s="255">
        <f>SUMIFS(Пр.13!K$10:K$1305,Пр.13!$D$10:$D$1305,C43)</f>
        <v>0</v>
      </c>
      <c r="I43" s="255">
        <f>SUMIFS(Пр.13!L$10:L$1305,Пр.13!$D$10:$D$1305,C43)</f>
        <v>0</v>
      </c>
    </row>
    <row r="44" spans="1:9" ht="48" thickBot="1" x14ac:dyDescent="0.25">
      <c r="A44" s="269" t="s">
        <v>951</v>
      </c>
      <c r="B44" s="305" t="str">
        <f>IF(C44&gt;0,VLOOKUP(C44,Программа!A$2:B$5100,2))</f>
        <v>Муниципальная программа "Социальная поддержка населения Тутаевского муниципального района"</v>
      </c>
      <c r="C44" s="543" t="s">
        <v>695</v>
      </c>
      <c r="D44" s="544">
        <f>SUMIFS(Пр.13!G$10:G$1305,Пр.13!$D$10:$D$1305,C44)</f>
        <v>369877136</v>
      </c>
      <c r="E44" s="545">
        <f>SUMIFS(Пр.13!H$10:H$1305,Пр.13!$D$10:$D$1305,C44)</f>
        <v>0</v>
      </c>
      <c r="F44" s="255">
        <f>SUMIFS(Пр.13!I$10:I$1305,Пр.13!$D$10:$D$1305,C44)</f>
        <v>369877136</v>
      </c>
      <c r="G44" s="255">
        <f>SUMIFS(Пр.13!J$10:J$1305,Пр.13!$D$10:$D$1305,C44)</f>
        <v>371077136</v>
      </c>
      <c r="H44" s="255">
        <f>SUMIFS(Пр.13!K$10:K$1305,Пр.13!$D$10:$D$1305,C44)</f>
        <v>0</v>
      </c>
      <c r="I44" s="255">
        <f>SUMIFS(Пр.13!L$10:L$1305,Пр.13!$D$10:$D$1305,C44)</f>
        <v>371077136</v>
      </c>
    </row>
    <row r="45" spans="1:9" ht="48" thickBot="1" x14ac:dyDescent="0.25">
      <c r="A45" s="269"/>
      <c r="B45" s="257" t="str">
        <f>IF(C45&gt;0,VLOOKUP(C45,Программа!A$2:B$5100,2))</f>
        <v xml:space="preserve">Ведомственная целевая программа «Социальная поддержка населения Тутаевского муниципального района» </v>
      </c>
      <c r="C45" s="275" t="s">
        <v>768</v>
      </c>
      <c r="D45" s="259">
        <f>SUMIFS(Пр.13!G$10:G$1305,Пр.13!$D$10:$D$1305,C45)</f>
        <v>369877136</v>
      </c>
      <c r="E45" s="260">
        <f>SUMIFS(Пр.13!H$10:H$1305,Пр.13!$D$10:$D$1305,C45)</f>
        <v>0</v>
      </c>
      <c r="F45" s="627">
        <f>SUMIFS(Пр.13!I$10:I$1305,Пр.13!$D$10:$D$1305,C45)</f>
        <v>369877136</v>
      </c>
      <c r="G45" s="627">
        <f>SUMIFS(Пр.13!J$10:J$1305,Пр.13!$D$10:$D$1305,C45)</f>
        <v>371077136</v>
      </c>
      <c r="H45" s="627">
        <f>SUMIFS(Пр.13!K$10:K$1305,Пр.13!$D$10:$D$1305,C45)</f>
        <v>0</v>
      </c>
      <c r="I45" s="627">
        <f>SUMIFS(Пр.13!L$10:L$1305,Пр.13!$D$10:$D$1305,C45)</f>
        <v>371077136</v>
      </c>
    </row>
    <row r="46" spans="1:9" ht="32.25" thickBot="1" x14ac:dyDescent="0.25">
      <c r="A46" s="269"/>
      <c r="B46" s="261" t="str">
        <f>IF(C46&gt;0,VLOOKUP(C46,Программа!A$2:B$5100,2))</f>
        <v>Исполнение публичных обязательств по предоставлению выплат, пособий и компенсаций</v>
      </c>
      <c r="C46" s="174" t="s">
        <v>770</v>
      </c>
      <c r="D46" s="262">
        <f>SUMIFS(Пр.13!G$10:G$1305,Пр.13!$D$10:$D$1305,C46)</f>
        <v>300658225</v>
      </c>
      <c r="E46" s="263">
        <f>SUMIFS(Пр.13!H$10:H$1305,Пр.13!$D$10:$D$1305,C46)</f>
        <v>0</v>
      </c>
      <c r="F46" s="627">
        <f>SUMIFS(Пр.13!I$10:I$1305,Пр.13!$D$10:$D$1305,C46)</f>
        <v>300658225</v>
      </c>
      <c r="G46" s="627">
        <f>SUMIFS(Пр.13!J$10:J$1305,Пр.13!$D$10:$D$1305,C46)</f>
        <v>301858225</v>
      </c>
      <c r="H46" s="627">
        <f>SUMIFS(Пр.13!K$10:K$1305,Пр.13!$D$10:$D$1305,C46)</f>
        <v>0</v>
      </c>
      <c r="I46" s="627">
        <f>SUMIFS(Пр.13!L$10:L$1305,Пр.13!$D$10:$D$1305,C46)</f>
        <v>301858225</v>
      </c>
    </row>
    <row r="47" spans="1:9" ht="48" thickBot="1" x14ac:dyDescent="0.25">
      <c r="A47" s="269"/>
      <c r="B47" s="261" t="str">
        <f>IF(C47&gt;0,VLOOKUP(C47,Программа!A$2:B$5100,2))</f>
        <v>Предоставление социальных услуг населению Тутаевского муниципального района на основе соблюдения стандартов и нормативов</v>
      </c>
      <c r="C47" s="174" t="s">
        <v>773</v>
      </c>
      <c r="D47" s="262">
        <f>SUMIFS(Пр.13!G$10:G$1305,Пр.13!$D$10:$D$1305,C47)</f>
        <v>63968211</v>
      </c>
      <c r="E47" s="263">
        <f>SUMIFS(Пр.13!H$10:H$1305,Пр.13!$D$10:$D$1305,C47)</f>
        <v>0</v>
      </c>
      <c r="F47" s="627">
        <f>SUMIFS(Пр.13!I$10:I$1305,Пр.13!$D$10:$D$1305,C47)</f>
        <v>63968211</v>
      </c>
      <c r="G47" s="627">
        <f>SUMIFS(Пр.13!J$10:J$1305,Пр.13!$D$10:$D$1305,C47)</f>
        <v>63968211</v>
      </c>
      <c r="H47" s="627">
        <f>SUMIFS(Пр.13!K$10:K$1305,Пр.13!$D$10:$D$1305,C47)</f>
        <v>0</v>
      </c>
      <c r="I47" s="627">
        <f>SUMIFS(Пр.13!L$10:L$1305,Пр.13!$D$10:$D$1305,C47)</f>
        <v>63968211</v>
      </c>
    </row>
    <row r="48" spans="1:9" ht="48" thickBot="1" x14ac:dyDescent="0.25">
      <c r="A48" s="268" t="s">
        <v>73</v>
      </c>
      <c r="B48" s="261" t="str">
        <f>IF(C48&gt;0,VLOOKUP(C48,Программа!A$2:B$5100,2))</f>
        <v>Социальная защита семей с детьми, инвалидов, ветеранов, граждан и детей, оказавшихся в трудной жизненной ситуации</v>
      </c>
      <c r="C48" s="174" t="s">
        <v>788</v>
      </c>
      <c r="D48" s="262">
        <f>SUMIFS(Пр.13!G$10:G$1305,Пр.13!$D$10:$D$1305,C48)</f>
        <v>4925700</v>
      </c>
      <c r="E48" s="263">
        <f>SUMIFS(Пр.13!H$10:H$1305,Пр.13!$D$10:$D$1305,C48)</f>
        <v>0</v>
      </c>
      <c r="F48" s="627">
        <f>SUMIFS(Пр.13!I$10:I$1305,Пр.13!$D$10:$D$1305,C48)</f>
        <v>4925700</v>
      </c>
      <c r="G48" s="627">
        <f>SUMIFS(Пр.13!J$10:J$1305,Пр.13!$D$10:$D$1305,C48)</f>
        <v>4925700</v>
      </c>
      <c r="H48" s="627">
        <f>SUMIFS(Пр.13!K$10:K$1305,Пр.13!$D$10:$D$1305,C48)</f>
        <v>0</v>
      </c>
      <c r="I48" s="627">
        <f>SUMIFS(Пр.13!L$10:L$1305,Пр.13!$D$10:$D$1305,C48)</f>
        <v>4925700</v>
      </c>
    </row>
    <row r="49" spans="1:9" ht="32.25" thickBot="1" x14ac:dyDescent="0.25">
      <c r="A49" s="268"/>
      <c r="B49" s="261" t="str">
        <f>IF(C49&gt;0,VLOOKUP(C49,Программа!A$2:B$5100,2))</f>
        <v>Информационное обеспечение реализации мероприятий программы</v>
      </c>
      <c r="C49" s="174" t="s">
        <v>3213</v>
      </c>
      <c r="D49" s="262">
        <f>SUMIFS(Пр.13!G$10:G$1305,Пр.13!$D$10:$D$1305,C49)</f>
        <v>325000</v>
      </c>
      <c r="E49" s="263">
        <f>SUMIFS(Пр.13!H$10:H$1305,Пр.13!$D$10:$D$1305,C49)</f>
        <v>0</v>
      </c>
      <c r="F49" s="627">
        <f>SUMIFS(Пр.13!I$10:I$1305,Пр.13!$D$10:$D$1305,C49)</f>
        <v>325000</v>
      </c>
      <c r="G49" s="627">
        <f>SUMIFS(Пр.13!J$10:J$1305,Пр.13!$D$10:$D$1305,C49)</f>
        <v>325000</v>
      </c>
      <c r="H49" s="627">
        <f>SUMIFS(Пр.13!K$10:K$1305,Пр.13!$D$10:$D$1305,C49)</f>
        <v>0</v>
      </c>
      <c r="I49" s="627">
        <f>SUMIFS(Пр.13!L$10:L$1305,Пр.13!$D$10:$D$1305,C49)</f>
        <v>325000</v>
      </c>
    </row>
    <row r="50" spans="1:9" ht="48" hidden="1" thickBot="1" x14ac:dyDescent="0.25">
      <c r="A50" s="269" t="s">
        <v>957</v>
      </c>
      <c r="B50" s="264" t="str">
        <f>IF(C50&gt;0,VLOOKUP(C50,Программа!A$2:B$5100,2))</f>
        <v>Муниципальная целевая программа "Улучшение условий и охраны труда" по Тутаевскому муниципальному району</v>
      </c>
      <c r="C50" s="265" t="s">
        <v>697</v>
      </c>
      <c r="D50" s="266">
        <f>SUMIFS(Пр.13!G$10:G$1305,Пр.13!$D$10:$D$1305,C50)</f>
        <v>0</v>
      </c>
      <c r="E50" s="267">
        <f>SUMIFS(Пр.13!H$10:H$1305,Пр.13!$D$10:$D$1305,C50)</f>
        <v>0</v>
      </c>
      <c r="F50" s="255">
        <f>SUMIFS(Пр.13!I$10:I$1305,Пр.13!$D$10:$D$1305,C50)</f>
        <v>0</v>
      </c>
      <c r="G50" s="255">
        <f>SUMIFS(Пр.13!J$10:J$1305,Пр.13!$D$10:$D$1305,C50)</f>
        <v>0</v>
      </c>
      <c r="H50" s="255">
        <f>SUMIFS(Пр.13!K$10:K$1305,Пр.13!$D$10:$D$1305,C50)</f>
        <v>0</v>
      </c>
      <c r="I50" s="255">
        <f>SUMIFS(Пр.13!L$10:L$1305,Пр.13!$D$10:$D$1305,C50)</f>
        <v>0</v>
      </c>
    </row>
    <row r="51" spans="1:9" ht="48" hidden="1" thickBot="1" x14ac:dyDescent="0.25">
      <c r="A51" s="269"/>
      <c r="B51" s="271" t="str">
        <f>IF(C51&gt;0,VLOOKUP(C51,Программа!A$2:B$5100,2))</f>
        <v>Специальная оценка условий труда работающих в организациях расположенных на территории Тутаевского муниципального района</v>
      </c>
      <c r="C51" s="272" t="s">
        <v>698</v>
      </c>
      <c r="D51" s="273">
        <f>SUMIFS(Пр.13!G$10:G$1305,Пр.13!$D$10:$D$1305,C51)</f>
        <v>0</v>
      </c>
      <c r="E51" s="274">
        <f>SUMIFS(Пр.13!H$10:H$1305,Пр.13!$D$10:$D$1305,C51)</f>
        <v>0</v>
      </c>
      <c r="F51" s="255">
        <f>SUMIFS(Пр.13!I$10:I$1305,Пр.13!$D$10:$D$1305,C51)</f>
        <v>0</v>
      </c>
      <c r="G51" s="255">
        <f>SUMIFS(Пр.13!J$10:J$1305,Пр.13!$D$10:$D$1305,C51)</f>
        <v>0</v>
      </c>
      <c r="H51" s="255">
        <f>SUMIFS(Пр.13!K$10:K$1305,Пр.13!$D$10:$D$1305,C51)</f>
        <v>0</v>
      </c>
      <c r="I51" s="255">
        <f>SUMIFS(Пр.13!L$10:L$1305,Пр.13!$D$10:$D$1305,C51)</f>
        <v>0</v>
      </c>
    </row>
    <row r="52" spans="1:9" ht="16.5" hidden="1" thickBot="1" x14ac:dyDescent="0.25">
      <c r="A52" s="269"/>
      <c r="B52" s="252"/>
      <c r="C52" s="253" t="s">
        <v>833</v>
      </c>
      <c r="D52" s="254">
        <f>SUMIFS(Пр.13!G$10:G$1305,Пр.13!$D$10:$D$1305,C52)</f>
        <v>0</v>
      </c>
      <c r="E52" s="255">
        <f>SUMIFS(Пр.13!H$10:H$1305,Пр.13!$D$10:$D$1305,C52)</f>
        <v>0</v>
      </c>
      <c r="F52" s="255">
        <f>SUMIFS(Пр.13!I$10:I$1305,Пр.13!$D$10:$D$1305,C52)</f>
        <v>0</v>
      </c>
      <c r="G52" s="255">
        <f>SUMIFS(Пр.13!J$10:J$1305,Пр.13!$D$10:$D$1305,C52)</f>
        <v>0</v>
      </c>
      <c r="H52" s="255">
        <f>SUMIFS(Пр.13!K$10:K$1305,Пр.13!$D$10:$D$1305,C52)</f>
        <v>0</v>
      </c>
      <c r="I52" s="255">
        <f>SUMIFS(Пр.13!L$10:L$1305,Пр.13!$D$10:$D$1305,C52)</f>
        <v>0</v>
      </c>
    </row>
    <row r="53" spans="1:9" ht="63.75" hidden="1" thickBot="1" x14ac:dyDescent="0.25">
      <c r="A53" s="268" t="s">
        <v>44</v>
      </c>
      <c r="B53" s="276" t="str">
        <f>IF(C53&gt;0,VLOOKUP(C53,Программа!A$2:B$5100,2))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3" s="277" t="s">
        <v>835</v>
      </c>
      <c r="D53" s="278">
        <f>SUMIFS(Пр.13!G$10:G$1305,Пр.13!$D$10:$D$1305,C53)</f>
        <v>0</v>
      </c>
      <c r="E53" s="279">
        <f>SUMIFS(Пр.13!H$10:H$1305,Пр.13!$D$10:$D$1305,C53)</f>
        <v>0</v>
      </c>
      <c r="F53" s="255">
        <f>SUMIFS(Пр.13!I$10:I$1305,Пр.13!$D$10:$D$1305,C53)</f>
        <v>0</v>
      </c>
      <c r="G53" s="255">
        <f>SUMIFS(Пр.13!J$10:J$1305,Пр.13!$D$10:$D$1305,C53)</f>
        <v>0</v>
      </c>
      <c r="H53" s="255">
        <f>SUMIFS(Пр.13!K$10:K$1305,Пр.13!$D$10:$D$1305,C53)</f>
        <v>0</v>
      </c>
      <c r="I53" s="255">
        <f>SUMIFS(Пр.13!L$10:L$1305,Пр.13!$D$10:$D$1305,C53)</f>
        <v>0</v>
      </c>
    </row>
    <row r="54" spans="1:9" ht="48" thickBot="1" x14ac:dyDescent="0.25">
      <c r="A54" s="269" t="s">
        <v>968</v>
      </c>
      <c r="B54" s="252" t="str">
        <f>IF(C54&gt;0,VLOOKUP(C54,Программа!A$2:B$5100,2))</f>
        <v>Муниципальная программа "Обеспечение качественными коммунальными услугами населения Тутаевского муниципального района"</v>
      </c>
      <c r="C54" s="253" t="s">
        <v>851</v>
      </c>
      <c r="D54" s="254">
        <f>SUMIFS(Пр.13!G$10:G$1305,Пр.13!$D$10:$D$1305,C54)</f>
        <v>3000000</v>
      </c>
      <c r="E54" s="255">
        <f>SUMIFS(Пр.13!H$10:H$1305,Пр.13!$D$10:$D$1305,C54)</f>
        <v>0</v>
      </c>
      <c r="F54" s="255">
        <f>SUMIFS(Пр.13!I$10:I$1305,Пр.13!$D$10:$D$1305,C54)</f>
        <v>3000000</v>
      </c>
      <c r="G54" s="255">
        <f>SUMIFS(Пр.13!J$10:J$1305,Пр.13!$D$10:$D$1305,C54)</f>
        <v>3000000</v>
      </c>
      <c r="H54" s="255">
        <f>SUMIFS(Пр.13!K$10:K$1305,Пр.13!$D$10:$D$1305,C54)</f>
        <v>0</v>
      </c>
      <c r="I54" s="255">
        <f>SUMIFS(Пр.13!L$10:L$1305,Пр.13!$D$10:$D$1305,C54)</f>
        <v>3000000</v>
      </c>
    </row>
    <row r="55" spans="1:9" ht="63.75" hidden="1" thickBot="1" x14ac:dyDescent="0.25">
      <c r="A55" s="268" t="s">
        <v>56</v>
      </c>
      <c r="B55" s="257" t="str">
        <f>IF(C55&gt;0,VLOOKUP(C55,Программа!A$2:B$5100,2))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5" s="275" t="s">
        <v>853</v>
      </c>
      <c r="D55" s="259">
        <f>SUMIFS(Пр.13!G$10:G$1305,Пр.13!$D$10:$D$1305,C55)</f>
        <v>0</v>
      </c>
      <c r="E55" s="260">
        <f>SUMIFS(Пр.13!H$10:H$1305,Пр.13!$D$10:$D$1305,C55)</f>
        <v>0</v>
      </c>
      <c r="F55" s="255">
        <f>SUMIFS(Пр.13!I$10:I$1305,Пр.13!$D$10:$D$1305,C55)</f>
        <v>0</v>
      </c>
      <c r="G55" s="255">
        <f>SUMIFS(Пр.13!J$10:J$1305,Пр.13!$D$10:$D$1305,C55)</f>
        <v>0</v>
      </c>
      <c r="H55" s="255">
        <f>SUMIFS(Пр.13!K$10:K$1305,Пр.13!$D$10:$D$1305,C55)</f>
        <v>0</v>
      </c>
      <c r="I55" s="255">
        <f>SUMIFS(Пр.13!L$10:L$1305,Пр.13!$D$10:$D$1305,C55)</f>
        <v>0</v>
      </c>
    </row>
    <row r="56" spans="1:9" ht="79.5" hidden="1" thickBot="1" x14ac:dyDescent="0.25">
      <c r="A56" s="268" t="s">
        <v>972</v>
      </c>
      <c r="B56" s="261" t="str">
        <f>IF(C56&gt;0,VLOOKUP(C56,Программа!A$2:B$5100,2))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6" s="174" t="s">
        <v>880</v>
      </c>
      <c r="D56" s="262">
        <f>SUMIFS(Пр.13!G$10:G$1305,Пр.13!$D$10:$D$1305,C56)</f>
        <v>0</v>
      </c>
      <c r="E56" s="263">
        <f>SUMIFS(Пр.13!H$10:H$1305,Пр.13!$D$10:$D$1305,C56)</f>
        <v>0</v>
      </c>
      <c r="F56" s="255">
        <f>SUMIFS(Пр.13!I$10:I$1305,Пр.13!$D$10:$D$1305,C56)</f>
        <v>0</v>
      </c>
      <c r="G56" s="255">
        <f>SUMIFS(Пр.13!J$10:J$1305,Пр.13!$D$10:$D$1305,C56)</f>
        <v>0</v>
      </c>
      <c r="H56" s="255">
        <f>SUMIFS(Пр.13!K$10:K$1305,Пр.13!$D$10:$D$1305,C56)</f>
        <v>0</v>
      </c>
      <c r="I56" s="255">
        <f>SUMIFS(Пр.13!L$10:L$1305,Пр.13!$D$10:$D$1305,C56)</f>
        <v>0</v>
      </c>
    </row>
    <row r="57" spans="1:9" ht="48" hidden="1" thickBot="1" x14ac:dyDescent="0.25">
      <c r="A57" s="268" t="s">
        <v>61</v>
      </c>
      <c r="B57" s="261" t="str">
        <f>IF(C57&gt;0,VLOOKUP(C57,Программа!A$2:B$5100,2))</f>
        <v>Обеспечение надежного снабжения  твердым топливом  сельского населения, путем частичного возмещения расходов</v>
      </c>
      <c r="C57" s="174" t="s">
        <v>854</v>
      </c>
      <c r="D57" s="262">
        <f>SUMIFS(Пр.13!G$10:G$1305,Пр.13!$D$10:$D$1305,C57)</f>
        <v>0</v>
      </c>
      <c r="E57" s="263">
        <f>SUMIFS(Пр.13!H$10:H$1305,Пр.13!$D$10:$D$1305,C57)</f>
        <v>0</v>
      </c>
      <c r="F57" s="255">
        <f>SUMIFS(Пр.13!I$10:I$1305,Пр.13!$D$10:$D$1305,C57)</f>
        <v>0</v>
      </c>
      <c r="G57" s="255">
        <f>SUMIFS(Пр.13!J$10:J$1305,Пр.13!$D$10:$D$1305,C57)</f>
        <v>0</v>
      </c>
      <c r="H57" s="255">
        <f>SUMIFS(Пр.13!K$10:K$1305,Пр.13!$D$10:$D$1305,C57)</f>
        <v>0</v>
      </c>
      <c r="I57" s="255">
        <f>SUMIFS(Пр.13!L$10:L$1305,Пр.13!$D$10:$D$1305,C57)</f>
        <v>0</v>
      </c>
    </row>
    <row r="58" spans="1:9" ht="63.75" thickBot="1" x14ac:dyDescent="0.25">
      <c r="A58" s="269" t="s">
        <v>1002</v>
      </c>
      <c r="B58" s="264" t="str">
        <f>IF(C58&gt;0,VLOOKUP(C58,Программа!A$2:B$5100,2))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8" s="265" t="s">
        <v>883</v>
      </c>
      <c r="D58" s="266">
        <f>SUMIFS(Пр.13!G$10:G$1305,Пр.13!$D$10:$D$1305,C58)</f>
        <v>3000000</v>
      </c>
      <c r="E58" s="267">
        <f>SUMIFS(Пр.13!H$10:H$1305,Пр.13!$D$10:$D$1305,C58)</f>
        <v>0</v>
      </c>
      <c r="F58" s="627">
        <f>SUMIFS(Пр.13!I$10:I$1305,Пр.13!$D$10:$D$1305,C58)</f>
        <v>3000000</v>
      </c>
      <c r="G58" s="627">
        <f>SUMIFS(Пр.13!J$10:J$1305,Пр.13!$D$10:$D$1305,C58)</f>
        <v>3000000</v>
      </c>
      <c r="H58" s="627">
        <f>SUMIFS(Пр.13!K$10:K$1305,Пр.13!$D$10:$D$1305,C58)</f>
        <v>0</v>
      </c>
      <c r="I58" s="627">
        <f>SUMIFS(Пр.13!L$10:L$1305,Пр.13!$D$10:$D$1305,C58)</f>
        <v>3000000</v>
      </c>
    </row>
    <row r="59" spans="1:9" ht="32.25" hidden="1" thickBot="1" x14ac:dyDescent="0.25">
      <c r="A59" s="268" t="s">
        <v>66</v>
      </c>
      <c r="B59" s="261" t="str">
        <f>IF(C59&gt;0,VLOOKUP(C59,Программа!A$2:B$5100,2))</f>
        <v>Повышение уровня газификации и модернизации объектов социальной сферы</v>
      </c>
      <c r="C59" s="174" t="s">
        <v>884</v>
      </c>
      <c r="D59" s="262">
        <f>SUMIFS(Пр.13!G$10:G$1305,Пр.13!$D$10:$D$1305,C59)</f>
        <v>0</v>
      </c>
      <c r="E59" s="263">
        <f>SUMIFS(Пр.13!H$10:H$1305,Пр.13!$D$10:$D$1305,C59)</f>
        <v>0</v>
      </c>
      <c r="F59" s="627">
        <f>SUMIFS(Пр.13!I$10:I$1305,Пр.13!$D$10:$D$1305,C59)</f>
        <v>0</v>
      </c>
      <c r="G59" s="627">
        <f>SUMIFS(Пр.13!J$10:J$1305,Пр.13!$D$10:$D$1305,C59)</f>
        <v>0</v>
      </c>
      <c r="H59" s="627">
        <f>SUMIFS(Пр.13!K$10:K$1305,Пр.13!$D$10:$D$1305,C59)</f>
        <v>0</v>
      </c>
      <c r="I59" s="627">
        <f>SUMIFS(Пр.13!L$10:L$1305,Пр.13!$D$10:$D$1305,C59)</f>
        <v>0</v>
      </c>
    </row>
    <row r="60" spans="1:9" ht="63.75" thickBot="1" x14ac:dyDescent="0.25">
      <c r="A60" s="269" t="s">
        <v>1003</v>
      </c>
      <c r="B60" s="261" t="str">
        <f>IF(C60&gt;0,VLOOKUP(C60,Программа!A$2:B$5100,2))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60" s="174" t="s">
        <v>927</v>
      </c>
      <c r="D60" s="262">
        <f>SUMIFS(Пр.13!G$10:G$1305,Пр.13!$D$10:$D$1305,C60)</f>
        <v>3000000</v>
      </c>
      <c r="E60" s="263">
        <f>SUMIFS(Пр.13!H$10:H$1305,Пр.13!$D$10:$D$1305,C60)</f>
        <v>0</v>
      </c>
      <c r="F60" s="627">
        <f>SUMIFS(Пр.13!I$10:I$1305,Пр.13!$D$10:$D$1305,C60)</f>
        <v>3000000</v>
      </c>
      <c r="G60" s="627">
        <f>SUMIFS(Пр.13!J$10:J$1305,Пр.13!$D$10:$D$1305,C60)</f>
        <v>3000000</v>
      </c>
      <c r="H60" s="627">
        <f>SUMIFS(Пр.13!K$10:K$1305,Пр.13!$D$10:$D$1305,C60)</f>
        <v>0</v>
      </c>
      <c r="I60" s="627">
        <f>SUMIFS(Пр.13!L$10:L$1305,Пр.13!$D$10:$D$1305,C60)</f>
        <v>3000000</v>
      </c>
    </row>
    <row r="61" spans="1:9" ht="63.75" hidden="1" thickBot="1" x14ac:dyDescent="0.25">
      <c r="A61" s="268" t="s">
        <v>1005</v>
      </c>
      <c r="B61" s="264" t="str">
        <f>IF(C61&gt;0,VLOOKUP(C61,Программа!A$2:B$5100,2))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61" s="265" t="s">
        <v>887</v>
      </c>
      <c r="D61" s="266">
        <f>SUMIFS(Пр.13!G$10:G$1305,Пр.13!$D$10:$D$1305,C61)</f>
        <v>0</v>
      </c>
      <c r="E61" s="267">
        <f>SUMIFS(Пр.13!H$10:H$1305,Пр.13!$D$10:$D$1305,C61)</f>
        <v>0</v>
      </c>
      <c r="F61" s="255">
        <f>SUMIFS(Пр.13!I$10:I$1305,Пр.13!$D$10:$D$1305,C61)</f>
        <v>0</v>
      </c>
      <c r="G61" s="255">
        <f>SUMIFS(Пр.13!J$10:J$1305,Пр.13!$D$10:$D$1305,C61)</f>
        <v>0</v>
      </c>
      <c r="H61" s="255">
        <f>SUMIFS(Пр.13!K$10:K$1305,Пр.13!$D$10:$D$1305,C61)</f>
        <v>0</v>
      </c>
      <c r="I61" s="255">
        <f>SUMIFS(Пр.13!L$10:L$1305,Пр.13!$D$10:$D$1305,C61)</f>
        <v>0</v>
      </c>
    </row>
    <row r="62" spans="1:9" ht="48" hidden="1" thickBot="1" x14ac:dyDescent="0.25">
      <c r="A62" s="269" t="s">
        <v>1006</v>
      </c>
      <c r="B62" s="261" t="str">
        <f>IF(C62&gt;0,VLOOKUP(C62,Программа!A$2:B$5100,2))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2" s="174" t="s">
        <v>888</v>
      </c>
      <c r="D62" s="262">
        <f>SUMIFS(Пр.13!G$10:G$1305,Пр.13!$D$10:$D$1305,C62)</f>
        <v>0</v>
      </c>
      <c r="E62" s="263">
        <f>SUMIFS(Пр.13!H$10:H$1305,Пр.13!$D$10:$D$1305,C62)</f>
        <v>0</v>
      </c>
      <c r="F62" s="255">
        <f>SUMIFS(Пр.13!I$10:I$1305,Пр.13!$D$10:$D$1305,C62)</f>
        <v>0</v>
      </c>
      <c r="G62" s="255">
        <f>SUMIFS(Пр.13!J$10:J$1305,Пр.13!$D$10:$D$1305,C62)</f>
        <v>0</v>
      </c>
      <c r="H62" s="255">
        <f>SUMIFS(Пр.13!K$10:K$1305,Пр.13!$D$10:$D$1305,C62)</f>
        <v>0</v>
      </c>
      <c r="I62" s="255">
        <f>SUMIFS(Пр.13!L$10:L$1305,Пр.13!$D$10:$D$1305,C62)</f>
        <v>0</v>
      </c>
    </row>
    <row r="63" spans="1:9" ht="48" hidden="1" thickBot="1" x14ac:dyDescent="0.25">
      <c r="A63" s="269"/>
      <c r="B63" s="261" t="str">
        <f>IF(C63&gt;0,VLOOKUP(C63,Программа!A$2:B$5100,2))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3" s="174" t="s">
        <v>928</v>
      </c>
      <c r="D63" s="262">
        <f>SUMIFS(Пр.13!G$10:G$1305,Пр.13!$D$10:$D$1305,C63)</f>
        <v>0</v>
      </c>
      <c r="E63" s="263">
        <f>SUMIFS(Пр.13!H$10:H$1305,Пр.13!$D$10:$D$1305,C63)</f>
        <v>0</v>
      </c>
      <c r="F63" s="255">
        <f>SUMIFS(Пр.13!I$10:I$1305,Пр.13!$D$10:$D$1305,C63)</f>
        <v>0</v>
      </c>
      <c r="G63" s="255">
        <f>SUMIFS(Пр.13!J$10:J$1305,Пр.13!$D$10:$D$1305,C63)</f>
        <v>0</v>
      </c>
      <c r="H63" s="255">
        <f>SUMIFS(Пр.13!K$10:K$1305,Пр.13!$D$10:$D$1305,C63)</f>
        <v>0</v>
      </c>
      <c r="I63" s="255">
        <f>SUMIFS(Пр.13!L$10:L$1305,Пр.13!$D$10:$D$1305,C63)</f>
        <v>0</v>
      </c>
    </row>
    <row r="64" spans="1:9" ht="63.75" hidden="1" thickBot="1" x14ac:dyDescent="0.25">
      <c r="B64" s="264" t="str">
        <f>IF(C64&gt;0,VLOOKUP(C64,Программа!A$2:B$5100,2))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4" s="265" t="s">
        <v>890</v>
      </c>
      <c r="D64" s="266">
        <f>SUMIFS(Пр.13!G$10:G$1305,Пр.13!$D$10:$D$1305,C64)</f>
        <v>0</v>
      </c>
      <c r="E64" s="267">
        <f>SUMIFS(Пр.13!H$10:H$1305,Пр.13!$D$10:$D$1305,C64)</f>
        <v>0</v>
      </c>
      <c r="F64" s="255">
        <f>SUMIFS(Пр.13!I$10:I$1305,Пр.13!$D$10:$D$1305,C64)</f>
        <v>0</v>
      </c>
      <c r="G64" s="255">
        <f>SUMIFS(Пр.13!J$10:J$1305,Пр.13!$D$10:$D$1305,C64)</f>
        <v>0</v>
      </c>
      <c r="H64" s="255">
        <f>SUMIFS(Пр.13!K$10:K$1305,Пр.13!$D$10:$D$1305,C64)</f>
        <v>0</v>
      </c>
      <c r="I64" s="255">
        <f>SUMIFS(Пр.13!L$10:L$1305,Пр.13!$D$10:$D$1305,C64)</f>
        <v>0</v>
      </c>
    </row>
    <row r="65" spans="2:9" ht="32.25" hidden="1" thickBot="1" x14ac:dyDescent="0.25">
      <c r="B65" s="261" t="str">
        <f>IF(C65&gt;0,VLOOKUP(C65,Программа!A$2:B$5100,2))</f>
        <v>Проведение комплекса работ по ремонту, замене и реконструкции объектов теплоснабжения</v>
      </c>
      <c r="C65" s="174" t="s">
        <v>892</v>
      </c>
      <c r="D65" s="262">
        <f>SUMIFS(Пр.13!G$10:G$1305,Пр.13!$D$10:$D$1305,C65)</f>
        <v>0</v>
      </c>
      <c r="E65" s="263">
        <f>SUMIFS(Пр.13!H$10:H$1305,Пр.13!$D$10:$D$1305,C65)</f>
        <v>0</v>
      </c>
      <c r="F65" s="255">
        <f>SUMIFS(Пр.13!I$10:I$1305,Пр.13!$D$10:$D$1305,C65)</f>
        <v>0</v>
      </c>
      <c r="G65" s="255">
        <f>SUMIFS(Пр.13!J$10:J$1305,Пр.13!$D$10:$D$1305,C65)</f>
        <v>0</v>
      </c>
      <c r="H65" s="255">
        <f>SUMIFS(Пр.13!K$10:K$1305,Пр.13!$D$10:$D$1305,C65)</f>
        <v>0</v>
      </c>
      <c r="I65" s="255">
        <f>SUMIFS(Пр.13!L$10:L$1305,Пр.13!$D$10:$D$1305,C65)</f>
        <v>0</v>
      </c>
    </row>
    <row r="66" spans="2:9" ht="48" hidden="1" thickBot="1" x14ac:dyDescent="0.25">
      <c r="B66" s="261" t="str">
        <f>IF(C66&gt;0,VLOOKUP(C66,Программа!A$2:B$5100,2))</f>
        <v>Проведение комплекса работ по ремонту, замене и реконструкции объектов водоснабжения, водоотведения и очистки сточных вод</v>
      </c>
      <c r="C66" s="174" t="s">
        <v>895</v>
      </c>
      <c r="D66" s="262">
        <f>SUMIFS(Пр.13!G$10:G$1305,Пр.13!$D$10:$D$1305,C66)</f>
        <v>0</v>
      </c>
      <c r="E66" s="263">
        <f>SUMIFS(Пр.13!H$10:H$1305,Пр.13!$D$10:$D$1305,C66)</f>
        <v>0</v>
      </c>
      <c r="F66" s="255">
        <f>SUMIFS(Пр.13!I$10:I$1305,Пр.13!$D$10:$D$1305,C66)</f>
        <v>0</v>
      </c>
      <c r="G66" s="255">
        <f>SUMIFS(Пр.13!J$10:J$1305,Пр.13!$D$10:$D$1305,C66)</f>
        <v>0</v>
      </c>
      <c r="H66" s="255">
        <f>SUMIFS(Пр.13!K$10:K$1305,Пр.13!$D$10:$D$1305,C66)</f>
        <v>0</v>
      </c>
      <c r="I66" s="255">
        <f>SUMIFS(Пр.13!L$10:L$1305,Пр.13!$D$10:$D$1305,C66)</f>
        <v>0</v>
      </c>
    </row>
    <row r="67" spans="2:9" ht="32.25" hidden="1" thickBot="1" x14ac:dyDescent="0.25">
      <c r="B67" s="271" t="str">
        <f>IF(C67&gt;0,VLOOKUP(C67,Программа!A$2:B$5100,2))</f>
        <v>Проведение комплекса работ по ремонту, замене и реконструкции объектов газоснабжения</v>
      </c>
      <c r="C67" s="272" t="s">
        <v>897</v>
      </c>
      <c r="D67" s="273">
        <f>SUMIFS(Пр.13!G$10:G$1305,Пр.13!$D$10:$D$1305,C67)</f>
        <v>0</v>
      </c>
      <c r="E67" s="274">
        <f>SUMIFS(Пр.13!H$10:H$1305,Пр.13!$D$10:$D$1305,C67)</f>
        <v>0</v>
      </c>
      <c r="F67" s="255">
        <f>SUMIFS(Пр.13!I$10:I$1305,Пр.13!$D$10:$D$1305,C67)</f>
        <v>0</v>
      </c>
      <c r="G67" s="255">
        <f>SUMIFS(Пр.13!J$10:J$1305,Пр.13!$D$10:$D$1305,C67)</f>
        <v>0</v>
      </c>
      <c r="H67" s="255">
        <f>SUMIFS(Пр.13!K$10:K$1305,Пр.13!$D$10:$D$1305,C67)</f>
        <v>0</v>
      </c>
      <c r="I67" s="255">
        <f>SUMIFS(Пр.13!L$10:L$1305,Пр.13!$D$10:$D$1305,C67)</f>
        <v>0</v>
      </c>
    </row>
    <row r="68" spans="2:9" ht="63.75" hidden="1" thickBot="1" x14ac:dyDescent="0.25">
      <c r="B68" s="252" t="str">
        <f>IF(C68&gt;0,VLOOKUP(C68,Программа!A$2:B$5100,2))</f>
        <v>Муниципальная  программа "Об энергосбережении и повышении энергетической эффективности Тутаевского муниципального района"</v>
      </c>
      <c r="C68" s="253" t="s">
        <v>856</v>
      </c>
      <c r="D68" s="254">
        <f>SUMIFS(Пр.13!G$10:G$1305,Пр.13!$D$10:$D$1305,C68)</f>
        <v>0</v>
      </c>
      <c r="E68" s="255">
        <f>SUMIFS(Пр.13!H$10:H$1305,Пр.13!$D$10:$D$1305,C68)</f>
        <v>0</v>
      </c>
      <c r="F68" s="255">
        <f>SUMIFS(Пр.13!I$10:I$1305,Пр.13!$D$10:$D$1305,C68)</f>
        <v>0</v>
      </c>
      <c r="G68" s="255">
        <f>SUMIFS(Пр.13!J$10:J$1305,Пр.13!$D$10:$D$1305,C68)</f>
        <v>0</v>
      </c>
      <c r="H68" s="255">
        <f>SUMIFS(Пр.13!K$10:K$1305,Пр.13!$D$10:$D$1305,C68)</f>
        <v>0</v>
      </c>
      <c r="I68" s="255">
        <f>SUMIFS(Пр.13!L$10:L$1305,Пр.13!$D$10:$D$1305,C68)</f>
        <v>0</v>
      </c>
    </row>
    <row r="69" spans="2:9" ht="42.75" hidden="1" customHeight="1" thickBot="1" x14ac:dyDescent="0.25">
      <c r="B69" s="276" t="str">
        <f>IF(C69&gt;0,VLOOKUP(C69,Программа!A$2:B$5100,2))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9" s="277" t="s">
        <v>858</v>
      </c>
      <c r="D69" s="278">
        <f>SUMIFS(Пр.13!G$10:G$1305,Пр.13!$D$10:$D$1305,C69)</f>
        <v>0</v>
      </c>
      <c r="E69" s="279">
        <f>SUMIFS(Пр.13!H$10:H$1305,Пр.13!$D$10:$D$1305,C69)</f>
        <v>0</v>
      </c>
      <c r="F69" s="255">
        <f>SUMIFS(Пр.13!I$10:I$1305,Пр.13!$D$10:$D$1305,C69)</f>
        <v>0</v>
      </c>
      <c r="G69" s="255">
        <f>SUMIFS(Пр.13!J$10:J$1305,Пр.13!$D$10:$D$1305,C69)</f>
        <v>0</v>
      </c>
      <c r="H69" s="255">
        <f>SUMIFS(Пр.13!K$10:K$1305,Пр.13!$D$10:$D$1305,C69)</f>
        <v>0</v>
      </c>
      <c r="I69" s="255">
        <f>SUMIFS(Пр.13!L$10:L$1305,Пр.13!$D$10:$D$1305,C69)</f>
        <v>0</v>
      </c>
    </row>
    <row r="70" spans="2:9" ht="48" thickBot="1" x14ac:dyDescent="0.25">
      <c r="B70" s="252" t="str">
        <f>IF(C70&gt;0,VLOOKUP(C70,Программа!A$2:B$5100,2))</f>
        <v>Муниципальная программа "Развитие дорожного хозяйства и транспорта в Тутаевском муниципальном районе"</v>
      </c>
      <c r="C70" s="253" t="s">
        <v>869</v>
      </c>
      <c r="D70" s="254">
        <f>SUMIFS(Пр.13!G$10:G$1305,Пр.13!$D$10:$D$1305,C70)</f>
        <v>11835090</v>
      </c>
      <c r="E70" s="255">
        <f>SUMIFS(Пр.13!H$10:H$1305,Пр.13!$D$10:$D$1305,C70)</f>
        <v>0</v>
      </c>
      <c r="F70" s="255">
        <f>SUMIFS(Пр.13!I$10:I$1305,Пр.13!$D$10:$D$1305,C70)</f>
        <v>11835090</v>
      </c>
      <c r="G70" s="255">
        <f>SUMIFS(Пр.13!J$10:J$1305,Пр.13!$D$10:$D$1305,C70)</f>
        <v>24472240</v>
      </c>
      <c r="H70" s="255">
        <f>SUMIFS(Пр.13!K$10:K$1305,Пр.13!$D$10:$D$1305,C70)</f>
        <v>0</v>
      </c>
      <c r="I70" s="255">
        <f>SUMIFS(Пр.13!L$10:L$1305,Пр.13!$D$10:$D$1305,C70)</f>
        <v>24472240</v>
      </c>
    </row>
    <row r="71" spans="2:9" ht="48" thickBot="1" x14ac:dyDescent="0.25">
      <c r="B71" s="257" t="str">
        <f>IF(C71&gt;0,VLOOKUP(C71,Программа!A$2:B$5100,2))</f>
        <v>Муниципальная целевая программа «Повышение безопасности дорожного движения на территории Тутаевского муниципального района»</v>
      </c>
      <c r="C71" s="275" t="s">
        <v>871</v>
      </c>
      <c r="D71" s="259">
        <f>SUMIFS(Пр.13!G$10:G$1305,Пр.13!$D$10:$D$1305,C71)</f>
        <v>300000</v>
      </c>
      <c r="E71" s="260">
        <f>SUMIFS(Пр.13!H$10:H$1305,Пр.13!$D$10:$D$1305,C71)</f>
        <v>0</v>
      </c>
      <c r="F71" s="627">
        <f>SUMIFS(Пр.13!I$10:I$1305,Пр.13!$D$10:$D$1305,C71)</f>
        <v>300000</v>
      </c>
      <c r="G71" s="627">
        <f>SUMIFS(Пр.13!J$10:J$1305,Пр.13!$D$10:$D$1305,C71)</f>
        <v>300000</v>
      </c>
      <c r="H71" s="627">
        <f>SUMIFS(Пр.13!K$10:K$1305,Пр.13!$D$10:$D$1305,C71)</f>
        <v>0</v>
      </c>
      <c r="I71" s="627">
        <f>SUMIFS(Пр.13!L$10:L$1305,Пр.13!$D$10:$D$1305,C71)</f>
        <v>300000</v>
      </c>
    </row>
    <row r="72" spans="2:9" ht="32.25" thickBot="1" x14ac:dyDescent="0.25">
      <c r="B72" s="261" t="str">
        <f>IF(C72&gt;0,VLOOKUP(C72,Программа!A$2:B$5100,2))</f>
        <v>Повышение безопасности дорожного движения на автомобильных дорогах</v>
      </c>
      <c r="C72" s="174" t="s">
        <v>873</v>
      </c>
      <c r="D72" s="262">
        <f>SUMIFS(Пр.13!G$10:G$1305,Пр.13!$D$10:$D$1305,C72)</f>
        <v>300000</v>
      </c>
      <c r="E72" s="263">
        <f>SUMIFS(Пр.13!H$10:H$1305,Пр.13!$D$10:$D$1305,C72)</f>
        <v>0</v>
      </c>
      <c r="F72" s="627">
        <f>SUMIFS(Пр.13!I$10:I$1305,Пр.13!$D$10:$D$1305,C72)</f>
        <v>300000</v>
      </c>
      <c r="G72" s="627">
        <f>SUMIFS(Пр.13!J$10:J$1305,Пр.13!$D$10:$D$1305,C72)</f>
        <v>300000</v>
      </c>
      <c r="H72" s="627">
        <f>SUMIFS(Пр.13!K$10:K$1305,Пр.13!$D$10:$D$1305,C72)</f>
        <v>0</v>
      </c>
      <c r="I72" s="627">
        <f>SUMIFS(Пр.13!L$10:L$1305,Пр.13!$D$10:$D$1305,C72)</f>
        <v>300000</v>
      </c>
    </row>
    <row r="73" spans="2:9" ht="48" thickBot="1" x14ac:dyDescent="0.25">
      <c r="B73" s="264" t="str">
        <f>IF(C73&gt;0,VLOOKUP(C73,Программа!A$2:B$5100,2))</f>
        <v>Муниципальная целевая программа «Сохранность автомобильных дорог общего пользования Тутаевского муниципального района»</v>
      </c>
      <c r="C73" s="265" t="s">
        <v>876</v>
      </c>
      <c r="D73" s="266">
        <f>SUMIFS(Пр.13!G$10:G$1305,Пр.13!$D$10:$D$1305,C73)</f>
        <v>11535090</v>
      </c>
      <c r="E73" s="267">
        <f>SUMIFS(Пр.13!H$10:H$1305,Пр.13!$D$10:$D$1305,C73)</f>
        <v>0</v>
      </c>
      <c r="F73" s="627">
        <f>SUMIFS(Пр.13!I$10:I$1305,Пр.13!$D$10:$D$1305,C73)</f>
        <v>11535090</v>
      </c>
      <c r="G73" s="627">
        <f>SUMIFS(Пр.13!J$10:J$1305,Пр.13!$D$10:$D$1305,C73)</f>
        <v>24172240</v>
      </c>
      <c r="H73" s="627">
        <f>SUMIFS(Пр.13!K$10:K$1305,Пр.13!$D$10:$D$1305,C73)</f>
        <v>0</v>
      </c>
      <c r="I73" s="627">
        <f>SUMIFS(Пр.13!L$10:L$1305,Пр.13!$D$10:$D$1305,C73)</f>
        <v>24172240</v>
      </c>
    </row>
    <row r="74" spans="2:9" ht="32.25" thickBot="1" x14ac:dyDescent="0.25">
      <c r="B74" s="271" t="str">
        <f>IF(C74&gt;0,VLOOKUP(C74,Программа!A$2:B$5100,2))</f>
        <v>Приведение  в нормативное состояние автомобильных дорог общего пользования</v>
      </c>
      <c r="C74" s="272" t="s">
        <v>878</v>
      </c>
      <c r="D74" s="273">
        <f>SUMIFS(Пр.13!G$10:G$1305,Пр.13!$D$10:$D$1305,C74)</f>
        <v>11535090</v>
      </c>
      <c r="E74" s="274">
        <f>SUMIFS(Пр.13!H$10:H$1305,Пр.13!$D$10:$D$1305,C74)</f>
        <v>0</v>
      </c>
      <c r="F74" s="627">
        <f>SUMIFS(Пр.13!I$10:I$1305,Пр.13!$D$10:$D$1305,C74)</f>
        <v>11535090</v>
      </c>
      <c r="G74" s="627">
        <f>SUMIFS(Пр.13!J$10:J$1305,Пр.13!$D$10:$D$1305,C74)</f>
        <v>24172240</v>
      </c>
      <c r="H74" s="627">
        <f>SUMIFS(Пр.13!K$10:K$1305,Пр.13!$D$10:$D$1305,C74)</f>
        <v>0</v>
      </c>
      <c r="I74" s="627">
        <f>SUMIFS(Пр.13!L$10:L$1305,Пр.13!$D$10:$D$1305,C74)</f>
        <v>24172240</v>
      </c>
    </row>
    <row r="75" spans="2:9" ht="48" hidden="1" thickBot="1" x14ac:dyDescent="0.25">
      <c r="B75" s="252" t="str">
        <f>IF(C75&gt;0,VLOOKUP(C75,Программа!A$2:B$5100,2))</f>
        <v>Муниципальная программа "Стимулирование развития жилищного строительства в Тутаевском муниципальном  районе Ярославской области"</v>
      </c>
      <c r="C75" s="253" t="s">
        <v>930</v>
      </c>
      <c r="D75" s="254">
        <f>SUMIFS(Пр.13!G$10:G$1305,Пр.13!$D$10:$D$1305,C75)</f>
        <v>0</v>
      </c>
      <c r="E75" s="255">
        <f>SUMIFS(Пр.13!H$10:H$1305,Пр.13!$D$10:$D$1305,C75)</f>
        <v>0</v>
      </c>
      <c r="F75" s="255">
        <f>SUMIFS(Пр.13!I$10:I$1305,Пр.13!$D$10:$D$1305,C75)</f>
        <v>0</v>
      </c>
      <c r="G75" s="255">
        <f>SUMIFS(Пр.13!J$10:J$1305,Пр.13!$D$10:$D$1305,C75)</f>
        <v>0</v>
      </c>
      <c r="H75" s="255">
        <f>SUMIFS(Пр.13!K$10:K$1305,Пр.13!$D$10:$D$1305,C75)</f>
        <v>0</v>
      </c>
      <c r="I75" s="255">
        <f>SUMIFS(Пр.13!L$10:L$1305,Пр.13!$D$10:$D$1305,C75)</f>
        <v>0</v>
      </c>
    </row>
    <row r="76" spans="2:9" ht="79.5" hidden="1" thickBot="1" x14ac:dyDescent="0.25">
      <c r="B76" s="257" t="str">
        <f>IF(C76&gt;0,VLOOKUP(C76,Программа!A$2:B$5100,2))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6" s="275" t="s">
        <v>932</v>
      </c>
      <c r="D76" s="259">
        <f>SUMIFS(Пр.13!G$10:G$1305,Пр.13!$D$10:$D$1305,C76)</f>
        <v>0</v>
      </c>
      <c r="E76" s="260">
        <f>SUMIFS(Пр.13!H$10:H$1305,Пр.13!$D$10:$D$1305,C76)</f>
        <v>0</v>
      </c>
      <c r="F76" s="255">
        <f>SUMIFS(Пр.13!I$10:I$1305,Пр.13!$D$10:$D$1305,C76)</f>
        <v>0</v>
      </c>
      <c r="G76" s="255">
        <f>SUMIFS(Пр.13!J$10:J$1305,Пр.13!$D$10:$D$1305,C76)</f>
        <v>0</v>
      </c>
      <c r="H76" s="255">
        <f>SUMIFS(Пр.13!K$10:K$1305,Пр.13!$D$10:$D$1305,C76)</f>
        <v>0</v>
      </c>
      <c r="I76" s="255">
        <f>SUMIFS(Пр.13!L$10:L$1305,Пр.13!$D$10:$D$1305,C76)</f>
        <v>0</v>
      </c>
    </row>
    <row r="77" spans="2:9" ht="79.5" hidden="1" thickBot="1" x14ac:dyDescent="0.25">
      <c r="B77" s="261" t="str">
        <f>IF(C77&gt;0,VLOOKUP(C77,Программа!A$2:B$5100,2))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7" s="174" t="s">
        <v>934</v>
      </c>
      <c r="D77" s="262">
        <f>SUMIFS(Пр.13!G$10:G$1305,Пр.13!$D$10:$D$1305,C77)</f>
        <v>0</v>
      </c>
      <c r="E77" s="263">
        <f>SUMIFS(Пр.13!H$10:H$1305,Пр.13!$D$10:$D$1305,C77)</f>
        <v>0</v>
      </c>
      <c r="F77" s="255">
        <f>SUMIFS(Пр.13!I$10:I$1305,Пр.13!$D$10:$D$1305,C77)</f>
        <v>0</v>
      </c>
      <c r="G77" s="255">
        <f>SUMIFS(Пр.13!J$10:J$1305,Пр.13!$D$10:$D$1305,C77)</f>
        <v>0</v>
      </c>
      <c r="H77" s="255">
        <f>SUMIFS(Пр.13!K$10:K$1305,Пр.13!$D$10:$D$1305,C77)</f>
        <v>0</v>
      </c>
      <c r="I77" s="255">
        <f>SUMIFS(Пр.13!L$10:L$1305,Пр.13!$D$10:$D$1305,C77)</f>
        <v>0</v>
      </c>
    </row>
    <row r="78" spans="2:9" ht="48" hidden="1" thickBot="1" x14ac:dyDescent="0.25">
      <c r="B78" s="264" t="str">
        <f>IF(C78&gt;0,VLOOKUP(C78,Программа!A$2:B$5100,2))</f>
        <v>Муниципальная целевая программа "Переселение граждан из аварийного жилищного фонда в Тутаевском муниципальном районе"</v>
      </c>
      <c r="C78" s="265" t="s">
        <v>936</v>
      </c>
      <c r="D78" s="266">
        <f>SUMIFS(Пр.13!G$10:G$1305,Пр.13!$D$10:$D$1305,C78)</f>
        <v>0</v>
      </c>
      <c r="E78" s="267">
        <f>SUMIFS(Пр.13!H$10:H$1305,Пр.13!$D$10:$D$1305,C78)</f>
        <v>0</v>
      </c>
      <c r="F78" s="255">
        <f>SUMIFS(Пр.13!I$10:I$1305,Пр.13!$D$10:$D$1305,C78)</f>
        <v>0</v>
      </c>
      <c r="G78" s="255">
        <f>SUMIFS(Пр.13!J$10:J$1305,Пр.13!$D$10:$D$1305,C78)</f>
        <v>0</v>
      </c>
      <c r="H78" s="255">
        <f>SUMIFS(Пр.13!K$10:K$1305,Пр.13!$D$10:$D$1305,C78)</f>
        <v>0</v>
      </c>
      <c r="I78" s="255">
        <f>SUMIFS(Пр.13!L$10:L$1305,Пр.13!$D$10:$D$1305,C78)</f>
        <v>0</v>
      </c>
    </row>
    <row r="79" spans="2:9" ht="63.75" hidden="1" thickBot="1" x14ac:dyDescent="0.25">
      <c r="B79" s="261" t="str">
        <f>IF(C79&gt;0,VLOOKUP(C79,Программа!A$2:B$5100,2))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9" s="174" t="s">
        <v>938</v>
      </c>
      <c r="D79" s="262">
        <f>SUMIFS(Пр.13!G$10:G$1305,Пр.13!$D$10:$D$1305,C79)</f>
        <v>0</v>
      </c>
      <c r="E79" s="263">
        <f>SUMIFS(Пр.13!H$10:H$1305,Пр.13!$D$10:$D$1305,C79)</f>
        <v>0</v>
      </c>
      <c r="F79" s="255">
        <f>SUMIFS(Пр.13!I$10:I$1305,Пр.13!$D$10:$D$1305,C79)</f>
        <v>0</v>
      </c>
      <c r="G79" s="255">
        <f>SUMIFS(Пр.13!J$10:J$1305,Пр.13!$D$10:$D$1305,C79)</f>
        <v>0</v>
      </c>
      <c r="H79" s="255">
        <f>SUMIFS(Пр.13!K$10:K$1305,Пр.13!$D$10:$D$1305,C79)</f>
        <v>0</v>
      </c>
      <c r="I79" s="255">
        <f>SUMIFS(Пр.13!L$10:L$1305,Пр.13!$D$10:$D$1305,C79)</f>
        <v>0</v>
      </c>
    </row>
    <row r="80" spans="2:9" ht="79.5" hidden="1" thickBot="1" x14ac:dyDescent="0.25">
      <c r="B80" s="264" t="str">
        <f>IF(C80&gt;0,VLOOKUP(C80,Программа!A$2:B$5100,2))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80" s="265" t="s">
        <v>940</v>
      </c>
      <c r="D80" s="266">
        <f>SUMIFS(Пр.13!G$10:G$1305,Пр.13!$D$10:$D$1305,C80)</f>
        <v>0</v>
      </c>
      <c r="E80" s="267">
        <f>SUMIFS(Пр.13!H$10:H$1305,Пр.13!$D$10:$D$1305,C80)</f>
        <v>0</v>
      </c>
      <c r="F80" s="255">
        <f>SUMIFS(Пр.13!I$10:I$1305,Пр.13!$D$10:$D$1305,C80)</f>
        <v>0</v>
      </c>
      <c r="G80" s="255">
        <f>SUMIFS(Пр.13!J$10:J$1305,Пр.13!$D$10:$D$1305,C80)</f>
        <v>0</v>
      </c>
      <c r="H80" s="255">
        <f>SUMIFS(Пр.13!K$10:K$1305,Пр.13!$D$10:$D$1305,C80)</f>
        <v>0</v>
      </c>
      <c r="I80" s="255">
        <f>SUMIFS(Пр.13!L$10:L$1305,Пр.13!$D$10:$D$1305,C80)</f>
        <v>0</v>
      </c>
    </row>
    <row r="81" spans="2:9" ht="63.75" hidden="1" thickBot="1" x14ac:dyDescent="0.25">
      <c r="B81" s="261" t="str">
        <f>IF(C81&gt;0,VLOOKUP(C81,Программа!A$2:B$5100,2))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81" s="174" t="s">
        <v>942</v>
      </c>
      <c r="D81" s="262">
        <f>SUMIFS(Пр.13!G$10:G$1305,Пр.13!$D$10:$D$1305,C81)</f>
        <v>0</v>
      </c>
      <c r="E81" s="263">
        <f>SUMIFS(Пр.13!H$10:H$1305,Пр.13!$D$10:$D$1305,C81)</f>
        <v>0</v>
      </c>
      <c r="F81" s="255">
        <f>SUMIFS(Пр.13!I$10:I$1305,Пр.13!$D$10:$D$1305,C81)</f>
        <v>0</v>
      </c>
      <c r="G81" s="255">
        <f>SUMIFS(Пр.13!J$10:J$1305,Пр.13!$D$10:$D$1305,C81)</f>
        <v>0</v>
      </c>
      <c r="H81" s="255">
        <f>SUMIFS(Пр.13!K$10:K$1305,Пр.13!$D$10:$D$1305,C81)</f>
        <v>0</v>
      </c>
      <c r="I81" s="255">
        <f>SUMIFS(Пр.13!L$10:L$1305,Пр.13!$D$10:$D$1305,C81)</f>
        <v>0</v>
      </c>
    </row>
    <row r="82" spans="2:9" ht="48" hidden="1" thickBot="1" x14ac:dyDescent="0.25">
      <c r="B82" s="264" t="str">
        <f>IF(C82&gt;0,VLOOKUP(C82,Программа!A$2:B$5100,2))</f>
        <v>Муниципальная целевая программа "Предоставление молодым семьям социальных выплат на приобретение(строительство) жилья"</v>
      </c>
      <c r="C82" s="265" t="s">
        <v>944</v>
      </c>
      <c r="D82" s="266">
        <f>SUMIFS(Пр.13!G$10:G$1305,Пр.13!$D$10:$D$1305,C82)</f>
        <v>0</v>
      </c>
      <c r="E82" s="267">
        <f>SUMIFS(Пр.13!H$10:H$1305,Пр.13!$D$10:$D$1305,C82)</f>
        <v>0</v>
      </c>
      <c r="F82" s="255">
        <f>SUMIFS(Пр.13!I$10:I$1305,Пр.13!$D$10:$D$1305,C82)</f>
        <v>0</v>
      </c>
      <c r="G82" s="255">
        <f>SUMIFS(Пр.13!J$10:J$1305,Пр.13!$D$10:$D$1305,C82)</f>
        <v>0</v>
      </c>
      <c r="H82" s="255">
        <f>SUMIFS(Пр.13!K$10:K$1305,Пр.13!$D$10:$D$1305,C82)</f>
        <v>0</v>
      </c>
      <c r="I82" s="255">
        <f>SUMIFS(Пр.13!L$10:L$1305,Пр.13!$D$10:$D$1305,C82)</f>
        <v>0</v>
      </c>
    </row>
    <row r="83" spans="2:9" ht="32.25" hidden="1" thickBot="1" x14ac:dyDescent="0.25">
      <c r="B83" s="271" t="str">
        <f>IF(C83&gt;0,VLOOKUP(C83,Программа!A$2:B$5100,2))</f>
        <v>Создание условий для поддержки  молодых семей в приобретении (строительстве) жилья</v>
      </c>
      <c r="C83" s="272" t="s">
        <v>946</v>
      </c>
      <c r="D83" s="273">
        <f>SUMIFS(Пр.13!G$10:G$1305,Пр.13!$D$10:$D$1305,C83)</f>
        <v>0</v>
      </c>
      <c r="E83" s="274">
        <f>SUMIFS(Пр.13!H$10:H$1305,Пр.13!$D$10:$D$1305,C83)</f>
        <v>0</v>
      </c>
      <c r="F83" s="255">
        <f>SUMIFS(Пр.13!I$10:I$1305,Пр.13!$D$10:$D$1305,C83)</f>
        <v>0</v>
      </c>
      <c r="G83" s="255">
        <f>SUMIFS(Пр.13!J$10:J$1305,Пр.13!$D$10:$D$1305,C83)</f>
        <v>0</v>
      </c>
      <c r="H83" s="255">
        <f>SUMIFS(Пр.13!K$10:K$1305,Пр.13!$D$10:$D$1305,C83)</f>
        <v>0</v>
      </c>
      <c r="I83" s="255">
        <f>SUMIFS(Пр.13!L$10:L$1305,Пр.13!$D$10:$D$1305,C83)</f>
        <v>0</v>
      </c>
    </row>
    <row r="84" spans="2:9" ht="63.75" thickBot="1" x14ac:dyDescent="0.25">
      <c r="B84" s="252" t="str">
        <f>IF(C84&gt;0,VLOOKUP(C84,Программа!A$2:B$5100,2))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4" s="253" t="s">
        <v>655</v>
      </c>
      <c r="D84" s="254">
        <f>SUMIFS(Пр.13!G$10:G$1305,Пр.13!$D$10:$D$1305,C84)</f>
        <v>5100</v>
      </c>
      <c r="E84" s="255">
        <f>SUMIFS(Пр.13!H$10:H$1305,Пр.13!$D$10:$D$1305,C84)</f>
        <v>0</v>
      </c>
      <c r="F84" s="255">
        <f>SUMIFS(Пр.13!I$10:I$1305,Пр.13!$D$10:$D$1305,C84)</f>
        <v>5100</v>
      </c>
      <c r="G84" s="255">
        <f>SUMIFS(Пр.13!J$10:J$1305,Пр.13!$D$10:$D$1305,C84)</f>
        <v>5100</v>
      </c>
      <c r="H84" s="255">
        <f>SUMIFS(Пр.13!K$10:K$1305,Пр.13!$D$10:$D$1305,C84)</f>
        <v>0</v>
      </c>
      <c r="I84" s="255">
        <f>SUMIFS(Пр.13!L$10:L$1305,Пр.13!$D$10:$D$1305,C84)</f>
        <v>5100</v>
      </c>
    </row>
    <row r="85" spans="2:9" ht="48" hidden="1" thickBot="1" x14ac:dyDescent="0.25">
      <c r="B85" s="257" t="str">
        <f>IF(C85&gt;0,VLOOKUP(C85,Программа!A$2:B$5100,2))</f>
        <v>Муниципальная целевая программа «Развитие субъектов малого и среднего предпринимательства Тутаевского муниципального района»</v>
      </c>
      <c r="C85" s="275" t="s">
        <v>666</v>
      </c>
      <c r="D85" s="259">
        <f>SUMIFS(Пр.13!G$10:G$1305,Пр.13!$D$10:$D$1305,C85)</f>
        <v>0</v>
      </c>
      <c r="E85" s="260">
        <f>SUMIFS(Пр.13!H$10:H$1305,Пр.13!$D$10:$D$1305,C85)</f>
        <v>0</v>
      </c>
      <c r="F85" s="255">
        <f>SUMIFS(Пр.13!I$10:I$1305,Пр.13!$D$10:$D$1305,C85)</f>
        <v>0</v>
      </c>
      <c r="G85" s="255">
        <f>SUMIFS(Пр.13!J$10:J$1305,Пр.13!$D$10:$D$1305,C85)</f>
        <v>0</v>
      </c>
      <c r="H85" s="255">
        <f>SUMIFS(Пр.13!K$10:K$1305,Пр.13!$D$10:$D$1305,C85)</f>
        <v>0</v>
      </c>
      <c r="I85" s="255">
        <f>SUMIFS(Пр.13!L$10:L$1305,Пр.13!$D$10:$D$1305,C85)</f>
        <v>0</v>
      </c>
    </row>
    <row r="86" spans="2:9" ht="63.75" hidden="1" thickBot="1" x14ac:dyDescent="0.25">
      <c r="B86" s="261" t="str">
        <f>IF(C86&gt;0,VLOOKUP(C86,Программа!A$2:B$5100,2))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6" s="174" t="s">
        <v>668</v>
      </c>
      <c r="D86" s="262">
        <f>SUMIFS(Пр.13!G$10:G$1305,Пр.13!$D$10:$D$1305,C86)</f>
        <v>0</v>
      </c>
      <c r="E86" s="263">
        <f>SUMIFS(Пр.13!H$10:H$1305,Пр.13!$D$10:$D$1305,C86)</f>
        <v>0</v>
      </c>
      <c r="F86" s="255">
        <f>SUMIFS(Пр.13!I$10:I$1305,Пр.13!$D$10:$D$1305,C86)</f>
        <v>0</v>
      </c>
      <c r="G86" s="255">
        <f>SUMIFS(Пр.13!J$10:J$1305,Пр.13!$D$10:$D$1305,C86)</f>
        <v>0</v>
      </c>
      <c r="H86" s="255">
        <f>SUMIFS(Пр.13!K$10:K$1305,Пр.13!$D$10:$D$1305,C86)</f>
        <v>0</v>
      </c>
      <c r="I86" s="255">
        <f>SUMIFS(Пр.13!L$10:L$1305,Пр.13!$D$10:$D$1305,C86)</f>
        <v>0</v>
      </c>
    </row>
    <row r="87" spans="2:9" ht="32.25" hidden="1" thickBot="1" x14ac:dyDescent="0.25">
      <c r="B87" s="261" t="str">
        <f>IF(C87&gt;0,VLOOKUP(C87,Программа!A$2:B$5100,2))</f>
        <v>Развитие системы финансовой поддержки субъектов малого и среднего предпринимательства</v>
      </c>
      <c r="C87" s="174" t="s">
        <v>670</v>
      </c>
      <c r="D87" s="262">
        <f>SUMIFS(Пр.13!G$10:G$1305,Пр.13!$D$10:$D$1305,C87)</f>
        <v>0</v>
      </c>
      <c r="E87" s="263">
        <f>SUMIFS(Пр.13!H$10:H$1305,Пр.13!$D$10:$D$1305,C87)</f>
        <v>0</v>
      </c>
      <c r="F87" s="255">
        <f>SUMIFS(Пр.13!I$10:I$1305,Пр.13!$D$10:$D$1305,C87)</f>
        <v>0</v>
      </c>
      <c r="G87" s="255">
        <f>SUMIFS(Пр.13!J$10:J$1305,Пр.13!$D$10:$D$1305,C87)</f>
        <v>0</v>
      </c>
      <c r="H87" s="255">
        <f>SUMIFS(Пр.13!K$10:K$1305,Пр.13!$D$10:$D$1305,C87)</f>
        <v>0</v>
      </c>
      <c r="I87" s="255">
        <f>SUMIFS(Пр.13!L$10:L$1305,Пр.13!$D$10:$D$1305,C87)</f>
        <v>0</v>
      </c>
    </row>
    <row r="88" spans="2:9" ht="48" hidden="1" thickBot="1" x14ac:dyDescent="0.25">
      <c r="B88" s="264" t="str">
        <f>IF(C88&gt;0,VLOOKUP(C88,Программа!A$2:B$5100,2))</f>
        <v>Муниципальная целевая программа "Развитие потребительского рынка Тутаевского муниципального района "</v>
      </c>
      <c r="C88" s="265" t="s">
        <v>672</v>
      </c>
      <c r="D88" s="266">
        <f>SUMIFS(Пр.13!G$10:G$1305,Пр.13!$D$10:$D$1305,C88)</f>
        <v>0</v>
      </c>
      <c r="E88" s="267">
        <f>SUMIFS(Пр.13!H$10:H$1305,Пр.13!$D$10:$D$1305,C88)</f>
        <v>0</v>
      </c>
      <c r="F88" s="255">
        <f>SUMIFS(Пр.13!I$10:I$1305,Пр.13!$D$10:$D$1305,C88)</f>
        <v>0</v>
      </c>
      <c r="G88" s="255">
        <f>SUMIFS(Пр.13!J$10:J$1305,Пр.13!$D$10:$D$1305,C88)</f>
        <v>0</v>
      </c>
      <c r="H88" s="255">
        <f>SUMIFS(Пр.13!K$10:K$1305,Пр.13!$D$10:$D$1305,C88)</f>
        <v>0</v>
      </c>
      <c r="I88" s="255">
        <f>SUMIFS(Пр.13!L$10:L$1305,Пр.13!$D$10:$D$1305,C88)</f>
        <v>0</v>
      </c>
    </row>
    <row r="89" spans="2:9" ht="48" hidden="1" thickBot="1" x14ac:dyDescent="0.25">
      <c r="B89" s="261" t="str">
        <f>IF(C89&gt;0,VLOOKUP(C89,Программа!A$2:B$5100,2))</f>
        <v>Обеспечение доступности товаров для сельского населения путем оказания государственной поддержки</v>
      </c>
      <c r="C89" s="174" t="s">
        <v>674</v>
      </c>
      <c r="D89" s="262">
        <f>SUMIFS(Пр.13!G$10:G$1305,Пр.13!$D$10:$D$1305,C89)</f>
        <v>0</v>
      </c>
      <c r="E89" s="263">
        <f>SUMIFS(Пр.13!H$10:H$1305,Пр.13!$D$10:$D$1305,C89)</f>
        <v>0</v>
      </c>
      <c r="F89" s="255">
        <f>SUMIFS(Пр.13!I$10:I$1305,Пр.13!$D$10:$D$1305,C89)</f>
        <v>0</v>
      </c>
      <c r="G89" s="255">
        <f>SUMIFS(Пр.13!J$10:J$1305,Пр.13!$D$10:$D$1305,C89)</f>
        <v>0</v>
      </c>
      <c r="H89" s="255">
        <f>SUMIFS(Пр.13!K$10:K$1305,Пр.13!$D$10:$D$1305,C89)</f>
        <v>0</v>
      </c>
      <c r="I89" s="255">
        <f>SUMIFS(Пр.13!L$10:L$1305,Пр.13!$D$10:$D$1305,C89)</f>
        <v>0</v>
      </c>
    </row>
    <row r="90" spans="2:9" ht="48" thickBot="1" x14ac:dyDescent="0.25">
      <c r="B90" s="264" t="str">
        <f>IF(C90&gt;0,VLOOKUP(C90,Программа!A$2:B$5100,2))</f>
        <v>Муниципальная целевая программа "Развитие агропромышленного комплекса и сельских территорий Тутаевского муниципального района"</v>
      </c>
      <c r="C90" s="265" t="s">
        <v>657</v>
      </c>
      <c r="D90" s="266">
        <f>SUMIFS(Пр.13!G$10:G$1305,Пр.13!$D$10:$D$1305,C90)</f>
        <v>5100</v>
      </c>
      <c r="E90" s="267">
        <f>SUMIFS(Пр.13!H$10:H$1305,Пр.13!$D$10:$D$1305,C90)</f>
        <v>0</v>
      </c>
      <c r="F90" s="627">
        <f>SUMIFS(Пр.13!I$10:I$1305,Пр.13!$D$10:$D$1305,C90)</f>
        <v>5100</v>
      </c>
      <c r="G90" s="627">
        <f>SUMIFS(Пр.13!J$10:J$1305,Пр.13!$D$10:$D$1305,C90)</f>
        <v>5100</v>
      </c>
      <c r="H90" s="627">
        <f>SUMIFS(Пр.13!K$10:K$1305,Пр.13!$D$10:$D$1305,C90)</f>
        <v>0</v>
      </c>
      <c r="I90" s="627">
        <f>SUMIFS(Пр.13!L$10:L$1305,Пр.13!$D$10:$D$1305,C90)</f>
        <v>5100</v>
      </c>
    </row>
    <row r="91" spans="2:9" ht="48" thickBot="1" x14ac:dyDescent="0.25">
      <c r="B91" s="261" t="str">
        <f>IF(C91&gt;0,VLOOKUP(C91,Программа!A$2:B$5100,2))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91" s="174" t="s">
        <v>659</v>
      </c>
      <c r="D91" s="262">
        <f>SUMIFS(Пр.13!G$10:G$1305,Пр.13!$D$10:$D$1305,C91)</f>
        <v>5100</v>
      </c>
      <c r="E91" s="263">
        <f>SUMIFS(Пр.13!H$10:H$1305,Пр.13!$D$10:$D$1305,C91)</f>
        <v>0</v>
      </c>
      <c r="F91" s="627">
        <f>SUMIFS(Пр.13!I$10:I$1305,Пр.13!$D$10:$D$1305,C91)</f>
        <v>5100</v>
      </c>
      <c r="G91" s="627">
        <f>SUMIFS(Пр.13!J$10:J$1305,Пр.13!$D$10:$D$1305,C91)</f>
        <v>5100</v>
      </c>
      <c r="H91" s="627">
        <f>SUMIFS(Пр.13!K$10:K$1305,Пр.13!$D$10:$D$1305,C91)</f>
        <v>0</v>
      </c>
      <c r="I91" s="627">
        <f>SUMIFS(Пр.13!L$10:L$1305,Пр.13!$D$10:$D$1305,C91)</f>
        <v>5100</v>
      </c>
    </row>
    <row r="92" spans="2:9" ht="32.25" hidden="1" thickBot="1" x14ac:dyDescent="0.25">
      <c r="B92" s="261" t="str">
        <f>IF(C92&gt;0,VLOOKUP(C92,Программа!A$2:B$5100,2))</f>
        <v xml:space="preserve">Кадровое обеспечение агропромышленного комплекса </v>
      </c>
      <c r="C92" s="174" t="s">
        <v>661</v>
      </c>
      <c r="D92" s="262">
        <f>SUMIFS(Пр.13!G$10:G$1305,Пр.13!$D$10:$D$1305,C92)</f>
        <v>0</v>
      </c>
      <c r="E92" s="263">
        <f>SUMIFS(Пр.13!H$10:H$1305,Пр.13!$D$10:$D$1305,C92)</f>
        <v>0</v>
      </c>
      <c r="F92" s="255">
        <f>SUMIFS(Пр.13!I$10:I$1305,Пр.13!$D$10:$D$1305,C92)</f>
        <v>0</v>
      </c>
      <c r="G92" s="255">
        <f>SUMIFS(Пр.13!J$10:J$1305,Пр.13!$D$10:$D$1305,C92)</f>
        <v>0</v>
      </c>
      <c r="H92" s="255">
        <f>SUMIFS(Пр.13!K$10:K$1305,Пр.13!$D$10:$D$1305,C92)</f>
        <v>0</v>
      </c>
      <c r="I92" s="255">
        <f>SUMIFS(Пр.13!L$10:L$1305,Пр.13!$D$10:$D$1305,C92)</f>
        <v>0</v>
      </c>
    </row>
    <row r="93" spans="2:9" ht="63.75" hidden="1" thickBot="1" x14ac:dyDescent="0.25">
      <c r="B93" s="271" t="str">
        <f>IF(C93&gt;0,VLOOKUP(C93,Программа!A$2:B$5100,2))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3" s="272" t="s">
        <v>664</v>
      </c>
      <c r="D93" s="273">
        <f>SUMIFS(Пр.13!G$10:G$1305,Пр.13!$D$10:$D$1305,C93)</f>
        <v>0</v>
      </c>
      <c r="E93" s="274">
        <f>SUMIFS(Пр.13!H$10:H$1305,Пр.13!$D$10:$D$1305,C93)</f>
        <v>0</v>
      </c>
      <c r="F93" s="255">
        <f>SUMIFS(Пр.13!I$10:I$1305,Пр.13!$D$10:$D$1305,C93)</f>
        <v>0</v>
      </c>
      <c r="G93" s="255">
        <f>SUMIFS(Пр.13!J$10:J$1305,Пр.13!$D$10:$D$1305,C93)</f>
        <v>0</v>
      </c>
      <c r="H93" s="255">
        <f>SUMIFS(Пр.13!K$10:K$1305,Пр.13!$D$10:$D$1305,C93)</f>
        <v>0</v>
      </c>
      <c r="I93" s="255">
        <f>SUMIFS(Пр.13!L$10:L$1305,Пр.13!$D$10:$D$1305,C93)</f>
        <v>0</v>
      </c>
    </row>
    <row r="94" spans="2:9" ht="48" hidden="1" thickBot="1" x14ac:dyDescent="0.25">
      <c r="B94" s="252" t="str">
        <f>IF(C94&gt;0,VLOOKUP(C94,Программа!A$2:B$5100,2))</f>
        <v>Муниципальная программа "Повышение эффективности управления муниципальными финансами"</v>
      </c>
      <c r="C94" s="253" t="s">
        <v>634</v>
      </c>
      <c r="D94" s="254">
        <f>SUMIFS(Пр.13!G$10:G$1305,Пр.13!$D$10:$D$1305,C94)</f>
        <v>0</v>
      </c>
      <c r="E94" s="255">
        <f>SUMIFS(Пр.13!H$10:H$1305,Пр.13!$D$10:$D$1305,C94)</f>
        <v>0</v>
      </c>
      <c r="F94" s="255">
        <f>SUMIFS(Пр.13!I$10:I$1305,Пр.13!$D$10:$D$1305,C94)</f>
        <v>0</v>
      </c>
      <c r="G94" s="255">
        <f>SUMIFS(Пр.13!J$10:J$1305,Пр.13!$D$10:$D$1305,C94)</f>
        <v>0</v>
      </c>
      <c r="H94" s="255">
        <f>SUMIFS(Пр.13!K$10:K$1305,Пр.13!$D$10:$D$1305,C94)</f>
        <v>0</v>
      </c>
      <c r="I94" s="255">
        <f>SUMIFS(Пр.13!L$10:L$1305,Пр.13!$D$10:$D$1305,C94)</f>
        <v>0</v>
      </c>
    </row>
    <row r="95" spans="2:9" s="214" customFormat="1" ht="16.5" hidden="1" thickBot="1" x14ac:dyDescent="0.25">
      <c r="B95" s="257" t="str">
        <f>IF(C95&gt;0,VLOOKUP(C95,Программа!A$2:B$5100,2))</f>
        <v>Совершенствование межбюджетных отношений</v>
      </c>
      <c r="C95" s="275" t="s">
        <v>809</v>
      </c>
      <c r="D95" s="259">
        <f>SUMIFS(Пр.13!G$10:G$1305,Пр.13!$D$10:$D$1305,C95)</f>
        <v>0</v>
      </c>
      <c r="E95" s="260">
        <f>SUMIFS(Пр.13!H$10:H$1305,Пр.13!$D$10:$D$1305,C95)</f>
        <v>0</v>
      </c>
      <c r="F95" s="255">
        <f>SUMIFS(Пр.13!I$10:I$1305,Пр.13!$D$10:$D$1305,C95)</f>
        <v>0</v>
      </c>
      <c r="G95" s="255">
        <f>SUMIFS(Пр.13!J$10:J$1305,Пр.13!$D$10:$D$1305,C95)</f>
        <v>0</v>
      </c>
      <c r="H95" s="255">
        <f>SUMIFS(Пр.13!K$10:K$1305,Пр.13!$D$10:$D$1305,C95)</f>
        <v>0</v>
      </c>
      <c r="I95" s="255">
        <f>SUMIFS(Пр.13!L$10:L$1305,Пр.13!$D$10:$D$1305,C95)</f>
        <v>0</v>
      </c>
    </row>
    <row r="96" spans="2:9" s="214" customFormat="1" ht="32.25" hidden="1" thickBot="1" x14ac:dyDescent="0.25">
      <c r="B96" s="264" t="str">
        <f>IF(C96&gt;0,VLOOKUP(C96,Программа!A$2:B$5100,2))</f>
        <v xml:space="preserve">Повышение эффективности управления муниципальным долгом </v>
      </c>
      <c r="C96" s="265" t="s">
        <v>805</v>
      </c>
      <c r="D96" s="266">
        <f>SUMIFS(Пр.13!G$10:G$1305,Пр.13!$D$10:$D$1305,C96)</f>
        <v>0</v>
      </c>
      <c r="E96" s="267">
        <f>SUMIFS(Пр.13!H$10:H$1305,Пр.13!$D$10:$D$1305,C96)</f>
        <v>0</v>
      </c>
      <c r="F96" s="255">
        <f>SUMIFS(Пр.13!I$10:I$1305,Пр.13!$D$10:$D$1305,C96)</f>
        <v>0</v>
      </c>
      <c r="G96" s="255">
        <f>SUMIFS(Пр.13!J$10:J$1305,Пр.13!$D$10:$D$1305,C96)</f>
        <v>0</v>
      </c>
      <c r="H96" s="255">
        <f>SUMIFS(Пр.13!K$10:K$1305,Пр.13!$D$10:$D$1305,C96)</f>
        <v>0</v>
      </c>
      <c r="I96" s="255">
        <f>SUMIFS(Пр.13!L$10:L$1305,Пр.13!$D$10:$D$1305,C96)</f>
        <v>0</v>
      </c>
    </row>
    <row r="97" spans="2:9" ht="62.25" hidden="1" customHeight="1" thickBot="1" x14ac:dyDescent="0.25">
      <c r="B97" s="264" t="str">
        <f>IF(C97&gt;0,VLOOKUP(C97,Программа!A$2:B$5100,2))</f>
        <v>Ведомственная целевая программа департамента финансов администрации Тутаевского муниципального района</v>
      </c>
      <c r="C97" s="265" t="s">
        <v>797</v>
      </c>
      <c r="D97" s="266">
        <f>SUMIFS(Пр.13!G$10:G$1305,Пр.13!$D$10:$D$1305,C97)</f>
        <v>0</v>
      </c>
      <c r="E97" s="267">
        <f>SUMIFS(Пр.13!H$10:H$1305,Пр.13!$D$10:$D$1305,C97)</f>
        <v>0</v>
      </c>
      <c r="F97" s="255">
        <f>SUMIFS(Пр.13!I$10:I$1305,Пр.13!$D$10:$D$1305,C97)</f>
        <v>0</v>
      </c>
      <c r="G97" s="255">
        <f>SUMIFS(Пр.13!J$10:J$1305,Пр.13!$D$10:$D$1305,C97)</f>
        <v>0</v>
      </c>
      <c r="H97" s="255">
        <f>SUMIFS(Пр.13!K$10:K$1305,Пр.13!$D$10:$D$1305,C97)</f>
        <v>0</v>
      </c>
      <c r="I97" s="255">
        <f>SUMIFS(Пр.13!L$10:L$1305,Пр.13!$D$10:$D$1305,C97)</f>
        <v>0</v>
      </c>
    </row>
    <row r="98" spans="2:9" ht="16.5" hidden="1" thickBot="1" x14ac:dyDescent="0.25">
      <c r="B98" s="261" t="str">
        <f>IF(C98&gt;0,VLOOKUP(C98,Программа!A$2:B$5100,2))</f>
        <v>Обеспечение деятельности финансового органа</v>
      </c>
      <c r="C98" s="174" t="s">
        <v>799</v>
      </c>
      <c r="D98" s="262">
        <f>SUMIFS(Пр.13!G$10:G$1305,Пр.13!$D$10:$D$1305,C98)</f>
        <v>0</v>
      </c>
      <c r="E98" s="263">
        <f>SUMIFS(Пр.13!H$10:H$1305,Пр.13!$D$10:$D$1305,C98)</f>
        <v>0</v>
      </c>
      <c r="F98" s="255">
        <f>SUMIFS(Пр.13!I$10:I$1305,Пр.13!$D$10:$D$1305,C98)</f>
        <v>0</v>
      </c>
      <c r="G98" s="255">
        <f>SUMIFS(Пр.13!J$10:J$1305,Пр.13!$D$10:$D$1305,C98)</f>
        <v>0</v>
      </c>
      <c r="H98" s="255">
        <f>SUMIFS(Пр.13!K$10:K$1305,Пр.13!$D$10:$D$1305,C98)</f>
        <v>0</v>
      </c>
      <c r="I98" s="255">
        <f>SUMIFS(Пр.13!L$10:L$1305,Пр.13!$D$10:$D$1305,C98)</f>
        <v>0</v>
      </c>
    </row>
    <row r="99" spans="2:9" ht="16.5" hidden="1" thickBot="1" x14ac:dyDescent="0.25">
      <c r="B99" s="264" t="str">
        <f>IF(C99&gt;0,VLOOKUP(C99,Программа!A$2:B$5100,2))</f>
        <v>Обеспечение деятельности финансового органа</v>
      </c>
      <c r="C99" s="265" t="s">
        <v>635</v>
      </c>
      <c r="D99" s="266">
        <f>SUMIFS(Пр.13!G$10:G$1305,Пр.13!$D$10:$D$1305,C99)</f>
        <v>0</v>
      </c>
      <c r="E99" s="267">
        <f>SUMIFS(Пр.13!H$10:H$1305,Пр.13!$D$10:$D$1305,C99)</f>
        <v>0</v>
      </c>
      <c r="F99" s="255">
        <f>SUMIFS(Пр.13!I$10:I$1305,Пр.13!$D$10:$D$1305,C99)</f>
        <v>0</v>
      </c>
      <c r="G99" s="255">
        <f>SUMIFS(Пр.13!J$10:J$1305,Пр.13!$D$10:$D$1305,C99)</f>
        <v>0</v>
      </c>
      <c r="H99" s="255">
        <f>SUMIFS(Пр.13!K$10:K$1305,Пр.13!$D$10:$D$1305,C99)</f>
        <v>0</v>
      </c>
      <c r="I99" s="255">
        <f>SUMIFS(Пр.13!L$10:L$1305,Пр.13!$D$10:$D$1305,C99)</f>
        <v>0</v>
      </c>
    </row>
    <row r="100" spans="2:9" ht="16.5" hidden="1" thickBot="1" x14ac:dyDescent="0.25">
      <c r="B100" s="271" t="str">
        <f>IF(C100&gt;0,VLOOKUP(C100,Программа!A$2:B$5100,2))</f>
        <v>Обеспечение деятельности финансового органа</v>
      </c>
      <c r="C100" s="272" t="s">
        <v>636</v>
      </c>
      <c r="D100" s="273">
        <f>SUMIFS(Пр.13!G$10:G$1305,Пр.13!$D$10:$D$1305,C100)</f>
        <v>0</v>
      </c>
      <c r="E100" s="274">
        <f>SUMIFS(Пр.13!H$10:H$1305,Пр.13!$D$10:$D$1305,C100)</f>
        <v>0</v>
      </c>
      <c r="F100" s="255">
        <f>SUMIFS(Пр.13!I$10:I$1305,Пр.13!$D$10:$D$1305,C100)</f>
        <v>0</v>
      </c>
      <c r="G100" s="255">
        <f>SUMIFS(Пр.13!J$10:J$1305,Пр.13!$D$10:$D$1305,C100)</f>
        <v>0</v>
      </c>
      <c r="H100" s="255">
        <f>SUMIFS(Пр.13!K$10:K$1305,Пр.13!$D$10:$D$1305,C100)</f>
        <v>0</v>
      </c>
      <c r="I100" s="255">
        <f>SUMIFS(Пр.13!L$10:L$1305,Пр.13!$D$10:$D$1305,C100)</f>
        <v>0</v>
      </c>
    </row>
    <row r="101" spans="2:9" ht="79.5" hidden="1" thickBot="1" x14ac:dyDescent="0.25">
      <c r="B101" s="252" t="str">
        <f>IF(C101&gt;0,VLOOKUP(C101,Программа!A$2:B$5100,2))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101" s="253" t="s">
        <v>638</v>
      </c>
      <c r="D101" s="254">
        <f>SUMIFS(Пр.13!G$10:G$1305,Пр.13!$D$10:$D$1305,C101)</f>
        <v>0</v>
      </c>
      <c r="E101" s="255">
        <f>SUMIFS(Пр.13!H$10:H$1305,Пр.13!$D$10:$D$1305,C101)</f>
        <v>0</v>
      </c>
      <c r="F101" s="255">
        <f>SUMIFS(Пр.13!I$10:I$1305,Пр.13!$D$10:$D$1305,C101)</f>
        <v>0</v>
      </c>
      <c r="G101" s="255">
        <f>SUMIFS(Пр.13!J$10:J$1305,Пр.13!$D$10:$D$1305,C101)</f>
        <v>0</v>
      </c>
      <c r="H101" s="255">
        <f>SUMIFS(Пр.13!K$10:K$1305,Пр.13!$D$10:$D$1305,C101)</f>
        <v>0</v>
      </c>
      <c r="I101" s="255">
        <f>SUMIFS(Пр.13!L$10:L$1305,Пр.13!$D$10:$D$1305,C101)</f>
        <v>0</v>
      </c>
    </row>
    <row r="102" spans="2:9" ht="48" hidden="1" thickBot="1" x14ac:dyDescent="0.25">
      <c r="B102" s="276" t="str">
        <f>IF(C102&gt;0,VLOOKUP(C102,Программа!A$2:B$5100,2))</f>
        <v xml:space="preserve">Профессиональное развитие  муниципальных служащих и повышение квалификации руководителей муниципальных учреждений </v>
      </c>
      <c r="C102" s="277" t="s">
        <v>639</v>
      </c>
      <c r="D102" s="278">
        <f>SUMIFS(Пр.13!G$10:G$1305,Пр.13!$D$10:$D$1305,C102)</f>
        <v>0</v>
      </c>
      <c r="E102" s="279">
        <f>SUMIFS(Пр.13!H$10:H$1305,Пр.13!$D$10:$D$1305,C102)</f>
        <v>0</v>
      </c>
      <c r="F102" s="255">
        <f>SUMIFS(Пр.13!I$10:I$1305,Пр.13!$D$10:$D$1305,C102)</f>
        <v>0</v>
      </c>
      <c r="G102" s="255">
        <f>SUMIFS(Пр.13!J$10:J$1305,Пр.13!$D$10:$D$1305,C102)</f>
        <v>0</v>
      </c>
      <c r="H102" s="255">
        <f>SUMIFS(Пр.13!K$10:K$1305,Пр.13!$D$10:$D$1305,C102)</f>
        <v>0</v>
      </c>
      <c r="I102" s="255">
        <f>SUMIFS(Пр.13!L$10:L$1305,Пр.13!$D$10:$D$1305,C102)</f>
        <v>0</v>
      </c>
    </row>
    <row r="103" spans="2:9" ht="48" thickBot="1" x14ac:dyDescent="0.25">
      <c r="B103" s="252" t="str">
        <f>IF(C103&gt;0,VLOOKUP(C103,Программа!A$2:B$5100,2))</f>
        <v>Муниципальная программа "Информатизация управленческой деятельности Администрации Тутаевского муниципального района"</v>
      </c>
      <c r="C103" s="253" t="s">
        <v>642</v>
      </c>
      <c r="D103" s="254">
        <f>SUMIFS(Пр.13!G$10:G$1305,Пр.13!$D$10:$D$1305,C103)</f>
        <v>1661800</v>
      </c>
      <c r="E103" s="255">
        <f>SUMIFS(Пр.13!H$10:H$1305,Пр.13!$D$10:$D$1305,C103)</f>
        <v>0</v>
      </c>
      <c r="F103" s="255">
        <f>SUMIFS(Пр.13!I$10:I$1305,Пр.13!$D$10:$D$1305,C103)</f>
        <v>1661800</v>
      </c>
      <c r="G103" s="255">
        <f>SUMIFS(Пр.13!J$10:J$1305,Пр.13!$D$10:$D$1305,C103)</f>
        <v>1461800</v>
      </c>
      <c r="H103" s="255">
        <f>SUMIFS(Пр.13!K$10:K$1305,Пр.13!$D$10:$D$1305,C103)</f>
        <v>0</v>
      </c>
      <c r="I103" s="255">
        <f>SUMIFS(Пр.13!L$10:L$1305,Пр.13!$D$10:$D$1305,C103)</f>
        <v>1461800</v>
      </c>
    </row>
    <row r="104" spans="2:9" ht="32.25" thickBot="1" x14ac:dyDescent="0.25">
      <c r="B104" s="280" t="str">
        <f>IF(C104&gt;0,VLOOKUP(C104,Программа!A$2:B$5100,2))</f>
        <v>Бесперебойное функционирование информационных систем</v>
      </c>
      <c r="C104" s="281" t="s">
        <v>679</v>
      </c>
      <c r="D104" s="282">
        <f>SUMIFS(Пр.13!G$10:G$1305,Пр.13!$D$10:$D$1305,C104)</f>
        <v>1661800</v>
      </c>
      <c r="E104" s="283">
        <f>SUMIFS(Пр.13!H$10:H$1305,Пр.13!$D$10:$D$1305,C104)</f>
        <v>0</v>
      </c>
      <c r="F104" s="627">
        <f>SUMIFS(Пр.13!I$10:I$1305,Пр.13!$D$10:$D$1305,C104)</f>
        <v>1661800</v>
      </c>
      <c r="G104" s="627">
        <f>SUMIFS(Пр.13!J$10:J$1305,Пр.13!$D$10:$D$1305,C104)</f>
        <v>1461800</v>
      </c>
      <c r="H104" s="627">
        <f>SUMIFS(Пр.13!K$10:K$1305,Пр.13!$D$10:$D$1305,C104)</f>
        <v>0</v>
      </c>
      <c r="I104" s="627">
        <f>SUMIFS(Пр.13!L$10:L$1305,Пр.13!$D$10:$D$1305,C104)</f>
        <v>1461800</v>
      </c>
    </row>
    <row r="105" spans="2:9" ht="48" hidden="1" thickBot="1" x14ac:dyDescent="0.25">
      <c r="B105" s="271" t="str">
        <f>IF(C105&gt;0,VLOOKUP(C105,Программа!A$2:B$5100,2))</f>
        <v>Закупка компьютерного оборудования  и оргтехники для бесперебойного обеспечения деятельности органов местного самоуправления</v>
      </c>
      <c r="C105" s="272" t="s">
        <v>644</v>
      </c>
      <c r="D105" s="273">
        <f>SUMIFS(Пр.13!G$10:G$1305,Пр.13!$D$10:$D$1305,C105)</f>
        <v>0</v>
      </c>
      <c r="E105" s="274">
        <f>SUMIFS(Пр.13!H$10:H$1305,Пр.13!$D$10:$D$1305,C105)</f>
        <v>0</v>
      </c>
      <c r="F105" s="255">
        <f>SUMIFS(Пр.13!I$10:I$1305,Пр.13!$D$10:$D$1305,C105)</f>
        <v>0</v>
      </c>
      <c r="G105" s="255">
        <f>SUMIFS(Пр.13!J$10:J$1305,Пр.13!$D$10:$D$1305,C105)</f>
        <v>0</v>
      </c>
      <c r="H105" s="255">
        <f>SUMIFS(Пр.13!K$10:K$1305,Пр.13!$D$10:$D$1305,C105)</f>
        <v>0</v>
      </c>
      <c r="I105" s="255">
        <f>SUMIFS(Пр.13!L$10:L$1305,Пр.13!$D$10:$D$1305,C105)</f>
        <v>0</v>
      </c>
    </row>
    <row r="106" spans="2:9" ht="66.75" hidden="1" customHeight="1" thickBot="1" x14ac:dyDescent="0.25">
      <c r="B106" s="252" t="str">
        <f>IF(C106&gt;0,VLOOKUP(C106,Программа!A$2:B$5100,2))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6" s="253" t="s">
        <v>646</v>
      </c>
      <c r="D106" s="254">
        <f>SUMIFS(Пр.13!G$10:G$1305,Пр.13!$D$10:$D$1305,C106)</f>
        <v>0</v>
      </c>
      <c r="E106" s="255">
        <f>SUMIFS(Пр.13!H$10:H$1305,Пр.13!$D$10:$D$1305,C106)</f>
        <v>0</v>
      </c>
      <c r="F106" s="255">
        <f>SUMIFS(Пр.13!I$10:I$1305,Пр.13!$D$10:$D$1305,C106)</f>
        <v>0</v>
      </c>
      <c r="G106" s="255">
        <f>SUMIFS(Пр.13!J$10:J$1305,Пр.13!$D$10:$D$1305,C106)</f>
        <v>0</v>
      </c>
      <c r="H106" s="255">
        <f>SUMIFS(Пр.13!K$10:K$1305,Пр.13!$D$10:$D$1305,C106)</f>
        <v>0</v>
      </c>
      <c r="I106" s="255">
        <f>SUMIFS(Пр.13!L$10:L$1305,Пр.13!$D$10:$D$1305,C106)</f>
        <v>0</v>
      </c>
    </row>
    <row r="107" spans="2:9" ht="63.75" hidden="1" thickBot="1" x14ac:dyDescent="0.25">
      <c r="B107" s="280" t="str">
        <f>IF(C107&gt;0,VLOOKUP(C107,Программа!A$2:B$5100,2))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7" s="281" t="s">
        <v>647</v>
      </c>
      <c r="D107" s="282">
        <f>SUMIFS(Пр.13!G$10:G$1305,Пр.13!$D$10:$D$1305,C107)</f>
        <v>0</v>
      </c>
      <c r="E107" s="283">
        <f>SUMIFS(Пр.13!H$10:H$1305,Пр.13!$D$10:$D$1305,C107)</f>
        <v>0</v>
      </c>
      <c r="F107" s="255">
        <f>SUMIFS(Пр.13!I$10:I$1305,Пр.13!$D$10:$D$1305,C107)</f>
        <v>0</v>
      </c>
      <c r="G107" s="255">
        <f>SUMIFS(Пр.13!J$10:J$1305,Пр.13!$D$10:$D$1305,C107)</f>
        <v>0</v>
      </c>
      <c r="H107" s="255">
        <f>SUMIFS(Пр.13!K$10:K$1305,Пр.13!$D$10:$D$1305,C107)</f>
        <v>0</v>
      </c>
      <c r="I107" s="255">
        <f>SUMIFS(Пр.13!L$10:L$1305,Пр.13!$D$10:$D$1305,C107)</f>
        <v>0</v>
      </c>
    </row>
    <row r="108" spans="2:9" ht="48" hidden="1" thickBot="1" x14ac:dyDescent="0.25">
      <c r="B108" s="271" t="str">
        <f>IF(C108&gt;0,VLOOKUP(C108,Программа!A$2:B$5100,2))</f>
        <v>Развитие взаимодействия органов местного самоуправления Тутаевского муниципального района, СОНКО и ТОС</v>
      </c>
      <c r="C108" s="272" t="s">
        <v>948</v>
      </c>
      <c r="D108" s="273">
        <f>SUMIFS(Пр.13!G$10:G$1305,Пр.13!$D$10:$D$1305,C108)</f>
        <v>0</v>
      </c>
      <c r="E108" s="274">
        <f>SUMIFS(Пр.13!H$10:H$1305,Пр.13!$D$10:$D$1305,C108)</f>
        <v>0</v>
      </c>
      <c r="F108" s="255">
        <f>SUMIFS(Пр.13!I$10:I$1305,Пр.13!$D$10:$D$1305,C108)</f>
        <v>0</v>
      </c>
      <c r="G108" s="255">
        <f>SUMIFS(Пр.13!J$10:J$1305,Пр.13!$D$10:$D$1305,C108)</f>
        <v>0</v>
      </c>
      <c r="H108" s="255">
        <f>SUMIFS(Пр.13!K$10:K$1305,Пр.13!$D$10:$D$1305,C108)</f>
        <v>0</v>
      </c>
      <c r="I108" s="255">
        <f>SUMIFS(Пр.13!L$10:L$1305,Пр.13!$D$10:$D$1305,C108)</f>
        <v>0</v>
      </c>
    </row>
    <row r="109" spans="2:9" ht="63.75" hidden="1" thickBot="1" x14ac:dyDescent="0.25">
      <c r="B109" s="252" t="str">
        <f>IF(C109&gt;0,VLOOKUP(C109,Программа!A$2:B$5100,2))</f>
        <v>Муниципальная программа "Профилактика правонарушений и усиление борьбы с преступностью в Тутаевском муниципальном районе"</v>
      </c>
      <c r="C109" s="253" t="s">
        <v>748</v>
      </c>
      <c r="D109" s="254">
        <f>SUMIFS(Пр.13!G$10:G$1305,Пр.13!$D$10:$D$1305,C109)</f>
        <v>0</v>
      </c>
      <c r="E109" s="255">
        <f>SUMIFS(Пр.13!H$10:H$1305,Пр.13!$D$10:$D$1305,C109)</f>
        <v>0</v>
      </c>
      <c r="F109" s="255">
        <f>SUMIFS(Пр.13!I$10:I$1305,Пр.13!$D$10:$D$1305,C109)</f>
        <v>0</v>
      </c>
      <c r="G109" s="255">
        <f>SUMIFS(Пр.13!J$10:J$1305,Пр.13!$D$10:$D$1305,C109)</f>
        <v>0</v>
      </c>
      <c r="H109" s="255">
        <f>SUMIFS(Пр.13!K$10:K$1305,Пр.13!$D$10:$D$1305,C109)</f>
        <v>0</v>
      </c>
      <c r="I109" s="255">
        <f>SUMIFS(Пр.13!L$10:L$1305,Пр.13!$D$10:$D$1305,C109)</f>
        <v>0</v>
      </c>
    </row>
    <row r="110" spans="2:9" ht="32.25" hidden="1" thickBot="1" x14ac:dyDescent="0.25">
      <c r="B110" s="276" t="str">
        <f>IF(C110&gt;0,VLOOKUP(C110,Программа!A$2:B$5100,2))</f>
        <v>Реализация мероприятий по профилактике правонарушений</v>
      </c>
      <c r="C110" s="277" t="s">
        <v>750</v>
      </c>
      <c r="D110" s="278">
        <f>SUMIFS(Пр.13!G$10:G$1305,Пр.13!$D$10:$D$1305,C110)</f>
        <v>0</v>
      </c>
      <c r="E110" s="279">
        <f>SUMIFS(Пр.13!H$10:H$1305,Пр.13!$D$10:$D$1305,C110)</f>
        <v>0</v>
      </c>
      <c r="F110" s="255">
        <f>SUMIFS(Пр.13!I$10:I$1305,Пр.13!$D$10:$D$1305,C110)</f>
        <v>0</v>
      </c>
      <c r="G110" s="255">
        <f>SUMIFS(Пр.13!J$10:J$1305,Пр.13!$D$10:$D$1305,C110)</f>
        <v>0</v>
      </c>
      <c r="H110" s="255">
        <f>SUMIFS(Пр.13!K$10:K$1305,Пр.13!$D$10:$D$1305,C110)</f>
        <v>0</v>
      </c>
      <c r="I110" s="255">
        <f>SUMIFS(Пр.13!L$10:L$1305,Пр.13!$D$10:$D$1305,C110)</f>
        <v>0</v>
      </c>
    </row>
    <row r="111" spans="2:9" ht="45.75" customHeight="1" thickBot="1" x14ac:dyDescent="0.25">
      <c r="B111" s="252" t="str">
        <f>IF(C111&gt;0,VLOOKUP(C111,Программа!A$2:B$5100,2))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11" s="253" t="s">
        <v>861</v>
      </c>
      <c r="D111" s="254">
        <f>SUMIFS(Пр.13!G$10:G$1305,Пр.13!$D$10:$D$1305,C111)</f>
        <v>10674000</v>
      </c>
      <c r="E111" s="255">
        <f>SUMIFS(Пр.13!H$10:H$1305,Пр.13!$D$10:$D$1305,C111)</f>
        <v>0</v>
      </c>
      <c r="F111" s="255">
        <f>SUMIFS(Пр.13!I$10:I$1305,Пр.13!$D$10:$D$1305,C111)</f>
        <v>10674000</v>
      </c>
      <c r="G111" s="255">
        <f>SUMIFS(Пр.13!J$10:J$1305,Пр.13!$D$10:$D$1305,C111)</f>
        <v>674000</v>
      </c>
      <c r="H111" s="255">
        <f>SUMIFS(Пр.13!K$10:K$1305,Пр.13!$D$10:$D$1305,C111)</f>
        <v>0</v>
      </c>
      <c r="I111" s="255">
        <f>SUMIFS(Пр.13!L$10:L$1305,Пр.13!$D$10:$D$1305,C111)</f>
        <v>674000</v>
      </c>
    </row>
    <row r="112" spans="2:9" ht="63.75" thickBot="1" x14ac:dyDescent="0.25">
      <c r="B112" s="280" t="str">
        <f>IF(C112&gt;0,VLOOKUP(C112,Программа!A$2:B$5100,2))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2" s="281" t="s">
        <v>863</v>
      </c>
      <c r="D112" s="282">
        <f>SUMIFS(Пр.13!G$10:G$1305,Пр.13!$D$10:$D$1305,C112)</f>
        <v>15000</v>
      </c>
      <c r="E112" s="283">
        <f>SUMIFS(Пр.13!H$10:H$1305,Пр.13!$D$10:$D$1305,C112)</f>
        <v>0</v>
      </c>
      <c r="F112" s="627">
        <f>SUMIFS(Пр.13!I$10:I$1305,Пр.13!$D$10:$D$1305,C112)</f>
        <v>15000</v>
      </c>
      <c r="G112" s="627">
        <f>SUMIFS(Пр.13!J$10:J$1305,Пр.13!$D$10:$D$1305,C112)</f>
        <v>15000</v>
      </c>
      <c r="H112" s="627">
        <f>SUMIFS(Пр.13!K$10:K$1305,Пр.13!$D$10:$D$1305,C112)</f>
        <v>0</v>
      </c>
      <c r="I112" s="627">
        <f>SUMIFS(Пр.13!L$10:L$1305,Пр.13!$D$10:$D$1305,C112)</f>
        <v>15000</v>
      </c>
    </row>
    <row r="113" spans="2:9" ht="63.75" thickBot="1" x14ac:dyDescent="0.25">
      <c r="B113" s="261" t="str">
        <f>IF(C113&gt;0,VLOOKUP(C113,Программа!A$2:B$5100,2))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3" s="174" t="s">
        <v>865</v>
      </c>
      <c r="D113" s="262">
        <f>SUMIFS(Пр.13!G$10:G$1305,Пр.13!$D$10:$D$1305,C113)</f>
        <v>659000</v>
      </c>
      <c r="E113" s="263">
        <f>SUMIFS(Пр.13!H$10:H$1305,Пр.13!$D$10:$D$1305,C113)</f>
        <v>0</v>
      </c>
      <c r="F113" s="627">
        <f>SUMIFS(Пр.13!I$10:I$1305,Пр.13!$D$10:$D$1305,C113)</f>
        <v>659000</v>
      </c>
      <c r="G113" s="627">
        <f>SUMIFS(Пр.13!J$10:J$1305,Пр.13!$D$10:$D$1305,C113)</f>
        <v>659000</v>
      </c>
      <c r="H113" s="627">
        <f>SUMIFS(Пр.13!K$10:K$1305,Пр.13!$D$10:$D$1305,C113)</f>
        <v>0</v>
      </c>
      <c r="I113" s="627">
        <f>SUMIFS(Пр.13!L$10:L$1305,Пр.13!$D$10:$D$1305,C113)</f>
        <v>659000</v>
      </c>
    </row>
    <row r="114" spans="2:9" ht="48" thickBot="1" x14ac:dyDescent="0.3">
      <c r="B114" s="271" t="str">
        <f>IF(C114&gt;0,VLOOKUP(C114,Программа!A$2:B$5100,2))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4" s="284" t="s">
        <v>867</v>
      </c>
      <c r="D114" s="563">
        <f>SUMIFS(Пр.13!G$10:G$1305,Пр.13!$D$10:$D$1305,C114)</f>
        <v>10000000</v>
      </c>
      <c r="E114" s="564">
        <f>SUMIFS(Пр.13!H$10:H$1305,Пр.13!$D$10:$D$1305,C114)</f>
        <v>0</v>
      </c>
      <c r="F114" s="627">
        <f>SUMIFS(Пр.13!I$10:I$1305,Пр.13!$D$10:$D$1305,C114)</f>
        <v>10000000</v>
      </c>
      <c r="G114" s="627">
        <f>SUMIFS(Пр.13!J$10:J$1305,Пр.13!$D$10:$D$1305,C114)</f>
        <v>0</v>
      </c>
      <c r="H114" s="627">
        <f>SUMIFS(Пр.13!K$10:K$1305,Пр.13!$D$10:$D$1305,C114)</f>
        <v>0</v>
      </c>
      <c r="I114" s="627">
        <f>SUMIFS(Пр.13!L$10:L$1305,Пр.13!$D$10:$D$1305,C114)</f>
        <v>0</v>
      </c>
    </row>
    <row r="115" spans="2:9" ht="32.25" hidden="1" thickBot="1" x14ac:dyDescent="0.3">
      <c r="B115" s="252" t="str">
        <f>IF(C115&gt;0,VLOOKUP(C115,Программа!A$2:B$5100,2))</f>
        <v>Муниципальная программа  "Развитие жилищного хозяйства Тутаевского муниципального района"</v>
      </c>
      <c r="C115" s="287" t="s">
        <v>956</v>
      </c>
      <c r="D115" s="288">
        <f>SUMIFS(Пр.13!G$10:G$1305,Пр.13!$D$10:$D$1305,C115)</f>
        <v>0</v>
      </c>
      <c r="E115" s="289">
        <f>SUMIFS(Пр.13!H$10:H$1305,Пр.13!$D$10:$D$1305,C115)</f>
        <v>0</v>
      </c>
      <c r="F115" s="255">
        <f>SUMIFS(Пр.13!I$10:I$1305,Пр.13!$D$10:$D$1305,C115)</f>
        <v>0</v>
      </c>
      <c r="G115" s="255">
        <f>SUMIFS(Пр.13!J$10:J$1305,Пр.13!$D$10:$D$1305,C115)</f>
        <v>0</v>
      </c>
      <c r="H115" s="255">
        <f>SUMIFS(Пр.13!K$10:K$1305,Пр.13!$D$10:$D$1305,C115)</f>
        <v>0</v>
      </c>
      <c r="I115" s="255">
        <f>SUMIFS(Пр.13!L$10:L$1305,Пр.13!$D$10:$D$1305,C115)</f>
        <v>0</v>
      </c>
    </row>
    <row r="116" spans="2:9" ht="63.75" hidden="1" thickBot="1" x14ac:dyDescent="0.3">
      <c r="B116" s="257" t="str">
        <f>IF(C116&gt;0,VLOOKUP(C116,Программа!A$2:B$5100,2))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6" s="290" t="s">
        <v>959</v>
      </c>
      <c r="D116" s="291">
        <f>SUMIFS(Пр.13!G$10:G$1305,Пр.13!$D$10:$D$1305,C116)</f>
        <v>0</v>
      </c>
      <c r="E116" s="292">
        <f>SUMIFS(Пр.13!H$10:H$1305,Пр.13!$D$10:$D$1305,C116)</f>
        <v>0</v>
      </c>
      <c r="F116" s="255">
        <f>SUMIFS(Пр.13!I$10:I$1305,Пр.13!$D$10:$D$1305,C116)</f>
        <v>0</v>
      </c>
      <c r="G116" s="255">
        <f>SUMIFS(Пр.13!J$10:J$1305,Пр.13!$D$10:$D$1305,C116)</f>
        <v>0</v>
      </c>
      <c r="H116" s="255">
        <f>SUMIFS(Пр.13!K$10:K$1305,Пр.13!$D$10:$D$1305,C116)</f>
        <v>0</v>
      </c>
      <c r="I116" s="255">
        <f>SUMIFS(Пр.13!L$10:L$1305,Пр.13!$D$10:$D$1305,C116)</f>
        <v>0</v>
      </c>
    </row>
    <row r="117" spans="2:9" ht="32.25" hidden="1" thickBot="1" x14ac:dyDescent="0.3">
      <c r="B117" s="261" t="str">
        <f>IF(C117&gt;0,VLOOKUP(C117,Программа!A$2:B$5100,2))</f>
        <v>Обеспечение мероприятий по восстановлению лифтового хозяйства многоквартирных домов</v>
      </c>
      <c r="C117" s="293" t="s">
        <v>962</v>
      </c>
      <c r="D117" s="294">
        <f>SUMIFS(Пр.13!G$10:G$1305,Пр.13!$D$10:$D$1305,C117)</f>
        <v>0</v>
      </c>
      <c r="E117" s="295">
        <f>SUMIFS(Пр.13!H$10:H$1305,Пр.13!$D$10:$D$1305,C117)</f>
        <v>0</v>
      </c>
      <c r="F117" s="255">
        <f>SUMIFS(Пр.13!I$10:I$1305,Пр.13!$D$10:$D$1305,C117)</f>
        <v>0</v>
      </c>
      <c r="G117" s="255">
        <f>SUMIFS(Пр.13!J$10:J$1305,Пр.13!$D$10:$D$1305,C117)</f>
        <v>0</v>
      </c>
      <c r="H117" s="255">
        <f>SUMIFS(Пр.13!K$10:K$1305,Пр.13!$D$10:$D$1305,C117)</f>
        <v>0</v>
      </c>
      <c r="I117" s="255">
        <f>SUMIFS(Пр.13!L$10:L$1305,Пр.13!$D$10:$D$1305,C117)</f>
        <v>0</v>
      </c>
    </row>
    <row r="118" spans="2:9" ht="48" hidden="1" thickBot="1" x14ac:dyDescent="0.3">
      <c r="B118" s="264" t="str">
        <f>IF(C118&gt;0,VLOOKUP(C118,Программа!A$2:B$5100,2))</f>
        <v>Муниципальная целевая программа "Ремонт и содержание муниципального жилищного фонда   Тутаевского муниципального района"</v>
      </c>
      <c r="C118" s="296" t="s">
        <v>965</v>
      </c>
      <c r="D118" s="297">
        <f>SUMIFS(Пр.13!G$10:G$1305,Пр.13!$D$10:$D$1305,C118)</f>
        <v>0</v>
      </c>
      <c r="E118" s="298">
        <f>SUMIFS(Пр.13!H$10:H$1305,Пр.13!$D$10:$D$1305,C118)</f>
        <v>0</v>
      </c>
      <c r="F118" s="255">
        <f>SUMIFS(Пр.13!I$10:I$1305,Пр.13!$D$10:$D$1305,C118)</f>
        <v>0</v>
      </c>
      <c r="G118" s="255">
        <f>SUMIFS(Пр.13!J$10:J$1305,Пр.13!$D$10:$D$1305,C118)</f>
        <v>0</v>
      </c>
      <c r="H118" s="255">
        <f>SUMIFS(Пр.13!K$10:K$1305,Пр.13!$D$10:$D$1305,C118)</f>
        <v>0</v>
      </c>
      <c r="I118" s="255">
        <f>SUMIFS(Пр.13!L$10:L$1305,Пр.13!$D$10:$D$1305,C118)</f>
        <v>0</v>
      </c>
    </row>
    <row r="119" spans="2:9" ht="32.25" hidden="1" thickBot="1" x14ac:dyDescent="0.3">
      <c r="B119" s="261" t="str">
        <f>IF(C119&gt;0,VLOOKUP(C119,Программа!A$2:B$5100,2))</f>
        <v>Обеспечение мероприятий по замене приборов учета в муниципальном жилищном фонде</v>
      </c>
      <c r="C119" s="293" t="s">
        <v>967</v>
      </c>
      <c r="D119" s="294">
        <f>SUMIFS(Пр.13!G$10:G$1305,Пр.13!$D$10:$D$1305,C119)</f>
        <v>0</v>
      </c>
      <c r="E119" s="295">
        <f>SUMIFS(Пр.13!H$10:H$1305,Пр.13!$D$10:$D$1305,C119)</f>
        <v>0</v>
      </c>
      <c r="F119" s="255">
        <f>SUMIFS(Пр.13!I$10:I$1305,Пр.13!$D$10:$D$1305,C119)</f>
        <v>0</v>
      </c>
      <c r="G119" s="255">
        <f>SUMIFS(Пр.13!J$10:J$1305,Пр.13!$D$10:$D$1305,C119)</f>
        <v>0</v>
      </c>
      <c r="H119" s="255">
        <f>SUMIFS(Пр.13!K$10:K$1305,Пр.13!$D$10:$D$1305,C119)</f>
        <v>0</v>
      </c>
      <c r="I119" s="255">
        <f>SUMIFS(Пр.13!L$10:L$1305,Пр.13!$D$10:$D$1305,C119)</f>
        <v>0</v>
      </c>
    </row>
    <row r="120" spans="2:9" ht="32.25" hidden="1" thickBot="1" x14ac:dyDescent="0.3">
      <c r="B120" s="261" t="str">
        <f>IF(C120&gt;0,VLOOKUP(C120,Программа!A$2:B$5100,2))</f>
        <v>Обеспечение мероприятий по ремонту общедомового имущества</v>
      </c>
      <c r="C120" s="293" t="s">
        <v>970</v>
      </c>
      <c r="D120" s="294">
        <f>SUMIFS(Пр.13!G$10:G$1305,Пр.13!$D$10:$D$1305,C120)</f>
        <v>0</v>
      </c>
      <c r="E120" s="295">
        <f>SUMIFS(Пр.13!H$10:H$1305,Пр.13!$D$10:$D$1305,C120)</f>
        <v>0</v>
      </c>
      <c r="F120" s="255">
        <f>SUMIFS(Пр.13!I$10:I$1305,Пр.13!$D$10:$D$1305,C120)</f>
        <v>0</v>
      </c>
      <c r="G120" s="255">
        <f>SUMIFS(Пр.13!J$10:J$1305,Пр.13!$D$10:$D$1305,C120)</f>
        <v>0</v>
      </c>
      <c r="H120" s="255">
        <f>SUMIFS(Пр.13!K$10:K$1305,Пр.13!$D$10:$D$1305,C120)</f>
        <v>0</v>
      </c>
      <c r="I120" s="255">
        <f>SUMIFS(Пр.13!L$10:L$1305,Пр.13!$D$10:$D$1305,C120)</f>
        <v>0</v>
      </c>
    </row>
    <row r="121" spans="2:9" ht="32.25" hidden="1" thickBot="1" x14ac:dyDescent="0.3">
      <c r="B121" s="271" t="str">
        <f>IF(C121&gt;0,VLOOKUP(C121,Программа!A$2:B$5100,2))</f>
        <v>Обеспечение мероприятий по ремонту муниципальных квартир</v>
      </c>
      <c r="C121" s="299" t="s">
        <v>971</v>
      </c>
      <c r="D121" s="285">
        <f>SUMIFS(Пр.13!G$10:G$1305,Пр.13!$D$10:$D$1305,C121)</f>
        <v>0</v>
      </c>
      <c r="E121" s="286">
        <f>SUMIFS(Пр.13!H$10:H$1305,Пр.13!$D$10:$D$1305,C121)</f>
        <v>0</v>
      </c>
      <c r="F121" s="255">
        <f>SUMIFS(Пр.13!I$10:I$1305,Пр.13!$D$10:$D$1305,C121)</f>
        <v>0</v>
      </c>
      <c r="G121" s="255">
        <f>SUMIFS(Пр.13!J$10:J$1305,Пр.13!$D$10:$D$1305,C121)</f>
        <v>0</v>
      </c>
      <c r="H121" s="255">
        <f>SUMIFS(Пр.13!K$10:K$1305,Пр.13!$D$10:$D$1305,C121)</f>
        <v>0</v>
      </c>
      <c r="I121" s="255">
        <f>SUMIFS(Пр.13!L$10:L$1305,Пр.13!$D$10:$D$1305,C121)</f>
        <v>0</v>
      </c>
    </row>
    <row r="122" spans="2:9" ht="48" hidden="1" thickBot="1" x14ac:dyDescent="0.3">
      <c r="B122" s="252" t="str">
        <f>IF(C122&gt;0,VLOOKUP(C122,Программа!A$2:B$5100,2))</f>
        <v>Муниципальная программа "Благоустройство  и санитарно-эпидемиологическая безопасность  Тутаевского муниципального района</v>
      </c>
      <c r="C122" s="287" t="s">
        <v>974</v>
      </c>
      <c r="D122" s="288">
        <f>SUMIFS(Пр.13!G$10:G$1305,Пр.13!$D$10:$D$1305,C122)</f>
        <v>0</v>
      </c>
      <c r="E122" s="289">
        <f>SUMIFS(Пр.13!H$10:H$1305,Пр.13!$D$10:$D$1305,C122)</f>
        <v>0</v>
      </c>
      <c r="F122" s="255">
        <f>SUMIFS(Пр.13!I$10:I$1305,Пр.13!$D$10:$D$1305,C122)</f>
        <v>0</v>
      </c>
      <c r="G122" s="255">
        <f>SUMIFS(Пр.13!J$10:J$1305,Пр.13!$D$10:$D$1305,C122)</f>
        <v>0</v>
      </c>
      <c r="H122" s="255">
        <f>SUMIFS(Пр.13!K$10:K$1305,Пр.13!$D$10:$D$1305,C122)</f>
        <v>0</v>
      </c>
      <c r="I122" s="255">
        <f>SUMIFS(Пр.13!L$10:L$1305,Пр.13!$D$10:$D$1305,C122)</f>
        <v>0</v>
      </c>
    </row>
    <row r="123" spans="2:9" ht="48" hidden="1" thickBot="1" x14ac:dyDescent="0.3">
      <c r="B123" s="257" t="str">
        <f>IF(C123&gt;0,VLOOKUP(C123,Программа!A$2:B$5100,2))</f>
        <v>Муниципальная целевая программа "Организация и развитие ритуальных услуг и мест захоронения в Тутаевском муниципальном районе"</v>
      </c>
      <c r="C123" s="290" t="s">
        <v>976</v>
      </c>
      <c r="D123" s="291">
        <f>SUMIFS(Пр.13!G$10:G$1305,Пр.13!$D$10:$D$1305,C123)</f>
        <v>0</v>
      </c>
      <c r="E123" s="292">
        <f>SUMIFS(Пр.13!H$10:H$1305,Пр.13!$D$10:$D$1305,C123)</f>
        <v>0</v>
      </c>
      <c r="F123" s="255">
        <f>SUMIFS(Пр.13!I$10:I$1305,Пр.13!$D$10:$D$1305,C123)</f>
        <v>0</v>
      </c>
      <c r="G123" s="255">
        <f>SUMIFS(Пр.13!J$10:J$1305,Пр.13!$D$10:$D$1305,C123)</f>
        <v>0</v>
      </c>
      <c r="H123" s="255">
        <f>SUMIFS(Пр.13!K$10:K$1305,Пр.13!$D$10:$D$1305,C123)</f>
        <v>0</v>
      </c>
      <c r="I123" s="255">
        <f>SUMIFS(Пр.13!L$10:L$1305,Пр.13!$D$10:$D$1305,C123)</f>
        <v>0</v>
      </c>
    </row>
    <row r="124" spans="2:9" ht="32.25" hidden="1" thickBot="1" x14ac:dyDescent="0.3">
      <c r="B124" s="261" t="str">
        <f>IF(C124&gt;0,VLOOKUP(C124,Программа!A$2:B$5100,2))</f>
        <v>Обеспечение комплекса работ по повышению уровня благоустройства мест погребений</v>
      </c>
      <c r="C124" s="293" t="s">
        <v>978</v>
      </c>
      <c r="D124" s="294">
        <f>SUMIFS(Пр.13!G$10:G$1305,Пр.13!$D$10:$D$1305,C124)</f>
        <v>0</v>
      </c>
      <c r="E124" s="295">
        <f>SUMIFS(Пр.13!H$10:H$1305,Пр.13!$D$10:$D$1305,C124)</f>
        <v>0</v>
      </c>
      <c r="F124" s="255">
        <f>SUMIFS(Пр.13!I$10:I$1305,Пр.13!$D$10:$D$1305,C124)</f>
        <v>0</v>
      </c>
      <c r="G124" s="255">
        <f>SUMIFS(Пр.13!J$10:J$1305,Пр.13!$D$10:$D$1305,C124)</f>
        <v>0</v>
      </c>
      <c r="H124" s="255">
        <f>SUMIFS(Пр.13!K$10:K$1305,Пр.13!$D$10:$D$1305,C124)</f>
        <v>0</v>
      </c>
      <c r="I124" s="255">
        <f>SUMIFS(Пр.13!L$10:L$1305,Пр.13!$D$10:$D$1305,C124)</f>
        <v>0</v>
      </c>
    </row>
    <row r="125" spans="2:9" ht="48" hidden="1" thickBot="1" x14ac:dyDescent="0.3">
      <c r="B125" s="264" t="str">
        <f>IF(C125&gt;0,VLOOKUP(C125,Программа!A$2:B$5100,2))</f>
        <v>Муниципальная целевая программа "Благоустройство и озеленение территории  в Тутаевского муниципального  района"</v>
      </c>
      <c r="C125" s="296" t="s">
        <v>980</v>
      </c>
      <c r="D125" s="297">
        <f>SUMIFS(Пр.13!G$10:G$1305,Пр.13!$D$10:$D$1305,C125)</f>
        <v>0</v>
      </c>
      <c r="E125" s="298">
        <f>SUMIFS(Пр.13!H$10:H$1305,Пр.13!$D$10:$D$1305,C125)</f>
        <v>0</v>
      </c>
      <c r="F125" s="255">
        <f>SUMIFS(Пр.13!I$10:I$1305,Пр.13!$D$10:$D$1305,C125)</f>
        <v>0</v>
      </c>
      <c r="G125" s="255">
        <f>SUMIFS(Пр.13!J$10:J$1305,Пр.13!$D$10:$D$1305,C125)</f>
        <v>0</v>
      </c>
      <c r="H125" s="255">
        <f>SUMIFS(Пр.13!K$10:K$1305,Пр.13!$D$10:$D$1305,C125)</f>
        <v>0</v>
      </c>
      <c r="I125" s="255">
        <f>SUMIFS(Пр.13!L$10:L$1305,Пр.13!$D$10:$D$1305,C125)</f>
        <v>0</v>
      </c>
    </row>
    <row r="126" spans="2:9" ht="48" hidden="1" thickBot="1" x14ac:dyDescent="0.3">
      <c r="B126" s="261" t="str">
        <f>IF(C126&gt;0,VLOOKUP(C126,Программа!A$2:B$5100,2))</f>
        <v>Улучшение уровня внешнего благоустройства и санитарного  состояния территорий Тутаевского муниципального района</v>
      </c>
      <c r="C126" s="293" t="s">
        <v>982</v>
      </c>
      <c r="D126" s="294">
        <f>SUMIFS(Пр.13!G$10:G$1305,Пр.13!$D$10:$D$1305,C126)</f>
        <v>0</v>
      </c>
      <c r="E126" s="295">
        <f>SUMIFS(Пр.13!H$10:H$1305,Пр.13!$D$10:$D$1305,C126)</f>
        <v>0</v>
      </c>
      <c r="F126" s="255">
        <f>SUMIFS(Пр.13!I$10:I$1305,Пр.13!$D$10:$D$1305,C126)</f>
        <v>0</v>
      </c>
      <c r="G126" s="255">
        <f>SUMIFS(Пр.13!J$10:J$1305,Пр.13!$D$10:$D$1305,C126)</f>
        <v>0</v>
      </c>
      <c r="H126" s="255">
        <f>SUMIFS(Пр.13!K$10:K$1305,Пр.13!$D$10:$D$1305,C126)</f>
        <v>0</v>
      </c>
      <c r="I126" s="255">
        <f>SUMIFS(Пр.13!L$10:L$1305,Пр.13!$D$10:$D$1305,C126)</f>
        <v>0</v>
      </c>
    </row>
    <row r="127" spans="2:9" ht="32.25" hidden="1" thickBot="1" x14ac:dyDescent="0.3">
      <c r="B127" s="261" t="str">
        <f>IF(C127&gt;0,VLOOKUP(C127,Программа!A$2:B$5100,2))</f>
        <v xml:space="preserve">Обеспечение мероприятий по совершенствованию  эстетического  состояния территорий </v>
      </c>
      <c r="C127" s="293" t="s">
        <v>984</v>
      </c>
      <c r="D127" s="294">
        <f>SUMIFS(Пр.13!G$10:G$1305,Пр.13!$D$10:$D$1305,C127)</f>
        <v>0</v>
      </c>
      <c r="E127" s="295">
        <f>SUMIFS(Пр.13!H$10:H$1305,Пр.13!$D$10:$D$1305,C127)</f>
        <v>0</v>
      </c>
      <c r="F127" s="255">
        <f>SUMIFS(Пр.13!I$10:I$1305,Пр.13!$D$10:$D$1305,C127)</f>
        <v>0</v>
      </c>
      <c r="G127" s="255">
        <f>SUMIFS(Пр.13!J$10:J$1305,Пр.13!$D$10:$D$1305,C127)</f>
        <v>0</v>
      </c>
      <c r="H127" s="255">
        <f>SUMIFS(Пр.13!K$10:K$1305,Пр.13!$D$10:$D$1305,C127)</f>
        <v>0</v>
      </c>
      <c r="I127" s="255">
        <f>SUMIFS(Пр.13!L$10:L$1305,Пр.13!$D$10:$D$1305,C127)</f>
        <v>0</v>
      </c>
    </row>
    <row r="128" spans="2:9" ht="32.25" hidden="1" thickBot="1" x14ac:dyDescent="0.3">
      <c r="B128" s="271" t="str">
        <f>IF(C128&gt;0,VLOOKUP(C128,Программа!A$2:B$5100,2))</f>
        <v>Обеспечение мероприятий по благоустройству мест массового отдыха населения</v>
      </c>
      <c r="C128" s="299" t="s">
        <v>986</v>
      </c>
      <c r="D128" s="285">
        <f>SUMIFS(Пр.13!G$10:G$1305,Пр.13!$D$10:$D$1305,C128)</f>
        <v>0</v>
      </c>
      <c r="E128" s="286">
        <f>SUMIFS(Пр.13!H$10:H$1305,Пр.13!$D$10:$D$1305,C128)</f>
        <v>0</v>
      </c>
      <c r="F128" s="255">
        <f>SUMIFS(Пр.13!I$10:I$1305,Пр.13!$D$10:$D$1305,C128)</f>
        <v>0</v>
      </c>
      <c r="G128" s="255">
        <f>SUMIFS(Пр.13!J$10:J$1305,Пр.13!$D$10:$D$1305,C128)</f>
        <v>0</v>
      </c>
      <c r="H128" s="255">
        <f>SUMIFS(Пр.13!K$10:K$1305,Пр.13!$D$10:$D$1305,C128)</f>
        <v>0</v>
      </c>
      <c r="I128" s="255">
        <f>SUMIFS(Пр.13!L$10:L$1305,Пр.13!$D$10:$D$1305,C128)</f>
        <v>0</v>
      </c>
    </row>
    <row r="129" spans="2:9" ht="48" hidden="1" thickBot="1" x14ac:dyDescent="0.3">
      <c r="B129" s="252" t="str">
        <f>IF(C129&gt;0,VLOOKUP(C129,Программа!A$2:B$5100,2))</f>
        <v>Муниципальная программа "Обеспечение населения Тутаевского муниципального района банными услугами"</v>
      </c>
      <c r="C129" s="300" t="s">
        <v>988</v>
      </c>
      <c r="D129" s="288">
        <f>SUMIFS(Пр.13!G$10:G$1305,Пр.13!$D$10:$D$1305,C129)</f>
        <v>0</v>
      </c>
      <c r="E129" s="289">
        <f>SUMIFS(Пр.13!H$10:H$1305,Пр.13!$D$10:$D$1305,C129)</f>
        <v>0</v>
      </c>
      <c r="F129" s="255">
        <f>SUMIFS(Пр.13!I$10:I$1305,Пр.13!$D$10:$D$1305,C129)</f>
        <v>0</v>
      </c>
      <c r="G129" s="255">
        <f>SUMIFS(Пр.13!J$10:J$1305,Пр.13!$D$10:$D$1305,C129)</f>
        <v>0</v>
      </c>
      <c r="H129" s="255">
        <f>SUMIFS(Пр.13!K$10:K$1305,Пр.13!$D$10:$D$1305,C129)</f>
        <v>0</v>
      </c>
      <c r="I129" s="255">
        <f>SUMIFS(Пр.13!L$10:L$1305,Пр.13!$D$10:$D$1305,C129)</f>
        <v>0</v>
      </c>
    </row>
    <row r="130" spans="2:9" ht="32.25" hidden="1" thickBot="1" x14ac:dyDescent="0.3">
      <c r="B130" s="276" t="str">
        <f>IF(C130&gt;0,VLOOKUP(C130,Программа!A$2:B$5100,2))</f>
        <v>Обеспечение населения Тутаевского муниципального района банными услугами</v>
      </c>
      <c r="C130" s="301" t="s">
        <v>990</v>
      </c>
      <c r="D130" s="302">
        <f>SUMIFS(Пр.13!G$10:G$1305,Пр.13!$D$10:$D$1305,C130)</f>
        <v>0</v>
      </c>
      <c r="E130" s="303">
        <f>SUMIFS(Пр.13!H$10:H$1305,Пр.13!$D$10:$D$1305,C130)</f>
        <v>0</v>
      </c>
      <c r="F130" s="255">
        <f>SUMIFS(Пр.13!I$10:I$1305,Пр.13!$D$10:$D$1305,C130)</f>
        <v>0</v>
      </c>
      <c r="G130" s="255">
        <f>SUMIFS(Пр.13!J$10:J$1305,Пр.13!$D$10:$D$1305,C130)</f>
        <v>0</v>
      </c>
      <c r="H130" s="255">
        <f>SUMIFS(Пр.13!K$10:K$1305,Пр.13!$D$10:$D$1305,C130)</f>
        <v>0</v>
      </c>
      <c r="I130" s="255">
        <f>SUMIFS(Пр.13!L$10:L$1305,Пр.13!$D$10:$D$1305,C130)</f>
        <v>0</v>
      </c>
    </row>
    <row r="131" spans="2:9" s="211" customFormat="1" ht="48" hidden="1" thickBot="1" x14ac:dyDescent="0.25">
      <c r="B131" s="252" t="str">
        <f>IF(C131&gt;0,VLOOKUP(C131,Программа!A$2:B$5100,2))</f>
        <v>Муниципальная программа "Охрана окружающей среды и рациональное природопользование в Тутаевском муниципальном районе"</v>
      </c>
      <c r="C131" s="533" t="s">
        <v>2914</v>
      </c>
      <c r="D131" s="288">
        <f>SUMIFS(Пр.13!G$10:G$1305,Пр.13!$D$10:$D$1305,C131)</f>
        <v>0</v>
      </c>
      <c r="E131" s="289">
        <f>SUMIFS(Пр.13!H$10:H$1305,Пр.13!$D$10:$D$1305,C131)</f>
        <v>0</v>
      </c>
      <c r="F131" s="255">
        <f>SUMIFS(Пр.13!I$10:I$1305,Пр.13!$D$10:$D$1305,C131)</f>
        <v>0</v>
      </c>
      <c r="G131" s="255">
        <f>SUMIFS(Пр.13!J$10:J$1305,Пр.13!$D$10:$D$1305,C131)</f>
        <v>0</v>
      </c>
      <c r="H131" s="255">
        <f>SUMIFS(Пр.13!K$10:K$1305,Пр.13!$D$10:$D$1305,C131)</f>
        <v>0</v>
      </c>
      <c r="I131" s="255">
        <f>SUMIFS(Пр.13!L$10:L$1305,Пр.13!$D$10:$D$1305,C131)</f>
        <v>0</v>
      </c>
    </row>
    <row r="132" spans="2:9" ht="32.25" hidden="1" thickBot="1" x14ac:dyDescent="0.25">
      <c r="B132" s="534" t="str">
        <f>IF(C132&gt;0,VLOOKUP(C132,Программа!A$2:B$5100,2))</f>
        <v>Развитие водохозяйственного комплекса Тутаевского муниципального района</v>
      </c>
      <c r="C132" s="535" t="s">
        <v>2915</v>
      </c>
      <c r="D132" s="302">
        <f>SUMIFS(Пр.13!G$10:G$1305,Пр.13!$D$10:$D$1305,C132)</f>
        <v>0</v>
      </c>
      <c r="E132" s="302">
        <f>SUMIFS(Пр.13!H$10:H$1305,Пр.13!$D$10:$D$1305,D132)</f>
        <v>0</v>
      </c>
      <c r="F132" s="255">
        <f>SUMIFS(Пр.13!I$10:I$1305,Пр.13!$D$10:$D$1305,C132)</f>
        <v>0</v>
      </c>
      <c r="G132" s="255">
        <f>SUMIFS(Пр.13!J$10:J$1305,Пр.13!$D$10:$D$1305,C132)</f>
        <v>0</v>
      </c>
      <c r="H132" s="255">
        <f>SUMIFS(Пр.13!K$10:K$1305,Пр.13!$D$10:$D$1305,C132)</f>
        <v>0</v>
      </c>
      <c r="I132" s="255">
        <f>SUMIFS(Пр.13!L$10:L$1305,Пр.13!$D$10:$D$1305,C132)</f>
        <v>0</v>
      </c>
    </row>
    <row r="133" spans="2:9" s="211" customFormat="1" ht="48" hidden="1" thickBot="1" x14ac:dyDescent="0.25">
      <c r="B133" s="252" t="str">
        <f>IF(C133&gt;0,VLOOKUP(C133,Программа!A$2:B$5100,2))</f>
        <v>Муниципальная программа "Обеспечение муниципальных закупок в Тутаевском муниципальном районе"</v>
      </c>
      <c r="C133" s="533" t="s">
        <v>2930</v>
      </c>
      <c r="D133" s="288">
        <f>SUMIFS(Пр.13!G$10:G$1305,Пр.13!$D$10:$D$1305,C133)</f>
        <v>0</v>
      </c>
      <c r="E133" s="289">
        <f>SUMIFS(Пр.13!H$10:H$1305,Пр.13!$D$10:$D$1305,C133)</f>
        <v>0</v>
      </c>
      <c r="F133" s="255">
        <f>SUMIFS(Пр.13!I$10:I$1305,Пр.13!$D$10:$D$1305,C133)</f>
        <v>0</v>
      </c>
      <c r="G133" s="255">
        <f>SUMIFS(Пр.13!J$10:J$1305,Пр.13!$D$10:$D$1305,C133)</f>
        <v>0</v>
      </c>
      <c r="H133" s="255">
        <f>SUMIFS(Пр.13!K$10:K$1305,Пр.13!$D$10:$D$1305,C133)</f>
        <v>0</v>
      </c>
      <c r="I133" s="255">
        <f>SUMIFS(Пр.13!L$10:L$1305,Пр.13!$D$10:$D$1305,C133)</f>
        <v>0</v>
      </c>
    </row>
    <row r="134" spans="2:9" ht="48" hidden="1" thickBot="1" x14ac:dyDescent="0.25">
      <c r="B134" s="530" t="str">
        <f>IF(C134&gt;0,VLOOKUP(C134,Программа!A$2:B$5100,2))</f>
        <v>Организация системы подготовки, планирования, информационного сопровождения и осуществления муниципальных закупок</v>
      </c>
      <c r="C134" s="532" t="s">
        <v>2932</v>
      </c>
      <c r="D134" s="302">
        <f>SUMIFS(Пр.13!G$10:G$1305,Пр.13!$D$10:$D$1305,C134)</f>
        <v>0</v>
      </c>
      <c r="E134" s="263">
        <f>SUMIFS(Пр.13!H$10:H$1305,Пр.13!$D$10:$D$1305,C134)</f>
        <v>0</v>
      </c>
      <c r="F134" s="255">
        <f>SUMIFS(Пр.13!I$10:I$1305,Пр.13!$D$10:$D$1305,C134)</f>
        <v>0</v>
      </c>
      <c r="G134" s="255">
        <f>SUMIFS(Пр.13!J$10:J$1305,Пр.13!$D$10:$D$1305,C134)</f>
        <v>0</v>
      </c>
      <c r="H134" s="255">
        <f>SUMIFS(Пр.13!K$10:K$1305,Пр.13!$D$10:$D$1305,C134)</f>
        <v>0</v>
      </c>
      <c r="I134" s="255">
        <f>SUMIFS(Пр.13!L$10:L$1305,Пр.13!$D$10:$D$1305,C134)</f>
        <v>0</v>
      </c>
    </row>
    <row r="135" spans="2:9" ht="79.5" hidden="1" thickBot="1" x14ac:dyDescent="0.25">
      <c r="B135" s="529" t="str">
        <f>IF(C135&gt;0,VLOOKUP(C135,Программа!A$2:B$5100,2))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224" t="s">
        <v>2934</v>
      </c>
      <c r="D135" s="537">
        <f>SUMIFS(Пр.13!G$10:G$1305,Пр.13!$D$10:$D$1305,C135)</f>
        <v>0</v>
      </c>
      <c r="E135" s="263">
        <f>SUMIFS(Пр.13!H$10:H$1305,Пр.13!$D$10:$D$1305,C135)</f>
        <v>0</v>
      </c>
      <c r="F135" s="255">
        <f>SUMIFS(Пр.13!I$10:I$1305,Пр.13!$D$10:$D$1305,C135)</f>
        <v>0</v>
      </c>
      <c r="G135" s="255">
        <f>SUMIFS(Пр.13!J$10:J$1305,Пр.13!$D$10:$D$1305,C135)</f>
        <v>0</v>
      </c>
      <c r="H135" s="255">
        <f>SUMIFS(Пр.13!K$10:K$1305,Пр.13!$D$10:$D$1305,C135)</f>
        <v>0</v>
      </c>
      <c r="I135" s="255">
        <f>SUMIFS(Пр.13!L$10:L$1305,Пр.13!$D$10:$D$1305,C135)</f>
        <v>0</v>
      </c>
    </row>
    <row r="136" spans="2:9" s="211" customFormat="1" ht="48" hidden="1" thickBot="1" x14ac:dyDescent="0.25">
      <c r="B136" s="252" t="str">
        <f>IF(C136&gt;0,VLOOKUP(C136,Программа!A$2:B$5100,2))</f>
        <v>Ведомственная целевая программа департамента финансов администрации Тутаевского муниципального района</v>
      </c>
      <c r="C136" s="531" t="s">
        <v>2936</v>
      </c>
      <c r="D136" s="288">
        <f>SUMIFS(Пр.13!G$10:G$1305,Пр.13!$D$10:$D$1305,C136)</f>
        <v>0</v>
      </c>
      <c r="E136" s="289">
        <f>SUMIFS(Пр.13!H$10:H$1305,Пр.13!$D$10:$D$1305,C136)</f>
        <v>0</v>
      </c>
      <c r="F136" s="255">
        <f>SUMIFS(Пр.13!I$10:I$1305,Пр.13!$D$10:$D$1305,C136)</f>
        <v>0</v>
      </c>
      <c r="G136" s="255">
        <f>SUMIFS(Пр.13!J$10:J$1305,Пр.13!$D$10:$D$1305,C136)</f>
        <v>0</v>
      </c>
      <c r="H136" s="255">
        <f>SUMIFS(Пр.13!K$10:K$1305,Пр.13!$D$10:$D$1305,C136)</f>
        <v>0</v>
      </c>
      <c r="I136" s="255">
        <f>SUMIFS(Пр.13!L$10:L$1305,Пр.13!$D$10:$D$1305,C136)</f>
        <v>0</v>
      </c>
    </row>
    <row r="137" spans="2:9" ht="32.25" hidden="1" thickBot="1" x14ac:dyDescent="0.25">
      <c r="B137" s="534" t="str">
        <f>IF(C137&gt;0,VLOOKUP(C137,Программа!A$2:B$5100,2))</f>
        <v>Обеспечение условий для исполнения функций финансового органа</v>
      </c>
      <c r="C137" s="536" t="s">
        <v>2937</v>
      </c>
      <c r="D137" s="302">
        <f>SUMIFS(Пр.13!G$10:G$1305,Пр.13!$D$10:$D$1305,C137)</f>
        <v>0</v>
      </c>
      <c r="E137" s="263">
        <f>SUMIFS(Пр.13!H$10:H$1305,Пр.13!$D$10:$D$1305,C137)</f>
        <v>0</v>
      </c>
      <c r="F137" s="627">
        <f>SUMIFS(Пр.13!I$10:I$1305,Пр.13!$D$10:$D$1305,C137)</f>
        <v>0</v>
      </c>
      <c r="G137" s="627">
        <f>SUMIFS(Пр.13!J$10:J$1305,Пр.13!$D$10:$D$1305,C137)</f>
        <v>0</v>
      </c>
      <c r="H137" s="627">
        <f>SUMIFS(Пр.13!K$10:K$1305,Пр.13!$D$10:$D$1305,C137)</f>
        <v>0</v>
      </c>
      <c r="I137" s="627">
        <f>SUMIFS(Пр.13!L$10:L$1305,Пр.13!$D$10:$D$1305,C137)</f>
        <v>0</v>
      </c>
    </row>
    <row r="138" spans="2:9" s="211" customFormat="1" ht="16.5" thickBot="1" x14ac:dyDescent="0.25">
      <c r="B138" s="252" t="s">
        <v>177</v>
      </c>
      <c r="C138" s="304"/>
      <c r="D138" s="288">
        <f t="shared" ref="D138:I138" si="0">D129+D122+D115+D111+D109+D106+D103+D101+D94+D84+D75+D70+D68+D54+D52+D44+D25+D10+D131+D133+D136</f>
        <v>1423766696</v>
      </c>
      <c r="E138" s="288">
        <f t="shared" si="0"/>
        <v>0</v>
      </c>
      <c r="F138" s="288">
        <f t="shared" si="0"/>
        <v>1423766696</v>
      </c>
      <c r="G138" s="288">
        <f t="shared" si="0"/>
        <v>1236386302</v>
      </c>
      <c r="H138" s="288">
        <f t="shared" si="0"/>
        <v>0</v>
      </c>
      <c r="I138" s="288">
        <f t="shared" si="0"/>
        <v>1236386302</v>
      </c>
    </row>
    <row r="139" spans="2:9" ht="16.5" thickBot="1" x14ac:dyDescent="0.25">
      <c r="B139" s="252" t="str">
        <f>IF(C139&gt;0,VLOOKUP(C139,Программа!A$2:B$5100,2))</f>
        <v>Непрограммные расходы бюджета</v>
      </c>
      <c r="C139" s="304" t="s">
        <v>626</v>
      </c>
      <c r="D139" s="288">
        <f>SUMIFS(Пр.13!G$10:G$1305,Пр.13!$D$10:$D$1305,C139)</f>
        <v>104504462</v>
      </c>
      <c r="E139" s="289">
        <f>SUMIFS(Пр.13!H$10:H$1305,Пр.13!$D$10:$D$1305,C139)</f>
        <v>0</v>
      </c>
      <c r="F139" s="255">
        <f>SUMIFS(Пр.13!I$10:I$1305,Пр.13!$D$10:$D$1305,C139)</f>
        <v>104504462</v>
      </c>
      <c r="G139" s="255">
        <f>SUMIFS(Пр.13!J$10:J$1305,Пр.13!$D$10:$D$1305,C139)</f>
        <v>90365217</v>
      </c>
      <c r="H139" s="255">
        <f>SUMIFS(Пр.13!K$10:K$1305,Пр.13!$D$10:$D$1305,C139)</f>
        <v>0</v>
      </c>
      <c r="I139" s="255">
        <f>SUMIFS(Пр.13!L$10:L$1305,Пр.13!$D$10:$D$1305,C139)</f>
        <v>90365217</v>
      </c>
    </row>
    <row r="140" spans="2:9" ht="16.5" thickBot="1" x14ac:dyDescent="0.25">
      <c r="B140" s="252" t="str">
        <f>IF(C140&gt;0,VLOOKUP(C140,Программа!A$2:B$5100,2))</f>
        <v>Межбюджетные трансферты  поселениям района</v>
      </c>
      <c r="C140" s="304" t="s">
        <v>801</v>
      </c>
      <c r="D140" s="288">
        <f>SUMIFS(Пр.13!G$10:G$1305,Пр.13!$D$10:$D$1305,C140)</f>
        <v>9280678</v>
      </c>
      <c r="E140" s="289">
        <f>SUMIFS(Пр.13!H$10:H$1305,Пр.13!$D$10:$D$1305,C140)</f>
        <v>0</v>
      </c>
      <c r="F140" s="255">
        <f>SUMIFS(Пр.13!I$10:I$1305,Пр.13!$D$10:$D$1305,C140)</f>
        <v>9280678</v>
      </c>
      <c r="G140" s="255">
        <f>SUMIFS(Пр.13!J$10:J$1305,Пр.13!$D$10:$D$1305,C140)</f>
        <v>774994</v>
      </c>
      <c r="H140" s="255">
        <f>SUMIFS(Пр.13!K$10:K$1305,Пр.13!$D$10:$D$1305,C140)</f>
        <v>0</v>
      </c>
      <c r="I140" s="255">
        <f>SUMIFS(Пр.13!L$10:L$1305,Пр.13!$D$10:$D$1305,C140)</f>
        <v>774994</v>
      </c>
    </row>
    <row r="141" spans="2:9" ht="16.5" thickBot="1" x14ac:dyDescent="0.3">
      <c r="B141" s="305" t="s">
        <v>993</v>
      </c>
      <c r="C141" s="306"/>
      <c r="D141" s="307">
        <f t="shared" ref="D141:I141" si="1">D138+D139+D140</f>
        <v>1537551836</v>
      </c>
      <c r="E141" s="307">
        <f t="shared" si="1"/>
        <v>0</v>
      </c>
      <c r="F141" s="307">
        <f t="shared" si="1"/>
        <v>1537551836</v>
      </c>
      <c r="G141" s="307">
        <f t="shared" si="1"/>
        <v>1327526513</v>
      </c>
      <c r="H141" s="307">
        <f t="shared" si="1"/>
        <v>0</v>
      </c>
      <c r="I141" s="307">
        <f t="shared" si="1"/>
        <v>1327526513</v>
      </c>
    </row>
  </sheetData>
  <mergeCells count="15">
    <mergeCell ref="D8:D9"/>
    <mergeCell ref="E8:E9"/>
    <mergeCell ref="A8:A9"/>
    <mergeCell ref="B8:B9"/>
    <mergeCell ref="C8:C9"/>
    <mergeCell ref="B1:I1"/>
    <mergeCell ref="B2:I2"/>
    <mergeCell ref="B3:I3"/>
    <mergeCell ref="B4:I4"/>
    <mergeCell ref="B6:I6"/>
    <mergeCell ref="F8:F9"/>
    <mergeCell ref="G8:G9"/>
    <mergeCell ref="H8:H9"/>
    <mergeCell ref="I8:I9"/>
    <mergeCell ref="E7:I7"/>
  </mergeCells>
  <printOptions gridLinesSet="0"/>
  <pageMargins left="0.70866141732283472" right="0.70866141732283472" top="0.74803149606299213" bottom="0.74803149606299213" header="0.51181102362204722" footer="0.51181102362204722"/>
  <pageSetup paperSize="9" scale="52" fitToHeight="0"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view="pageBreakPreview" zoomScale="115" zoomScaleSheetLayoutView="115" workbookViewId="0">
      <selection activeCell="B22" sqref="B22"/>
    </sheetView>
  </sheetViews>
  <sheetFormatPr defaultColWidth="9.140625" defaultRowHeight="12.75" x14ac:dyDescent="0.2"/>
  <cols>
    <col min="1" max="1" width="50.42578125" style="126" customWidth="1"/>
    <col min="2" max="2" width="18" style="126" customWidth="1"/>
    <col min="3" max="3" width="14.85546875" style="126" customWidth="1"/>
    <col min="4" max="4" width="0.28515625" style="126" customWidth="1"/>
    <col min="5" max="16384" width="9.140625" style="126"/>
  </cols>
  <sheetData>
    <row r="1" spans="1:4" ht="15.75" x14ac:dyDescent="0.25">
      <c r="A1" s="868" t="s">
        <v>1017</v>
      </c>
      <c r="B1" s="868"/>
      <c r="C1" s="868"/>
      <c r="D1" s="868"/>
    </row>
    <row r="2" spans="1:4" ht="15.75" x14ac:dyDescent="0.25">
      <c r="A2" s="868" t="s">
        <v>1</v>
      </c>
      <c r="B2" s="868"/>
      <c r="C2" s="868"/>
      <c r="D2" s="868"/>
    </row>
    <row r="3" spans="1:4" ht="15.75" x14ac:dyDescent="0.25">
      <c r="A3" s="868" t="s">
        <v>2</v>
      </c>
      <c r="B3" s="868"/>
      <c r="C3" s="868"/>
      <c r="D3" s="868"/>
    </row>
    <row r="4" spans="1:4" ht="15.75" x14ac:dyDescent="0.25">
      <c r="A4" s="868" t="s">
        <v>3092</v>
      </c>
      <c r="B4" s="868"/>
      <c r="C4" s="868"/>
      <c r="D4" s="868"/>
    </row>
    <row r="5" spans="1:4" ht="15.75" x14ac:dyDescent="0.25">
      <c r="A5" s="5"/>
      <c r="B5" s="5"/>
      <c r="C5" s="5"/>
      <c r="D5" s="35"/>
    </row>
    <row r="6" spans="1:4" ht="15.75" x14ac:dyDescent="0.25">
      <c r="A6" s="35"/>
      <c r="B6" s="35"/>
      <c r="C6" s="35"/>
      <c r="D6" s="35"/>
    </row>
    <row r="7" spans="1:4" ht="36.75" customHeight="1" x14ac:dyDescent="0.2">
      <c r="A7" s="869" t="s">
        <v>3091</v>
      </c>
      <c r="B7" s="869"/>
      <c r="C7" s="869"/>
      <c r="D7" s="869"/>
    </row>
    <row r="8" spans="1:4" ht="15.75" x14ac:dyDescent="0.2">
      <c r="A8" s="6"/>
      <c r="B8" s="6"/>
      <c r="C8" s="6"/>
      <c r="D8" s="6"/>
    </row>
    <row r="9" spans="1:4" ht="41.25" customHeight="1" x14ac:dyDescent="0.2">
      <c r="A9" s="983" t="s">
        <v>1011</v>
      </c>
      <c r="B9" s="983"/>
      <c r="C9" s="983"/>
      <c r="D9" s="869"/>
    </row>
    <row r="10" spans="1:4" ht="94.5" x14ac:dyDescent="0.2">
      <c r="A10" s="9" t="s">
        <v>1012</v>
      </c>
      <c r="B10" s="9" t="s">
        <v>1013</v>
      </c>
      <c r="C10" s="9" t="s">
        <v>1014</v>
      </c>
      <c r="D10" s="232"/>
    </row>
    <row r="11" spans="1:4" ht="15.75" x14ac:dyDescent="0.2">
      <c r="A11" s="396" t="s">
        <v>1037</v>
      </c>
      <c r="B11" s="397">
        <v>21894000</v>
      </c>
      <c r="C11" s="398">
        <v>0</v>
      </c>
      <c r="D11" s="232"/>
    </row>
    <row r="12" spans="1:4" ht="15.75" x14ac:dyDescent="0.25">
      <c r="A12" s="233" t="s">
        <v>1015</v>
      </c>
      <c r="B12" s="234">
        <v>3487250</v>
      </c>
      <c r="C12" s="235">
        <v>46250</v>
      </c>
      <c r="D12" s="236"/>
    </row>
    <row r="13" spans="1:4" ht="15.75" x14ac:dyDescent="0.25">
      <c r="A13" s="233" t="s">
        <v>1040</v>
      </c>
      <c r="B13" s="234">
        <v>12440000</v>
      </c>
      <c r="C13" s="235">
        <v>150000</v>
      </c>
      <c r="D13" s="236"/>
    </row>
    <row r="14" spans="1:4" ht="15.75" x14ac:dyDescent="0.25">
      <c r="A14" s="233" t="s">
        <v>1016</v>
      </c>
      <c r="B14" s="234">
        <v>3881750</v>
      </c>
      <c r="C14" s="235">
        <v>103750</v>
      </c>
      <c r="D14" s="236"/>
    </row>
    <row r="15" spans="1:4" ht="15.75" x14ac:dyDescent="0.25">
      <c r="A15" s="237" t="s">
        <v>177</v>
      </c>
      <c r="B15" s="238">
        <f>SUM(B11:B14)</f>
        <v>41703000</v>
      </c>
      <c r="C15" s="238">
        <f>SUM(C11:C14)</f>
        <v>300000</v>
      </c>
      <c r="D15" s="239"/>
    </row>
    <row r="16" spans="1:4" ht="15.75" x14ac:dyDescent="0.25">
      <c r="A16" s="35"/>
      <c r="B16" s="35"/>
      <c r="C16" s="35"/>
      <c r="D16" s="35"/>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topLeftCell="A7" zoomScale="115" zoomScaleSheetLayoutView="115" workbookViewId="0">
      <selection sqref="A1:D1"/>
    </sheetView>
  </sheetViews>
  <sheetFormatPr defaultColWidth="9.140625" defaultRowHeight="12.75" x14ac:dyDescent="0.2"/>
  <cols>
    <col min="1" max="1" width="50.42578125" style="748" customWidth="1"/>
    <col min="2" max="2" width="18" style="748" customWidth="1"/>
    <col min="3" max="3" width="14.85546875" style="748" customWidth="1"/>
    <col min="4" max="4" width="0.28515625" style="748" customWidth="1"/>
    <col min="5" max="16384" width="9.140625" style="748"/>
  </cols>
  <sheetData>
    <row r="1" spans="1:4" ht="15.75" x14ac:dyDescent="0.25">
      <c r="A1" s="1062" t="s">
        <v>381</v>
      </c>
      <c r="B1" s="1062"/>
      <c r="C1" s="1062"/>
      <c r="D1" s="1062"/>
    </row>
    <row r="2" spans="1:4" ht="15.75" x14ac:dyDescent="0.25">
      <c r="A2" s="1062" t="s">
        <v>1</v>
      </c>
      <c r="B2" s="1062"/>
      <c r="C2" s="1062"/>
      <c r="D2" s="1062"/>
    </row>
    <row r="3" spans="1:4" ht="15.75" x14ac:dyDescent="0.25">
      <c r="A3" s="1062" t="s">
        <v>2</v>
      </c>
      <c r="B3" s="1062"/>
      <c r="C3" s="1062"/>
      <c r="D3" s="1062"/>
    </row>
    <row r="4" spans="1:4" ht="15.75" x14ac:dyDescent="0.25">
      <c r="A4" s="1062" t="s">
        <v>3458</v>
      </c>
      <c r="B4" s="1062"/>
      <c r="C4" s="1062"/>
      <c r="D4" s="1062"/>
    </row>
    <row r="5" spans="1:4" ht="15.75" x14ac:dyDescent="0.25">
      <c r="A5" s="749"/>
      <c r="B5" s="749"/>
      <c r="C5" s="749"/>
      <c r="D5" s="750"/>
    </row>
    <row r="6" spans="1:4" ht="15.75" x14ac:dyDescent="0.25">
      <c r="A6" s="750"/>
      <c r="B6" s="750"/>
      <c r="C6" s="750"/>
      <c r="D6" s="750"/>
    </row>
    <row r="7" spans="1:4" ht="36.75" customHeight="1" x14ac:dyDescent="0.2">
      <c r="A7" s="1061" t="s">
        <v>3091</v>
      </c>
      <c r="B7" s="1061"/>
      <c r="C7" s="1061"/>
      <c r="D7" s="1061"/>
    </row>
    <row r="8" spans="1:4" ht="15.75" x14ac:dyDescent="0.2">
      <c r="A8" s="751"/>
      <c r="B8" s="751"/>
      <c r="C8" s="751"/>
      <c r="D8" s="751"/>
    </row>
    <row r="9" spans="1:4" ht="41.25" customHeight="1" x14ac:dyDescent="0.2">
      <c r="A9" s="1060" t="s">
        <v>1011</v>
      </c>
      <c r="B9" s="1060"/>
      <c r="C9" s="1060"/>
      <c r="D9" s="1061"/>
    </row>
    <row r="10" spans="1:4" ht="94.5" x14ac:dyDescent="0.2">
      <c r="A10" s="752" t="s">
        <v>1012</v>
      </c>
      <c r="B10" s="752" t="s">
        <v>192</v>
      </c>
      <c r="C10" s="752" t="s">
        <v>1014</v>
      </c>
      <c r="D10" s="753"/>
    </row>
    <row r="11" spans="1:4" ht="15.75" x14ac:dyDescent="0.2">
      <c r="A11" s="754" t="s">
        <v>1037</v>
      </c>
      <c r="B11" s="755">
        <v>21894000</v>
      </c>
      <c r="C11" s="756">
        <v>0</v>
      </c>
      <c r="D11" s="753"/>
    </row>
    <row r="12" spans="1:4" ht="15.75" x14ac:dyDescent="0.25">
      <c r="A12" s="757" t="s">
        <v>1015</v>
      </c>
      <c r="B12" s="758">
        <v>3487250</v>
      </c>
      <c r="C12" s="759">
        <v>46250</v>
      </c>
      <c r="D12" s="760"/>
    </row>
    <row r="13" spans="1:4" ht="15.75" x14ac:dyDescent="0.25">
      <c r="A13" s="757" t="s">
        <v>1040</v>
      </c>
      <c r="B13" s="758">
        <v>12440000</v>
      </c>
      <c r="C13" s="759">
        <v>150000</v>
      </c>
      <c r="D13" s="760"/>
    </row>
    <row r="14" spans="1:4" ht="15.75" x14ac:dyDescent="0.25">
      <c r="A14" s="757" t="s">
        <v>1016</v>
      </c>
      <c r="B14" s="758">
        <v>3881750</v>
      </c>
      <c r="C14" s="759">
        <v>103750</v>
      </c>
      <c r="D14" s="760"/>
    </row>
    <row r="15" spans="1:4" ht="15.75" x14ac:dyDescent="0.25">
      <c r="A15" s="761" t="s">
        <v>177</v>
      </c>
      <c r="B15" s="762">
        <f>SUM(B11:B14)</f>
        <v>41703000</v>
      </c>
      <c r="C15" s="762">
        <f>SUM(C11:C14)</f>
        <v>300000</v>
      </c>
      <c r="D15" s="763"/>
    </row>
    <row r="16" spans="1:4" ht="15.75" x14ac:dyDescent="0.25">
      <c r="A16" s="750"/>
      <c r="B16" s="750"/>
      <c r="C16" s="750"/>
      <c r="D16" s="750"/>
    </row>
    <row r="17" spans="1:4" ht="56.25" customHeight="1" x14ac:dyDescent="0.2">
      <c r="A17" s="1060" t="s">
        <v>3461</v>
      </c>
      <c r="B17" s="1060"/>
      <c r="C17" s="1060"/>
      <c r="D17" s="1061"/>
    </row>
    <row r="18" spans="1:4" ht="15.75" x14ac:dyDescent="0.2">
      <c r="A18" s="752" t="s">
        <v>1012</v>
      </c>
      <c r="B18" s="1067" t="s">
        <v>192</v>
      </c>
      <c r="C18" s="1064"/>
      <c r="D18" s="753"/>
    </row>
    <row r="19" spans="1:4" ht="15.75" x14ac:dyDescent="0.25">
      <c r="A19" s="754" t="s">
        <v>1037</v>
      </c>
      <c r="B19" s="1066">
        <f>4215067-188898</f>
        <v>4026169</v>
      </c>
      <c r="C19" s="1064"/>
      <c r="D19" s="753"/>
    </row>
    <row r="20" spans="1:4" ht="15.75" x14ac:dyDescent="0.25">
      <c r="A20" s="757" t="s">
        <v>1015</v>
      </c>
      <c r="B20" s="1066">
        <v>150000</v>
      </c>
      <c r="C20" s="1064"/>
      <c r="D20" s="760"/>
    </row>
    <row r="21" spans="1:4" ht="15.75" x14ac:dyDescent="0.25">
      <c r="A21" s="757" t="s">
        <v>1050</v>
      </c>
      <c r="B21" s="1066">
        <v>150000</v>
      </c>
      <c r="C21" s="1064"/>
      <c r="D21" s="760"/>
    </row>
    <row r="22" spans="1:4" ht="15.75" x14ac:dyDescent="0.25">
      <c r="A22" s="757" t="s">
        <v>1040</v>
      </c>
      <c r="B22" s="1066">
        <v>100000</v>
      </c>
      <c r="C22" s="1064"/>
      <c r="D22" s="760"/>
    </row>
    <row r="23" spans="1:4" ht="15.75" x14ac:dyDescent="0.25">
      <c r="A23" s="757" t="s">
        <v>1016</v>
      </c>
      <c r="B23" s="1066">
        <v>99906</v>
      </c>
      <c r="C23" s="1064"/>
      <c r="D23" s="760"/>
    </row>
    <row r="24" spans="1:4" ht="15.75" x14ac:dyDescent="0.25">
      <c r="A24" s="761" t="s">
        <v>177</v>
      </c>
      <c r="B24" s="1065">
        <f>SUM(B19:C23)</f>
        <v>4526075</v>
      </c>
      <c r="C24" s="1064"/>
      <c r="D24" s="763"/>
    </row>
    <row r="25" spans="1:4" ht="12.75" hidden="1" customHeight="1" x14ac:dyDescent="0.2">
      <c r="A25" s="764"/>
      <c r="B25" s="764"/>
      <c r="C25" s="764"/>
    </row>
    <row r="26" spans="1:4" ht="12.75" hidden="1" customHeight="1" x14ac:dyDescent="0.2">
      <c r="A26" s="764"/>
      <c r="B26" s="764"/>
      <c r="C26" s="764"/>
    </row>
    <row r="27" spans="1:4" ht="15.75" x14ac:dyDescent="0.25">
      <c r="A27" s="765" t="s">
        <v>993</v>
      </c>
      <c r="B27" s="1063">
        <f>B15+B24</f>
        <v>46229075</v>
      </c>
      <c r="C27" s="1064"/>
    </row>
  </sheetData>
  <mergeCells count="15">
    <mergeCell ref="B27:C27"/>
    <mergeCell ref="B24:C24"/>
    <mergeCell ref="B21:C21"/>
    <mergeCell ref="A17:D17"/>
    <mergeCell ref="B18:C18"/>
    <mergeCell ref="B19:C19"/>
    <mergeCell ref="B20:C20"/>
    <mergeCell ref="B22:C22"/>
    <mergeCell ref="B23:C23"/>
    <mergeCell ref="A9:D9"/>
    <mergeCell ref="A1:D1"/>
    <mergeCell ref="A2:D2"/>
    <mergeCell ref="A3:D3"/>
    <mergeCell ref="A4:D4"/>
    <mergeCell ref="A7:D7"/>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0"/>
  <sheetViews>
    <sheetView topLeftCell="A97" workbookViewId="0">
      <selection activeCell="B103" sqref="B103"/>
    </sheetView>
  </sheetViews>
  <sheetFormatPr defaultColWidth="9.140625" defaultRowHeight="15.75" x14ac:dyDescent="0.25"/>
  <cols>
    <col min="1" max="1" width="19.5703125" style="424" customWidth="1"/>
    <col min="2" max="2" width="81.7109375" style="424" customWidth="1"/>
    <col min="3" max="16384" width="9.140625" style="424"/>
  </cols>
  <sheetData>
    <row r="1" spans="1:2" ht="16.5" thickBot="1" x14ac:dyDescent="0.3">
      <c r="A1" s="425" t="s">
        <v>905</v>
      </c>
      <c r="B1" s="426" t="s">
        <v>2912</v>
      </c>
    </row>
    <row r="2" spans="1:2" ht="32.25" thickBot="1" x14ac:dyDescent="0.3">
      <c r="A2" s="427" t="s">
        <v>716</v>
      </c>
      <c r="B2" s="428" t="s">
        <v>715</v>
      </c>
    </row>
    <row r="3" spans="1:2" s="429" customFormat="1" x14ac:dyDescent="0.25">
      <c r="A3" s="430" t="s">
        <v>824</v>
      </c>
      <c r="B3" s="431" t="s">
        <v>823</v>
      </c>
    </row>
    <row r="4" spans="1:2" ht="31.5" x14ac:dyDescent="0.25">
      <c r="A4" s="432" t="s">
        <v>826</v>
      </c>
      <c r="B4" s="433" t="s">
        <v>825</v>
      </c>
    </row>
    <row r="5" spans="1:2" ht="31.5" x14ac:dyDescent="0.25">
      <c r="A5" s="432" t="s">
        <v>3050</v>
      </c>
      <c r="B5" s="433" t="s">
        <v>3051</v>
      </c>
    </row>
    <row r="6" spans="1:2" s="429" customFormat="1" ht="47.25" x14ac:dyDescent="0.25">
      <c r="A6" s="434" t="s">
        <v>718</v>
      </c>
      <c r="B6" s="435" t="s">
        <v>717</v>
      </c>
    </row>
    <row r="7" spans="1:2" ht="47.25" x14ac:dyDescent="0.25">
      <c r="A7" s="432" t="s">
        <v>720</v>
      </c>
      <c r="B7" s="433" t="s">
        <v>719</v>
      </c>
    </row>
    <row r="8" spans="1:2" s="429" customFormat="1" ht="31.5" x14ac:dyDescent="0.25">
      <c r="A8" s="434" t="s">
        <v>723</v>
      </c>
      <c r="B8" s="435" t="s">
        <v>722</v>
      </c>
    </row>
    <row r="9" spans="1:2" x14ac:dyDescent="0.25">
      <c r="A9" s="432" t="s">
        <v>725</v>
      </c>
      <c r="B9" s="433" t="s">
        <v>724</v>
      </c>
    </row>
    <row r="10" spans="1:2" s="429" customFormat="1" ht="31.5" x14ac:dyDescent="0.25">
      <c r="A10" s="434" t="s">
        <v>819</v>
      </c>
      <c r="B10" s="435" t="s">
        <v>818</v>
      </c>
    </row>
    <row r="11" spans="1:2" x14ac:dyDescent="0.25">
      <c r="A11" s="432" t="s">
        <v>821</v>
      </c>
      <c r="B11" s="433" t="s">
        <v>820</v>
      </c>
    </row>
    <row r="12" spans="1:2" x14ac:dyDescent="0.25">
      <c r="A12" s="432" t="s">
        <v>838</v>
      </c>
      <c r="B12" s="433" t="s">
        <v>837</v>
      </c>
    </row>
    <row r="13" spans="1:2" x14ac:dyDescent="0.25">
      <c r="A13" s="432" t="s">
        <v>843</v>
      </c>
      <c r="B13" s="433" t="s">
        <v>842</v>
      </c>
    </row>
    <row r="14" spans="1:2" x14ac:dyDescent="0.25">
      <c r="A14" s="432" t="s">
        <v>846</v>
      </c>
      <c r="B14" s="433" t="s">
        <v>845</v>
      </c>
    </row>
    <row r="15" spans="1:2" s="429" customFormat="1" ht="31.5" x14ac:dyDescent="0.25">
      <c r="A15" s="434" t="s">
        <v>814</v>
      </c>
      <c r="B15" s="435" t="s">
        <v>813</v>
      </c>
    </row>
    <row r="16" spans="1:2" ht="16.5" thickBot="1" x14ac:dyDescent="0.3">
      <c r="A16" s="436" t="s">
        <v>816</v>
      </c>
      <c r="B16" s="437" t="s">
        <v>815</v>
      </c>
    </row>
    <row r="17" spans="1:2" ht="32.25" thickBot="1" x14ac:dyDescent="0.3">
      <c r="A17" s="427" t="s">
        <v>686</v>
      </c>
      <c r="B17" s="438" t="s">
        <v>685</v>
      </c>
    </row>
    <row r="18" spans="1:2" s="429" customFormat="1" ht="31.5" x14ac:dyDescent="0.25">
      <c r="A18" s="430" t="s">
        <v>688</v>
      </c>
      <c r="B18" s="431" t="s">
        <v>687</v>
      </c>
    </row>
    <row r="19" spans="1:2" ht="31.5" x14ac:dyDescent="0.25">
      <c r="A19" s="432" t="s">
        <v>689</v>
      </c>
      <c r="B19" s="433" t="s">
        <v>2946</v>
      </c>
    </row>
    <row r="20" spans="1:2" ht="31.5" x14ac:dyDescent="0.25">
      <c r="A20" s="432" t="s">
        <v>729</v>
      </c>
      <c r="B20" s="433" t="s">
        <v>2947</v>
      </c>
    </row>
    <row r="21" spans="1:2" ht="31.5" x14ac:dyDescent="0.25">
      <c r="A21" s="432" t="s">
        <v>753</v>
      </c>
      <c r="B21" s="433" t="s">
        <v>2948</v>
      </c>
    </row>
    <row r="22" spans="1:2" x14ac:dyDescent="0.25">
      <c r="A22" s="540" t="s">
        <v>731</v>
      </c>
      <c r="B22" s="541" t="s">
        <v>2951</v>
      </c>
    </row>
    <row r="23" spans="1:2" ht="47.25" x14ac:dyDescent="0.25">
      <c r="A23" s="540" t="s">
        <v>708</v>
      </c>
      <c r="B23" s="541" t="s">
        <v>2953</v>
      </c>
    </row>
    <row r="24" spans="1:2" ht="31.5" x14ac:dyDescent="0.25">
      <c r="A24" s="540" t="s">
        <v>738</v>
      </c>
      <c r="B24" s="541" t="s">
        <v>2954</v>
      </c>
    </row>
    <row r="25" spans="1:2" x14ac:dyDescent="0.25">
      <c r="A25" s="540" t="s">
        <v>2949</v>
      </c>
      <c r="B25" s="541" t="s">
        <v>2950</v>
      </c>
    </row>
    <row r="26" spans="1:2" x14ac:dyDescent="0.25">
      <c r="A26" s="540" t="s">
        <v>2955</v>
      </c>
      <c r="B26" s="541" t="s">
        <v>2956</v>
      </c>
    </row>
    <row r="27" spans="1:2" x14ac:dyDescent="0.25">
      <c r="A27" s="540" t="s">
        <v>2952</v>
      </c>
      <c r="B27" s="541" t="s">
        <v>737</v>
      </c>
    </row>
    <row r="28" spans="1:2" ht="31.5" x14ac:dyDescent="0.25">
      <c r="A28" s="540" t="s">
        <v>740</v>
      </c>
      <c r="B28" s="542" t="s">
        <v>3049</v>
      </c>
    </row>
    <row r="29" spans="1:2" ht="31.5" x14ac:dyDescent="0.25">
      <c r="A29" s="436" t="s">
        <v>742</v>
      </c>
      <c r="B29" s="439" t="s">
        <v>741</v>
      </c>
    </row>
    <row r="30" spans="1:2" ht="31.5" x14ac:dyDescent="0.25">
      <c r="A30" s="436" t="s">
        <v>706</v>
      </c>
      <c r="B30" s="440" t="s">
        <v>705</v>
      </c>
    </row>
    <row r="31" spans="1:2" ht="47.25" x14ac:dyDescent="0.25">
      <c r="A31" s="436" t="s">
        <v>763</v>
      </c>
      <c r="B31" s="439" t="s">
        <v>3206</v>
      </c>
    </row>
    <row r="32" spans="1:2" ht="31.5" x14ac:dyDescent="0.25">
      <c r="A32" s="436" t="s">
        <v>707</v>
      </c>
      <c r="B32" s="439" t="s">
        <v>3207</v>
      </c>
    </row>
    <row r="33" spans="1:2" ht="16.5" thickBot="1" x14ac:dyDescent="0.3">
      <c r="A33" s="441" t="s">
        <v>744</v>
      </c>
      <c r="B33" s="442" t="s">
        <v>3048</v>
      </c>
    </row>
    <row r="34" spans="1:2" ht="32.25" thickBot="1" x14ac:dyDescent="0.3">
      <c r="A34" s="427" t="s">
        <v>695</v>
      </c>
      <c r="B34" s="438" t="s">
        <v>694</v>
      </c>
    </row>
    <row r="35" spans="1:2" ht="31.5" x14ac:dyDescent="0.25">
      <c r="A35" s="443" t="s">
        <v>768</v>
      </c>
      <c r="B35" s="431" t="s">
        <v>767</v>
      </c>
    </row>
    <row r="36" spans="1:2" ht="31.5" x14ac:dyDescent="0.25">
      <c r="A36" s="444" t="s">
        <v>770</v>
      </c>
      <c r="B36" s="445" t="s">
        <v>769</v>
      </c>
    </row>
    <row r="37" spans="1:2" ht="31.5" x14ac:dyDescent="0.25">
      <c r="A37" s="444" t="s">
        <v>773</v>
      </c>
      <c r="B37" s="445" t="s">
        <v>772</v>
      </c>
    </row>
    <row r="38" spans="1:2" ht="31.5" x14ac:dyDescent="0.25">
      <c r="A38" s="444" t="s">
        <v>788</v>
      </c>
      <c r="B38" s="445" t="s">
        <v>787</v>
      </c>
    </row>
    <row r="39" spans="1:2" x14ac:dyDescent="0.25">
      <c r="A39" s="561" t="s">
        <v>3213</v>
      </c>
      <c r="B39" s="562" t="s">
        <v>2963</v>
      </c>
    </row>
    <row r="40" spans="1:2" ht="31.5" x14ac:dyDescent="0.25">
      <c r="A40" s="436" t="s">
        <v>697</v>
      </c>
      <c r="B40" s="446" t="s">
        <v>696</v>
      </c>
    </row>
    <row r="41" spans="1:2" ht="31.5" x14ac:dyDescent="0.25">
      <c r="A41" s="436" t="s">
        <v>698</v>
      </c>
      <c r="B41" s="447" t="s">
        <v>2928</v>
      </c>
    </row>
    <row r="42" spans="1:2" ht="32.25" thickBot="1" x14ac:dyDescent="0.3">
      <c r="A42" s="436" t="s">
        <v>2927</v>
      </c>
      <c r="B42" s="447" t="s">
        <v>2929</v>
      </c>
    </row>
    <row r="43" spans="1:2" ht="16.5" thickBot="1" x14ac:dyDescent="0.3">
      <c r="A43" s="427" t="s">
        <v>833</v>
      </c>
      <c r="B43" s="438" t="s">
        <v>832</v>
      </c>
    </row>
    <row r="44" spans="1:2" ht="48" thickBot="1" x14ac:dyDescent="0.3">
      <c r="A44" s="448" t="s">
        <v>835</v>
      </c>
      <c r="B44" s="449" t="s">
        <v>834</v>
      </c>
    </row>
    <row r="45" spans="1:2" ht="36" customHeight="1" thickBot="1" x14ac:dyDescent="0.3">
      <c r="A45" s="450" t="s">
        <v>851</v>
      </c>
      <c r="B45" s="451" t="s">
        <v>850</v>
      </c>
    </row>
    <row r="46" spans="1:2" ht="47.25" x14ac:dyDescent="0.25">
      <c r="A46" s="452" t="s">
        <v>853</v>
      </c>
      <c r="B46" s="453" t="s">
        <v>852</v>
      </c>
    </row>
    <row r="47" spans="1:2" ht="47.25" x14ac:dyDescent="0.25">
      <c r="A47" s="454" t="s">
        <v>880</v>
      </c>
      <c r="B47" s="455" t="s">
        <v>3040</v>
      </c>
    </row>
    <row r="48" spans="1:2" ht="31.5" x14ac:dyDescent="0.25">
      <c r="A48" s="454" t="s">
        <v>854</v>
      </c>
      <c r="B48" s="455" t="s">
        <v>3039</v>
      </c>
    </row>
    <row r="49" spans="1:2" ht="47.25" x14ac:dyDescent="0.25">
      <c r="A49" s="456" t="s">
        <v>883</v>
      </c>
      <c r="B49" s="457" t="s">
        <v>882</v>
      </c>
    </row>
    <row r="50" spans="1:2" x14ac:dyDescent="0.25">
      <c r="A50" s="454" t="s">
        <v>884</v>
      </c>
      <c r="B50" s="458" t="s">
        <v>3041</v>
      </c>
    </row>
    <row r="51" spans="1:2" ht="47.25" x14ac:dyDescent="0.25">
      <c r="A51" s="454" t="s">
        <v>927</v>
      </c>
      <c r="B51" s="458" t="s">
        <v>3043</v>
      </c>
    </row>
    <row r="52" spans="1:2" ht="32.25" customHeight="1" x14ac:dyDescent="0.25">
      <c r="A52" s="456" t="s">
        <v>887</v>
      </c>
      <c r="B52" s="457" t="s">
        <v>886</v>
      </c>
    </row>
    <row r="53" spans="1:2" ht="31.5" x14ac:dyDescent="0.25">
      <c r="A53" s="456" t="s">
        <v>888</v>
      </c>
      <c r="B53" s="458" t="s">
        <v>3042</v>
      </c>
    </row>
    <row r="54" spans="1:2" ht="47.25" x14ac:dyDescent="0.25">
      <c r="A54" s="456" t="s">
        <v>890</v>
      </c>
      <c r="B54" s="457" t="s">
        <v>889</v>
      </c>
    </row>
    <row r="55" spans="1:2" ht="31.5" x14ac:dyDescent="0.25">
      <c r="A55" s="454" t="s">
        <v>892</v>
      </c>
      <c r="B55" s="455" t="s">
        <v>891</v>
      </c>
    </row>
    <row r="56" spans="1:2" ht="31.5" x14ac:dyDescent="0.25">
      <c r="A56" s="454" t="s">
        <v>895</v>
      </c>
      <c r="B56" s="455" t="s">
        <v>894</v>
      </c>
    </row>
    <row r="57" spans="1:2" ht="32.25" thickBot="1" x14ac:dyDescent="0.3">
      <c r="A57" s="459" t="s">
        <v>897</v>
      </c>
      <c r="B57" s="460" t="s">
        <v>896</v>
      </c>
    </row>
    <row r="58" spans="1:2" ht="32.25" thickBot="1" x14ac:dyDescent="0.3">
      <c r="A58" s="427" t="s">
        <v>856</v>
      </c>
      <c r="B58" s="438" t="s">
        <v>855</v>
      </c>
    </row>
    <row r="59" spans="1:2" ht="48" thickBot="1" x14ac:dyDescent="0.3">
      <c r="A59" s="448" t="s">
        <v>858</v>
      </c>
      <c r="B59" s="461" t="s">
        <v>857</v>
      </c>
    </row>
    <row r="60" spans="1:2" ht="32.25" thickBot="1" x14ac:dyDescent="0.3">
      <c r="A60" s="427" t="s">
        <v>869</v>
      </c>
      <c r="B60" s="438" t="s">
        <v>868</v>
      </c>
    </row>
    <row r="61" spans="1:2" ht="31.5" x14ac:dyDescent="0.25">
      <c r="A61" s="430" t="s">
        <v>871</v>
      </c>
      <c r="B61" s="431" t="s">
        <v>870</v>
      </c>
    </row>
    <row r="62" spans="1:2" x14ac:dyDescent="0.25">
      <c r="A62" s="432" t="s">
        <v>873</v>
      </c>
      <c r="B62" s="462" t="s">
        <v>872</v>
      </c>
    </row>
    <row r="63" spans="1:2" ht="31.5" x14ac:dyDescent="0.25">
      <c r="A63" s="434" t="s">
        <v>876</v>
      </c>
      <c r="B63" s="435" t="s">
        <v>875</v>
      </c>
    </row>
    <row r="64" spans="1:2" ht="19.5" customHeight="1" thickBot="1" x14ac:dyDescent="0.3">
      <c r="A64" s="436" t="s">
        <v>878</v>
      </c>
      <c r="B64" s="439" t="s">
        <v>877</v>
      </c>
    </row>
    <row r="65" spans="1:2" ht="33.75" customHeight="1" thickBot="1" x14ac:dyDescent="0.3">
      <c r="A65" s="463" t="s">
        <v>930</v>
      </c>
      <c r="B65" s="464" t="s">
        <v>929</v>
      </c>
    </row>
    <row r="66" spans="1:2" ht="47.25" x14ac:dyDescent="0.25">
      <c r="A66" s="452" t="s">
        <v>932</v>
      </c>
      <c r="B66" s="465" t="s">
        <v>931</v>
      </c>
    </row>
    <row r="67" spans="1:2" ht="63" x14ac:dyDescent="0.25">
      <c r="A67" s="454" t="s">
        <v>934</v>
      </c>
      <c r="B67" s="466" t="s">
        <v>933</v>
      </c>
    </row>
    <row r="68" spans="1:2" ht="31.5" x14ac:dyDescent="0.25">
      <c r="A68" s="456" t="s">
        <v>936</v>
      </c>
      <c r="B68" s="467" t="s">
        <v>935</v>
      </c>
    </row>
    <row r="69" spans="1:2" ht="35.25" customHeight="1" x14ac:dyDescent="0.25">
      <c r="A69" s="454" t="s">
        <v>938</v>
      </c>
      <c r="B69" s="466" t="s">
        <v>937</v>
      </c>
    </row>
    <row r="70" spans="1:2" ht="47.25" x14ac:dyDescent="0.25">
      <c r="A70" s="456" t="s">
        <v>940</v>
      </c>
      <c r="B70" s="467" t="s">
        <v>939</v>
      </c>
    </row>
    <row r="71" spans="1:2" ht="31.5" x14ac:dyDescent="0.25">
      <c r="A71" s="454" t="s">
        <v>942</v>
      </c>
      <c r="B71" s="466" t="s">
        <v>941</v>
      </c>
    </row>
    <row r="72" spans="1:2" ht="31.5" x14ac:dyDescent="0.25">
      <c r="A72" s="456" t="s">
        <v>944</v>
      </c>
      <c r="B72" s="467" t="s">
        <v>943</v>
      </c>
    </row>
    <row r="73" spans="1:2" ht="32.25" thickBot="1" x14ac:dyDescent="0.3">
      <c r="A73" s="468" t="s">
        <v>946</v>
      </c>
      <c r="B73" s="469" t="s">
        <v>945</v>
      </c>
    </row>
    <row r="74" spans="1:2" ht="48" thickBot="1" x14ac:dyDescent="0.3">
      <c r="A74" s="427" t="s">
        <v>655</v>
      </c>
      <c r="B74" s="451" t="s">
        <v>654</v>
      </c>
    </row>
    <row r="75" spans="1:2" ht="31.5" x14ac:dyDescent="0.25">
      <c r="A75" s="430" t="s">
        <v>666</v>
      </c>
      <c r="B75" s="453" t="s">
        <v>665</v>
      </c>
    </row>
    <row r="76" spans="1:2" ht="47.25" x14ac:dyDescent="0.25">
      <c r="A76" s="432" t="s">
        <v>668</v>
      </c>
      <c r="B76" s="458" t="s">
        <v>667</v>
      </c>
    </row>
    <row r="77" spans="1:2" ht="31.5" x14ac:dyDescent="0.25">
      <c r="A77" s="432" t="s">
        <v>670</v>
      </c>
      <c r="B77" s="458" t="s">
        <v>669</v>
      </c>
    </row>
    <row r="78" spans="1:2" ht="31.5" x14ac:dyDescent="0.25">
      <c r="A78" s="432" t="s">
        <v>672</v>
      </c>
      <c r="B78" s="467" t="s">
        <v>671</v>
      </c>
    </row>
    <row r="79" spans="1:2" ht="31.5" x14ac:dyDescent="0.25">
      <c r="A79" s="432" t="s">
        <v>674</v>
      </c>
      <c r="B79" s="455" t="s">
        <v>673</v>
      </c>
    </row>
    <row r="80" spans="1:2" ht="31.5" x14ac:dyDescent="0.25">
      <c r="A80" s="432" t="s">
        <v>657</v>
      </c>
      <c r="B80" s="467" t="s">
        <v>656</v>
      </c>
    </row>
    <row r="81" spans="1:2" ht="31.5" x14ac:dyDescent="0.25">
      <c r="A81" s="432" t="s">
        <v>659</v>
      </c>
      <c r="B81" s="455" t="s">
        <v>658</v>
      </c>
    </row>
    <row r="82" spans="1:2" x14ac:dyDescent="0.25">
      <c r="A82" s="432" t="s">
        <v>661</v>
      </c>
      <c r="B82" s="455" t="s">
        <v>660</v>
      </c>
    </row>
    <row r="83" spans="1:2" ht="47.25" x14ac:dyDescent="0.25">
      <c r="A83" s="432" t="s">
        <v>664</v>
      </c>
      <c r="B83" s="455" t="s">
        <v>663</v>
      </c>
    </row>
    <row r="84" spans="1:2" s="470" customFormat="1" ht="32.25" thickBot="1" x14ac:dyDescent="0.3">
      <c r="A84" s="471" t="s">
        <v>634</v>
      </c>
      <c r="B84" s="472" t="s">
        <v>633</v>
      </c>
    </row>
    <row r="85" spans="1:2" s="470" customFormat="1" x14ac:dyDescent="0.25">
      <c r="A85" s="443" t="s">
        <v>809</v>
      </c>
      <c r="B85" s="473" t="s">
        <v>808</v>
      </c>
    </row>
    <row r="86" spans="1:2" s="470" customFormat="1" x14ac:dyDescent="0.25">
      <c r="A86" s="432" t="s">
        <v>805</v>
      </c>
      <c r="B86" s="474" t="s">
        <v>804</v>
      </c>
    </row>
    <row r="87" spans="1:2" ht="31.5" x14ac:dyDescent="0.25">
      <c r="A87" s="432" t="s">
        <v>797</v>
      </c>
      <c r="B87" s="474" t="s">
        <v>796</v>
      </c>
    </row>
    <row r="88" spans="1:2" ht="16.5" thickBot="1" x14ac:dyDescent="0.3">
      <c r="A88" s="432" t="s">
        <v>799</v>
      </c>
      <c r="B88" s="475" t="s">
        <v>798</v>
      </c>
    </row>
    <row r="89" spans="1:2" ht="48" thickBot="1" x14ac:dyDescent="0.3">
      <c r="A89" s="427" t="s">
        <v>638</v>
      </c>
      <c r="B89" s="428" t="s">
        <v>3318</v>
      </c>
    </row>
    <row r="90" spans="1:2" ht="32.25" thickBot="1" x14ac:dyDescent="0.3">
      <c r="A90" s="448" t="s">
        <v>639</v>
      </c>
      <c r="B90" s="476" t="s">
        <v>3319</v>
      </c>
    </row>
    <row r="91" spans="1:2" s="470" customFormat="1" ht="32.25" thickBot="1" x14ac:dyDescent="0.3">
      <c r="A91" s="427" t="s">
        <v>642</v>
      </c>
      <c r="B91" s="428" t="s">
        <v>641</v>
      </c>
    </row>
    <row r="92" spans="1:2" s="470" customFormat="1" x14ac:dyDescent="0.25">
      <c r="A92" s="477" t="s">
        <v>679</v>
      </c>
      <c r="B92" s="478" t="s">
        <v>3211</v>
      </c>
    </row>
    <row r="93" spans="1:2" ht="32.25" thickBot="1" x14ac:dyDescent="0.3">
      <c r="A93" s="448" t="s">
        <v>644</v>
      </c>
      <c r="B93" s="476" t="s">
        <v>643</v>
      </c>
    </row>
    <row r="94" spans="1:2" s="470" customFormat="1" ht="63.75" thickBot="1" x14ac:dyDescent="0.3">
      <c r="A94" s="427" t="s">
        <v>646</v>
      </c>
      <c r="B94" s="428" t="s">
        <v>3052</v>
      </c>
    </row>
    <row r="95" spans="1:2" s="470" customFormat="1" ht="47.25" x14ac:dyDescent="0.25">
      <c r="A95" s="477" t="s">
        <v>647</v>
      </c>
      <c r="B95" s="478" t="s">
        <v>3087</v>
      </c>
    </row>
    <row r="96" spans="1:2" ht="32.25" thickBot="1" x14ac:dyDescent="0.3">
      <c r="A96" s="448" t="s">
        <v>948</v>
      </c>
      <c r="B96" s="476" t="s">
        <v>3088</v>
      </c>
    </row>
    <row r="97" spans="1:2" s="470" customFormat="1" ht="32.25" thickBot="1" x14ac:dyDescent="0.3">
      <c r="A97" s="427" t="s">
        <v>748</v>
      </c>
      <c r="B97" s="428" t="s">
        <v>747</v>
      </c>
    </row>
    <row r="98" spans="1:2" ht="16.5" thickBot="1" x14ac:dyDescent="0.3">
      <c r="A98" s="448" t="s">
        <v>750</v>
      </c>
      <c r="B98" s="476" t="s">
        <v>749</v>
      </c>
    </row>
    <row r="99" spans="1:2" ht="30" customHeight="1" thickBot="1" x14ac:dyDescent="0.3">
      <c r="A99" s="427" t="s">
        <v>861</v>
      </c>
      <c r="B99" s="464" t="s">
        <v>860</v>
      </c>
    </row>
    <row r="100" spans="1:2" ht="47.25" x14ac:dyDescent="0.25">
      <c r="A100" s="443" t="s">
        <v>863</v>
      </c>
      <c r="B100" s="479" t="s">
        <v>862</v>
      </c>
    </row>
    <row r="101" spans="1:2" ht="47.25" x14ac:dyDescent="0.25">
      <c r="A101" s="432" t="s">
        <v>865</v>
      </c>
      <c r="B101" s="458" t="s">
        <v>864</v>
      </c>
    </row>
    <row r="102" spans="1:2" ht="31.5" x14ac:dyDescent="0.25">
      <c r="A102" s="432" t="s">
        <v>867</v>
      </c>
      <c r="B102" s="458" t="s">
        <v>866</v>
      </c>
    </row>
    <row r="103" spans="1:2" ht="32.25" thickBot="1" x14ac:dyDescent="0.3">
      <c r="A103" s="448" t="s">
        <v>3306</v>
      </c>
      <c r="B103" s="458" t="s">
        <v>3320</v>
      </c>
    </row>
    <row r="104" spans="1:2" ht="32.25" thickBot="1" x14ac:dyDescent="0.3">
      <c r="A104" s="450" t="s">
        <v>956</v>
      </c>
      <c r="B104" s="464" t="s">
        <v>955</v>
      </c>
    </row>
    <row r="105" spans="1:2" ht="34.5" customHeight="1" x14ac:dyDescent="0.25">
      <c r="A105" s="452" t="s">
        <v>959</v>
      </c>
      <c r="B105" s="465" t="s">
        <v>958</v>
      </c>
    </row>
    <row r="106" spans="1:2" ht="31.5" x14ac:dyDescent="0.25">
      <c r="A106" s="293" t="s">
        <v>962</v>
      </c>
      <c r="B106" s="480" t="s">
        <v>961</v>
      </c>
    </row>
    <row r="107" spans="1:2" ht="30.75" customHeight="1" x14ac:dyDescent="0.25">
      <c r="A107" s="452" t="s">
        <v>965</v>
      </c>
      <c r="B107" s="465" t="s">
        <v>964</v>
      </c>
    </row>
    <row r="108" spans="1:2" ht="34.5" customHeight="1" x14ac:dyDescent="0.25">
      <c r="A108" s="452" t="s">
        <v>967</v>
      </c>
      <c r="B108" s="481" t="s">
        <v>966</v>
      </c>
    </row>
    <row r="109" spans="1:2" ht="17.25" customHeight="1" x14ac:dyDescent="0.25">
      <c r="A109" s="452" t="s">
        <v>970</v>
      </c>
      <c r="B109" s="481" t="s">
        <v>969</v>
      </c>
    </row>
    <row r="110" spans="1:2" x14ac:dyDescent="0.25">
      <c r="A110" s="452" t="s">
        <v>971</v>
      </c>
      <c r="B110" s="480" t="s">
        <v>2958</v>
      </c>
    </row>
    <row r="111" spans="1:2" x14ac:dyDescent="0.25">
      <c r="A111" s="296" t="s">
        <v>3293</v>
      </c>
      <c r="B111" s="480" t="s">
        <v>3294</v>
      </c>
    </row>
    <row r="112" spans="1:2" ht="31.5" x14ac:dyDescent="0.25">
      <c r="A112" s="643" t="s">
        <v>974</v>
      </c>
      <c r="B112" s="663" t="s">
        <v>973</v>
      </c>
    </row>
    <row r="113" spans="1:2" ht="31.5" x14ac:dyDescent="0.25">
      <c r="A113" s="452" t="s">
        <v>976</v>
      </c>
      <c r="B113" s="453" t="s">
        <v>975</v>
      </c>
    </row>
    <row r="114" spans="1:2" ht="31.5" x14ac:dyDescent="0.25">
      <c r="A114" s="454" t="s">
        <v>978</v>
      </c>
      <c r="B114" s="455" t="s">
        <v>977</v>
      </c>
    </row>
    <row r="115" spans="1:2" ht="31.5" x14ac:dyDescent="0.25">
      <c r="A115" s="456" t="s">
        <v>980</v>
      </c>
      <c r="B115" s="457" t="s">
        <v>979</v>
      </c>
    </row>
    <row r="116" spans="1:2" ht="31.5" x14ac:dyDescent="0.25">
      <c r="A116" s="454" t="s">
        <v>982</v>
      </c>
      <c r="B116" s="466" t="s">
        <v>981</v>
      </c>
    </row>
    <row r="117" spans="1:2" ht="31.5" x14ac:dyDescent="0.25">
      <c r="A117" s="454" t="s">
        <v>984</v>
      </c>
      <c r="B117" s="466" t="s">
        <v>983</v>
      </c>
    </row>
    <row r="118" spans="1:2" ht="16.5" thickBot="1" x14ac:dyDescent="0.3">
      <c r="A118" s="299" t="s">
        <v>986</v>
      </c>
      <c r="B118" s="483" t="s">
        <v>985</v>
      </c>
    </row>
    <row r="119" spans="1:2" ht="32.25" thickBot="1" x14ac:dyDescent="0.3">
      <c r="A119" s="427" t="s">
        <v>988</v>
      </c>
      <c r="B119" s="484" t="s">
        <v>987</v>
      </c>
    </row>
    <row r="120" spans="1:2" ht="20.25" customHeight="1" thickBot="1" x14ac:dyDescent="0.3">
      <c r="A120" s="299" t="s">
        <v>990</v>
      </c>
      <c r="B120" s="483" t="s">
        <v>989</v>
      </c>
    </row>
    <row r="121" spans="1:2" ht="31.5" x14ac:dyDescent="0.25">
      <c r="A121" s="555" t="s">
        <v>2914</v>
      </c>
      <c r="B121" s="556" t="s">
        <v>2931</v>
      </c>
    </row>
    <row r="122" spans="1:2" ht="19.899999999999999" customHeight="1" x14ac:dyDescent="0.25">
      <c r="A122" s="498" t="s">
        <v>2915</v>
      </c>
      <c r="B122" s="558" t="s">
        <v>3046</v>
      </c>
    </row>
    <row r="123" spans="1:2" ht="31.5" customHeight="1" x14ac:dyDescent="0.25">
      <c r="A123" s="293" t="s">
        <v>2962</v>
      </c>
      <c r="B123" s="480" t="s">
        <v>3047</v>
      </c>
    </row>
    <row r="124" spans="1:2" ht="33" customHeight="1" thickBot="1" x14ac:dyDescent="0.3">
      <c r="A124" s="482" t="s">
        <v>2930</v>
      </c>
      <c r="B124" s="557" t="s">
        <v>2957</v>
      </c>
    </row>
    <row r="125" spans="1:2" ht="31.5" x14ac:dyDescent="0.25">
      <c r="A125" s="301" t="s">
        <v>2932</v>
      </c>
      <c r="B125" s="524" t="s">
        <v>2933</v>
      </c>
    </row>
    <row r="126" spans="1:2" ht="48" thickBot="1" x14ac:dyDescent="0.3">
      <c r="A126" s="299" t="s">
        <v>2934</v>
      </c>
      <c r="B126" s="526" t="s">
        <v>2935</v>
      </c>
    </row>
    <row r="127" spans="1:2" ht="32.25" thickBot="1" x14ac:dyDescent="0.3">
      <c r="A127" s="523" t="s">
        <v>2936</v>
      </c>
      <c r="B127" s="527" t="s">
        <v>796</v>
      </c>
    </row>
    <row r="128" spans="1:2" ht="19.899999999999999" customHeight="1" x14ac:dyDescent="0.25">
      <c r="A128" s="528" t="s">
        <v>2937</v>
      </c>
      <c r="B128" s="638" t="s">
        <v>3162</v>
      </c>
    </row>
    <row r="129" spans="1:2" ht="19.899999999999999" customHeight="1" x14ac:dyDescent="0.25">
      <c r="A129" s="293" t="s">
        <v>3163</v>
      </c>
      <c r="B129" s="19" t="s">
        <v>3164</v>
      </c>
    </row>
    <row r="130" spans="1:2" ht="19.899999999999999" customHeight="1" thickBot="1" x14ac:dyDescent="0.3">
      <c r="A130" s="299" t="s">
        <v>3165</v>
      </c>
      <c r="B130" s="639" t="s">
        <v>3166</v>
      </c>
    </row>
    <row r="131" spans="1:2" ht="19.899999999999999" customHeight="1" thickBot="1" x14ac:dyDescent="0.3">
      <c r="A131" s="450" t="s">
        <v>3167</v>
      </c>
      <c r="B131" s="640" t="s">
        <v>3168</v>
      </c>
    </row>
    <row r="132" spans="1:2" ht="19.899999999999999" customHeight="1" x14ac:dyDescent="0.25">
      <c r="A132" s="528" t="s">
        <v>3195</v>
      </c>
      <c r="B132" s="638" t="s">
        <v>3169</v>
      </c>
    </row>
    <row r="133" spans="1:2" ht="19.899999999999999" customHeight="1" x14ac:dyDescent="0.25">
      <c r="A133" s="293" t="s">
        <v>3196</v>
      </c>
      <c r="B133" s="19" t="s">
        <v>3170</v>
      </c>
    </row>
    <row r="134" spans="1:2" ht="19.899999999999999" customHeight="1" thickBot="1" x14ac:dyDescent="0.3">
      <c r="A134" s="299" t="s">
        <v>3197</v>
      </c>
      <c r="B134" s="639" t="s">
        <v>3171</v>
      </c>
    </row>
    <row r="135" spans="1:2" ht="32.25" thickBot="1" x14ac:dyDescent="0.3">
      <c r="A135" s="450" t="s">
        <v>3172</v>
      </c>
      <c r="B135" s="641" t="s">
        <v>3173</v>
      </c>
    </row>
    <row r="136" spans="1:2" ht="19.899999999999999" customHeight="1" x14ac:dyDescent="0.25">
      <c r="A136" s="528" t="s">
        <v>3174</v>
      </c>
      <c r="B136" s="642" t="s">
        <v>3175</v>
      </c>
    </row>
    <row r="137" spans="1:2" ht="19.899999999999999" customHeight="1" x14ac:dyDescent="0.25">
      <c r="A137" s="498"/>
      <c r="B137" s="525"/>
    </row>
    <row r="138" spans="1:2" ht="19.899999999999999" customHeight="1" x14ac:dyDescent="0.25">
      <c r="A138" s="498"/>
      <c r="B138" s="525"/>
    </row>
    <row r="139" spans="1:2" ht="19.899999999999999" customHeight="1" x14ac:dyDescent="0.25">
      <c r="A139" s="498"/>
      <c r="B139" s="525"/>
    </row>
    <row r="140" spans="1:2" ht="19.899999999999999" customHeight="1" x14ac:dyDescent="0.25">
      <c r="A140" s="498"/>
      <c r="B140" s="525"/>
    </row>
    <row r="141" spans="1:2" ht="19.899999999999999" customHeight="1" x14ac:dyDescent="0.25">
      <c r="A141" s="498"/>
      <c r="B141" s="525"/>
    </row>
    <row r="142" spans="1:2" ht="19.899999999999999" customHeight="1" x14ac:dyDescent="0.25">
      <c r="A142" s="498"/>
      <c r="B142" s="525"/>
    </row>
    <row r="143" spans="1:2" ht="19.899999999999999" customHeight="1" x14ac:dyDescent="0.25">
      <c r="A143" s="498"/>
      <c r="B143" s="525"/>
    </row>
    <row r="144" spans="1:2" ht="19.899999999999999" customHeight="1" x14ac:dyDescent="0.25">
      <c r="A144" s="498"/>
      <c r="B144" s="525"/>
    </row>
    <row r="145" spans="1:2" ht="19.899999999999999" customHeight="1" x14ac:dyDescent="0.25">
      <c r="A145" s="498"/>
      <c r="B145" s="525"/>
    </row>
    <row r="146" spans="1:2" ht="19.899999999999999" customHeight="1" x14ac:dyDescent="0.25">
      <c r="A146" s="498"/>
      <c r="B146" s="525"/>
    </row>
    <row r="147" spans="1:2" ht="19.899999999999999" customHeight="1" x14ac:dyDescent="0.25">
      <c r="A147" s="498"/>
      <c r="B147" s="525"/>
    </row>
    <row r="148" spans="1:2" ht="19.899999999999999" customHeight="1" x14ac:dyDescent="0.25">
      <c r="A148" s="498"/>
      <c r="B148" s="525"/>
    </row>
    <row r="149" spans="1:2" ht="19.899999999999999" customHeight="1" x14ac:dyDescent="0.25">
      <c r="A149" s="498"/>
      <c r="B149" s="525"/>
    </row>
    <row r="150" spans="1:2" ht="19.899999999999999" customHeight="1" x14ac:dyDescent="0.25">
      <c r="A150" s="498"/>
      <c r="B150" s="525"/>
    </row>
    <row r="151" spans="1:2" ht="19.899999999999999" customHeight="1" x14ac:dyDescent="0.25">
      <c r="A151" s="498"/>
      <c r="B151" s="525"/>
    </row>
    <row r="152" spans="1:2" ht="19.899999999999999" customHeight="1" x14ac:dyDescent="0.25">
      <c r="A152" s="498"/>
      <c r="B152" s="525"/>
    </row>
    <row r="153" spans="1:2" ht="19.899999999999999" customHeight="1" x14ac:dyDescent="0.25">
      <c r="A153" s="498"/>
      <c r="B153" s="525"/>
    </row>
    <row r="154" spans="1:2" ht="19.899999999999999" customHeight="1" x14ac:dyDescent="0.25">
      <c r="A154" s="498"/>
      <c r="B154" s="525"/>
    </row>
    <row r="155" spans="1:2" ht="19.899999999999999" customHeight="1" x14ac:dyDescent="0.25">
      <c r="A155" s="498"/>
      <c r="B155" s="525"/>
    </row>
    <row r="156" spans="1:2" ht="19.899999999999999" customHeight="1" x14ac:dyDescent="0.25">
      <c r="A156" s="498"/>
      <c r="B156" s="525"/>
    </row>
    <row r="157" spans="1:2" ht="19.899999999999999" customHeight="1" x14ac:dyDescent="0.25">
      <c r="A157" s="498"/>
      <c r="B157" s="525"/>
    </row>
    <row r="158" spans="1:2" x14ac:dyDescent="0.25">
      <c r="A158" s="485" t="s">
        <v>626</v>
      </c>
      <c r="B158" s="131" t="s">
        <v>625</v>
      </c>
    </row>
    <row r="159" spans="1:2" ht="16.5" thickBot="1" x14ac:dyDescent="0.3">
      <c r="A159" s="486" t="s">
        <v>801</v>
      </c>
      <c r="B159" s="487" t="s">
        <v>800</v>
      </c>
    </row>
    <row r="160" spans="1:2" x14ac:dyDescent="0.25">
      <c r="A160" s="488"/>
      <c r="B160" s="489"/>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view="pageBreakPreview" zoomScale="145" zoomScaleSheetLayoutView="145" workbookViewId="0">
      <selection activeCell="A7" sqref="A7:E7"/>
    </sheetView>
  </sheetViews>
  <sheetFormatPr defaultColWidth="9.140625" defaultRowHeight="12.75" x14ac:dyDescent="0.2"/>
  <cols>
    <col min="1" max="1" width="4.140625" style="384" customWidth="1"/>
    <col min="2" max="2" width="56.85546875" style="384" customWidth="1"/>
    <col min="3" max="3" width="12.85546875" style="384" hidden="1" customWidth="1"/>
    <col min="4" max="4" width="11.28515625" style="384" hidden="1" customWidth="1"/>
    <col min="5" max="5" width="22.28515625" style="384" customWidth="1"/>
    <col min="6" max="16384" width="9.140625" style="384"/>
  </cols>
  <sheetData>
    <row r="1" spans="1:5" x14ac:dyDescent="0.2">
      <c r="B1" s="1070" t="s">
        <v>351</v>
      </c>
      <c r="C1" s="1070"/>
      <c r="D1" s="1070"/>
      <c r="E1" s="1070"/>
    </row>
    <row r="2" spans="1:5" x14ac:dyDescent="0.2">
      <c r="B2" s="1070" t="s">
        <v>1</v>
      </c>
      <c r="C2" s="1070"/>
      <c r="D2" s="1070"/>
      <c r="E2" s="1070"/>
    </row>
    <row r="3" spans="1:5" x14ac:dyDescent="0.2">
      <c r="B3" s="1070" t="s">
        <v>2</v>
      </c>
      <c r="C3" s="1070"/>
      <c r="D3" s="1070"/>
      <c r="E3" s="1070"/>
    </row>
    <row r="4" spans="1:5" x14ac:dyDescent="0.2">
      <c r="B4" s="1070" t="s">
        <v>3478</v>
      </c>
      <c r="C4" s="1070"/>
      <c r="D4" s="1070"/>
      <c r="E4" s="1070"/>
    </row>
    <row r="5" spans="1:5" x14ac:dyDescent="0.2">
      <c r="B5" s="403"/>
      <c r="C5" s="403"/>
    </row>
    <row r="6" spans="1:5" ht="33.75" customHeight="1" x14ac:dyDescent="0.2">
      <c r="A6" s="1071" t="s">
        <v>3476</v>
      </c>
      <c r="B6" s="1071"/>
      <c r="C6" s="1071"/>
      <c r="D6" s="1071"/>
      <c r="E6" s="1071"/>
    </row>
    <row r="7" spans="1:5" ht="13.5" thickBot="1" x14ac:dyDescent="0.25">
      <c r="A7" s="1072" t="s">
        <v>3200</v>
      </c>
      <c r="B7" s="1072"/>
      <c r="C7" s="1072"/>
      <c r="D7" s="1072"/>
      <c r="E7" s="1072"/>
    </row>
    <row r="8" spans="1:5" x14ac:dyDescent="0.2">
      <c r="A8" s="1073" t="s">
        <v>1012</v>
      </c>
      <c r="B8" s="1074"/>
      <c r="C8" s="805" t="s">
        <v>192</v>
      </c>
      <c r="D8" s="805" t="s">
        <v>997</v>
      </c>
      <c r="E8" s="805" t="s">
        <v>192</v>
      </c>
    </row>
    <row r="9" spans="1:5" x14ac:dyDescent="0.2">
      <c r="A9" s="1075" t="s">
        <v>1015</v>
      </c>
      <c r="B9" s="1076"/>
      <c r="C9" s="806">
        <v>696500</v>
      </c>
      <c r="D9" s="806"/>
      <c r="E9" s="806">
        <f>C9+D9</f>
        <v>696500</v>
      </c>
    </row>
    <row r="10" spans="1:5" x14ac:dyDescent="0.2">
      <c r="A10" s="1075" t="s">
        <v>1039</v>
      </c>
      <c r="B10" s="1076"/>
      <c r="C10" s="806">
        <v>1246185</v>
      </c>
      <c r="D10" s="806"/>
      <c r="E10" s="806">
        <f>C10+D10</f>
        <v>1246185</v>
      </c>
    </row>
    <row r="11" spans="1:5" x14ac:dyDescent="0.2">
      <c r="A11" s="1075" t="s">
        <v>1040</v>
      </c>
      <c r="B11" s="1076"/>
      <c r="C11" s="806">
        <v>1017526</v>
      </c>
      <c r="D11" s="806"/>
      <c r="E11" s="806">
        <f>C11+D11</f>
        <v>1017526</v>
      </c>
    </row>
    <row r="12" spans="1:5" x14ac:dyDescent="0.2">
      <c r="A12" s="1077" t="s">
        <v>1016</v>
      </c>
      <c r="B12" s="1078"/>
      <c r="C12" s="806">
        <v>2350000</v>
      </c>
      <c r="D12" s="806">
        <v>-1000000</v>
      </c>
      <c r="E12" s="806">
        <f>C12+D12</f>
        <v>1350000</v>
      </c>
    </row>
    <row r="13" spans="1:5" x14ac:dyDescent="0.2">
      <c r="A13" s="1068" t="s">
        <v>1037</v>
      </c>
      <c r="B13" s="1069"/>
      <c r="C13" s="807">
        <v>17239463</v>
      </c>
      <c r="D13" s="807">
        <v>1000000</v>
      </c>
      <c r="E13" s="806">
        <f>C13+D13</f>
        <v>18239463</v>
      </c>
    </row>
    <row r="14" spans="1:5" ht="13.5" thickBot="1" x14ac:dyDescent="0.25">
      <c r="A14" s="1079" t="s">
        <v>177</v>
      </c>
      <c r="B14" s="1080"/>
      <c r="C14" s="808">
        <v>22549674</v>
      </c>
      <c r="D14" s="808">
        <f>D9+D10+D11+D12+D13</f>
        <v>0</v>
      </c>
      <c r="E14" s="808">
        <f>E9+E10+E11+E12+E13</f>
        <v>22549674</v>
      </c>
    </row>
    <row r="16" spans="1:5" ht="27" customHeight="1" thickBot="1" x14ac:dyDescent="0.25">
      <c r="A16" s="1081" t="s">
        <v>3201</v>
      </c>
      <c r="B16" s="1081"/>
      <c r="C16" s="1081"/>
      <c r="D16" s="1081"/>
      <c r="E16" s="1081"/>
    </row>
    <row r="17" spans="1:5" x14ac:dyDescent="0.2">
      <c r="A17" s="1073" t="s">
        <v>1012</v>
      </c>
      <c r="B17" s="1074"/>
      <c r="C17" s="805" t="s">
        <v>192</v>
      </c>
      <c r="D17" s="805" t="s">
        <v>192</v>
      </c>
      <c r="E17" s="805" t="s">
        <v>192</v>
      </c>
    </row>
    <row r="18" spans="1:5" x14ac:dyDescent="0.2">
      <c r="A18" s="1068" t="s">
        <v>1016</v>
      </c>
      <c r="B18" s="1069"/>
      <c r="C18" s="807">
        <v>59000</v>
      </c>
      <c r="D18" s="807"/>
      <c r="E18" s="807">
        <v>59000</v>
      </c>
    </row>
    <row r="19" spans="1:5" ht="13.5" thickBot="1" x14ac:dyDescent="0.25">
      <c r="A19" s="1079" t="s">
        <v>177</v>
      </c>
      <c r="B19" s="1080"/>
      <c r="C19" s="808">
        <f>C18</f>
        <v>59000</v>
      </c>
      <c r="D19" s="808">
        <f>D18</f>
        <v>0</v>
      </c>
      <c r="E19" s="808">
        <f>E18</f>
        <v>59000</v>
      </c>
    </row>
    <row r="20" spans="1:5" x14ac:dyDescent="0.2">
      <c r="A20" s="809"/>
      <c r="B20" s="809"/>
      <c r="C20" s="810"/>
      <c r="D20" s="810"/>
      <c r="E20" s="810"/>
    </row>
    <row r="21" spans="1:5" ht="28.5" customHeight="1" x14ac:dyDescent="0.2">
      <c r="A21" s="1081" t="s">
        <v>3317</v>
      </c>
      <c r="B21" s="1081"/>
      <c r="C21" s="1081"/>
      <c r="D21" s="1081"/>
      <c r="E21" s="1081"/>
    </row>
    <row r="22" spans="1:5" x14ac:dyDescent="0.2">
      <c r="A22" s="1082" t="s">
        <v>1012</v>
      </c>
      <c r="B22" s="1082"/>
      <c r="C22" s="811" t="s">
        <v>192</v>
      </c>
      <c r="D22" s="811" t="s">
        <v>192</v>
      </c>
      <c r="E22" s="811" t="s">
        <v>192</v>
      </c>
    </row>
    <row r="23" spans="1:5" x14ac:dyDescent="0.2">
      <c r="A23" s="1069" t="s">
        <v>1037</v>
      </c>
      <c r="B23" s="1069"/>
      <c r="C23" s="807">
        <v>62210987</v>
      </c>
      <c r="D23" s="807"/>
      <c r="E23" s="807">
        <f>C23+D23</f>
        <v>62210987</v>
      </c>
    </row>
    <row r="24" spans="1:5" x14ac:dyDescent="0.2">
      <c r="A24" s="1083" t="s">
        <v>177</v>
      </c>
      <c r="B24" s="1083"/>
      <c r="C24" s="812">
        <f>C23</f>
        <v>62210987</v>
      </c>
      <c r="D24" s="812">
        <f>D23</f>
        <v>0</v>
      </c>
      <c r="E24" s="812">
        <f>E23</f>
        <v>62210987</v>
      </c>
    </row>
    <row r="25" spans="1:5" ht="30" customHeight="1" thickBot="1" x14ac:dyDescent="0.25">
      <c r="A25" s="1081" t="s">
        <v>3346</v>
      </c>
      <c r="B25" s="1081"/>
      <c r="C25" s="1081"/>
      <c r="D25" s="1081"/>
      <c r="E25" s="1081"/>
    </row>
    <row r="26" spans="1:5" x14ac:dyDescent="0.2">
      <c r="A26" s="1073" t="s">
        <v>1012</v>
      </c>
      <c r="B26" s="1074"/>
      <c r="C26" s="805" t="s">
        <v>192</v>
      </c>
      <c r="D26" s="805" t="s">
        <v>192</v>
      </c>
      <c r="E26" s="813" t="s">
        <v>192</v>
      </c>
    </row>
    <row r="27" spans="1:5" x14ac:dyDescent="0.2">
      <c r="A27" s="1068" t="s">
        <v>1037</v>
      </c>
      <c r="B27" s="1069"/>
      <c r="C27" s="814">
        <v>6546083.3799999999</v>
      </c>
      <c r="D27" s="807"/>
      <c r="E27" s="814">
        <f>C27+D27</f>
        <v>6546083.3799999999</v>
      </c>
    </row>
    <row r="28" spans="1:5" ht="13.5" thickBot="1" x14ac:dyDescent="0.25">
      <c r="A28" s="1079" t="s">
        <v>177</v>
      </c>
      <c r="B28" s="1080"/>
      <c r="C28" s="808">
        <f>C27</f>
        <v>6546083.3799999999</v>
      </c>
      <c r="D28" s="808">
        <f>D27</f>
        <v>0</v>
      </c>
      <c r="E28" s="815">
        <f>E27</f>
        <v>6546083.3799999999</v>
      </c>
    </row>
    <row r="29" spans="1:5" x14ac:dyDescent="0.2">
      <c r="A29" s="809"/>
      <c r="B29" s="809"/>
      <c r="C29" s="810"/>
      <c r="D29" s="810"/>
      <c r="E29" s="810"/>
    </row>
    <row r="30" spans="1:5" ht="21" customHeight="1" thickBot="1" x14ac:dyDescent="0.25">
      <c r="A30" s="1081" t="s">
        <v>3387</v>
      </c>
      <c r="B30" s="1081"/>
      <c r="C30" s="1081"/>
      <c r="D30" s="1081"/>
      <c r="E30" s="1081"/>
    </row>
    <row r="31" spans="1:5" x14ac:dyDescent="0.2">
      <c r="A31" s="1073" t="s">
        <v>1012</v>
      </c>
      <c r="B31" s="1074"/>
      <c r="C31" s="805" t="s">
        <v>192</v>
      </c>
      <c r="D31" s="805" t="s">
        <v>192</v>
      </c>
      <c r="E31" s="813" t="s">
        <v>192</v>
      </c>
    </row>
    <row r="32" spans="1:5" x14ac:dyDescent="0.2">
      <c r="A32" s="1068" t="s">
        <v>1037</v>
      </c>
      <c r="B32" s="1069"/>
      <c r="C32" s="814">
        <v>1509822</v>
      </c>
      <c r="D32" s="807"/>
      <c r="E32" s="814">
        <f>C32+D32</f>
        <v>1509822</v>
      </c>
    </row>
    <row r="33" spans="1:5" ht="13.5" thickBot="1" x14ac:dyDescent="0.25">
      <c r="A33" s="1079" t="s">
        <v>177</v>
      </c>
      <c r="B33" s="1080"/>
      <c r="C33" s="808">
        <f>C32</f>
        <v>1509822</v>
      </c>
      <c r="D33" s="808">
        <f>D32</f>
        <v>0</v>
      </c>
      <c r="E33" s="815">
        <f>E32</f>
        <v>1509822</v>
      </c>
    </row>
    <row r="34" spans="1:5" x14ac:dyDescent="0.2">
      <c r="A34" s="809"/>
      <c r="B34" s="809"/>
      <c r="C34" s="810"/>
      <c r="D34" s="810"/>
      <c r="E34" s="810"/>
    </row>
    <row r="35" spans="1:5" ht="36.75" customHeight="1" x14ac:dyDescent="0.2">
      <c r="A35" s="1084" t="s">
        <v>3477</v>
      </c>
      <c r="B35" s="1084"/>
      <c r="C35" s="1084"/>
      <c r="D35" s="1084"/>
      <c r="E35" s="1084"/>
    </row>
    <row r="36" spans="1:5" x14ac:dyDescent="0.2">
      <c r="A36" s="1085" t="s">
        <v>1012</v>
      </c>
      <c r="B36" s="1086"/>
      <c r="C36" s="861" t="s">
        <v>192</v>
      </c>
      <c r="D36" s="861" t="s">
        <v>192</v>
      </c>
      <c r="E36" s="862" t="s">
        <v>192</v>
      </c>
    </row>
    <row r="37" spans="1:5" x14ac:dyDescent="0.2">
      <c r="A37" s="1075" t="s">
        <v>1040</v>
      </c>
      <c r="B37" s="1076"/>
      <c r="C37" s="814">
        <v>5302790</v>
      </c>
      <c r="D37" s="807"/>
      <c r="E37" s="814">
        <f>C37+D37</f>
        <v>5302790</v>
      </c>
    </row>
    <row r="38" spans="1:5" ht="13.5" thickBot="1" x14ac:dyDescent="0.25">
      <c r="A38" s="1079" t="s">
        <v>177</v>
      </c>
      <c r="B38" s="1080"/>
      <c r="C38" s="808">
        <f>C37</f>
        <v>5302790</v>
      </c>
      <c r="D38" s="808">
        <f>D37</f>
        <v>0</v>
      </c>
      <c r="E38" s="815">
        <f>E37</f>
        <v>5302790</v>
      </c>
    </row>
    <row r="39" spans="1:5" ht="6" customHeight="1" x14ac:dyDescent="0.2">
      <c r="A39" s="809"/>
      <c r="B39" s="809"/>
      <c r="C39" s="810"/>
      <c r="D39" s="810"/>
      <c r="E39" s="810"/>
    </row>
    <row r="40" spans="1:5" ht="30.75" customHeight="1" thickBot="1" x14ac:dyDescent="0.25">
      <c r="A40" s="1081" t="s">
        <v>3422</v>
      </c>
      <c r="B40" s="1081"/>
      <c r="C40" s="1081"/>
      <c r="D40" s="1081"/>
      <c r="E40" s="1081"/>
    </row>
    <row r="41" spans="1:5" x14ac:dyDescent="0.2">
      <c r="A41" s="1073" t="s">
        <v>1012</v>
      </c>
      <c r="B41" s="1074"/>
      <c r="C41" s="805" t="s">
        <v>192</v>
      </c>
      <c r="D41" s="805" t="s">
        <v>192</v>
      </c>
      <c r="E41" s="813" t="s">
        <v>192</v>
      </c>
    </row>
    <row r="42" spans="1:5" x14ac:dyDescent="0.2">
      <c r="A42" s="1068" t="s">
        <v>1037</v>
      </c>
      <c r="B42" s="1069"/>
      <c r="C42" s="814">
        <v>10000000</v>
      </c>
      <c r="D42" s="807"/>
      <c r="E42" s="814">
        <f>C42+D42</f>
        <v>10000000</v>
      </c>
    </row>
    <row r="43" spans="1:5" ht="13.5" thickBot="1" x14ac:dyDescent="0.25">
      <c r="A43" s="1079" t="s">
        <v>177</v>
      </c>
      <c r="B43" s="1080"/>
      <c r="C43" s="808">
        <f>C42</f>
        <v>10000000</v>
      </c>
      <c r="D43" s="808">
        <f>D42</f>
        <v>0</v>
      </c>
      <c r="E43" s="815">
        <f>E42</f>
        <v>10000000</v>
      </c>
    </row>
    <row r="44" spans="1:5" ht="7.5" customHeight="1" x14ac:dyDescent="0.2">
      <c r="A44" s="1087"/>
      <c r="B44" s="1087"/>
      <c r="C44" s="1087"/>
      <c r="D44" s="1087"/>
      <c r="E44" s="1087"/>
    </row>
    <row r="45" spans="1:5" ht="28.5" customHeight="1" thickBot="1" x14ac:dyDescent="0.25">
      <c r="A45" s="1081" t="s">
        <v>3445</v>
      </c>
      <c r="B45" s="1081"/>
      <c r="C45" s="1081"/>
      <c r="D45" s="1081"/>
      <c r="E45" s="1081"/>
    </row>
    <row r="46" spans="1:5" x14ac:dyDescent="0.2">
      <c r="A46" s="1073" t="s">
        <v>1012</v>
      </c>
      <c r="B46" s="1074"/>
      <c r="C46" s="805" t="s">
        <v>192</v>
      </c>
      <c r="D46" s="805" t="s">
        <v>192</v>
      </c>
      <c r="E46" s="813" t="s">
        <v>192</v>
      </c>
    </row>
    <row r="47" spans="1:5" x14ac:dyDescent="0.2">
      <c r="A47" s="1068" t="s">
        <v>1037</v>
      </c>
      <c r="B47" s="1069"/>
      <c r="C47" s="814">
        <v>637976</v>
      </c>
      <c r="D47" s="807"/>
      <c r="E47" s="814">
        <v>637976</v>
      </c>
    </row>
    <row r="48" spans="1:5" x14ac:dyDescent="0.2">
      <c r="A48" s="1075" t="s">
        <v>1040</v>
      </c>
      <c r="B48" s="1076"/>
      <c r="C48" s="814">
        <v>612957</v>
      </c>
      <c r="D48" s="807"/>
      <c r="E48" s="814">
        <v>612957</v>
      </c>
    </row>
    <row r="49" spans="1:5" ht="13.5" thickBot="1" x14ac:dyDescent="0.25">
      <c r="A49" s="1079" t="s">
        <v>177</v>
      </c>
      <c r="B49" s="1080"/>
      <c r="C49" s="808">
        <f>C48+C47</f>
        <v>1250933</v>
      </c>
      <c r="D49" s="808">
        <f>D48</f>
        <v>0</v>
      </c>
      <c r="E49" s="815">
        <f>SUM(E47:E48)</f>
        <v>1250933</v>
      </c>
    </row>
    <row r="50" spans="1:5" ht="42.75" customHeight="1" thickBot="1" x14ac:dyDescent="0.25">
      <c r="A50" s="1081" t="s">
        <v>3446</v>
      </c>
      <c r="B50" s="1081"/>
      <c r="C50" s="1081"/>
      <c r="D50" s="1081"/>
      <c r="E50" s="1081"/>
    </row>
    <row r="51" spans="1:5" x14ac:dyDescent="0.2">
      <c r="A51" s="1073" t="s">
        <v>1012</v>
      </c>
      <c r="B51" s="1074"/>
      <c r="C51" s="805" t="s">
        <v>192</v>
      </c>
      <c r="D51" s="805" t="s">
        <v>192</v>
      </c>
      <c r="E51" s="813" t="s">
        <v>192</v>
      </c>
    </row>
    <row r="52" spans="1:5" x14ac:dyDescent="0.2">
      <c r="A52" s="1068" t="s">
        <v>1037</v>
      </c>
      <c r="B52" s="1069"/>
      <c r="C52" s="814">
        <v>200000</v>
      </c>
      <c r="D52" s="807">
        <v>-114577</v>
      </c>
      <c r="E52" s="814">
        <f>C52+D52</f>
        <v>85423</v>
      </c>
    </row>
    <row r="53" spans="1:5" ht="13.5" thickBot="1" x14ac:dyDescent="0.25">
      <c r="A53" s="1079" t="s">
        <v>177</v>
      </c>
      <c r="B53" s="1080"/>
      <c r="C53" s="808">
        <f>C52</f>
        <v>200000</v>
      </c>
      <c r="D53" s="808">
        <f>D52</f>
        <v>-114577</v>
      </c>
      <c r="E53" s="815">
        <f>E52</f>
        <v>85423</v>
      </c>
    </row>
    <row r="55" spans="1:5" x14ac:dyDescent="0.2">
      <c r="A55" s="1088" t="s">
        <v>993</v>
      </c>
      <c r="B55" s="1089"/>
      <c r="C55" s="816"/>
      <c r="D55" s="817">
        <f>D14+D19+D24+D28+D33+D38+D43+D49+D53</f>
        <v>-114577</v>
      </c>
      <c r="E55" s="817">
        <f>E14+E19+E24+E28+E33+E38+E43+E49+E53</f>
        <v>109514712.38</v>
      </c>
    </row>
  </sheetData>
  <mergeCells count="48">
    <mergeCell ref="A55:B55"/>
    <mergeCell ref="A49:B49"/>
    <mergeCell ref="A47:B47"/>
    <mergeCell ref="A50:E50"/>
    <mergeCell ref="A51:B51"/>
    <mergeCell ref="A52:B52"/>
    <mergeCell ref="A53:B53"/>
    <mergeCell ref="A43:B43"/>
    <mergeCell ref="A44:E44"/>
    <mergeCell ref="A45:E45"/>
    <mergeCell ref="A46:B46"/>
    <mergeCell ref="A48:B48"/>
    <mergeCell ref="A42:B42"/>
    <mergeCell ref="A28:B28"/>
    <mergeCell ref="A30:E30"/>
    <mergeCell ref="A31:B31"/>
    <mergeCell ref="A32:B32"/>
    <mergeCell ref="A33:B33"/>
    <mergeCell ref="A35:E35"/>
    <mergeCell ref="A36:B36"/>
    <mergeCell ref="A37:B37"/>
    <mergeCell ref="A38:B38"/>
    <mergeCell ref="A40:E40"/>
    <mergeCell ref="A41:B41"/>
    <mergeCell ref="A27:B27"/>
    <mergeCell ref="A14:B14"/>
    <mergeCell ref="A16:E16"/>
    <mergeCell ref="A17:B17"/>
    <mergeCell ref="A18:B18"/>
    <mergeCell ref="A19:B19"/>
    <mergeCell ref="A21:E21"/>
    <mergeCell ref="A22:B22"/>
    <mergeCell ref="A23:B23"/>
    <mergeCell ref="A24:B24"/>
    <mergeCell ref="A25:E25"/>
    <mergeCell ref="A26:B26"/>
    <mergeCell ref="A13:B13"/>
    <mergeCell ref="B1:E1"/>
    <mergeCell ref="B2:E2"/>
    <mergeCell ref="B3:E3"/>
    <mergeCell ref="B4:E4"/>
    <mergeCell ref="A6:E6"/>
    <mergeCell ref="A7:E7"/>
    <mergeCell ref="A8:B8"/>
    <mergeCell ref="A9:B9"/>
    <mergeCell ref="A10:B10"/>
    <mergeCell ref="A11:B11"/>
    <mergeCell ref="A12:B12"/>
  </mergeCells>
  <pageMargins left="0.70866141732283472" right="0.70866141732283472" top="0.74803149606299213" bottom="0.74803149606299213" header="0.31496062992125984" footer="0.31496062992125984"/>
  <pageSetup paperSize="9" fitToHeight="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view="pageBreakPreview" zoomScale="130" zoomScaleSheetLayoutView="130" workbookViewId="0">
      <selection activeCell="A6" sqref="A6"/>
    </sheetView>
  </sheetViews>
  <sheetFormatPr defaultColWidth="9.140625" defaultRowHeight="12.75" x14ac:dyDescent="0.2"/>
  <cols>
    <col min="1" max="1" width="58.42578125" style="775" customWidth="1"/>
    <col min="2" max="2" width="12.140625" style="775" hidden="1" customWidth="1"/>
    <col min="3" max="3" width="12.7109375" style="775" hidden="1" customWidth="1"/>
    <col min="4" max="4" width="15.7109375" style="775" hidden="1" customWidth="1"/>
    <col min="5" max="5" width="12.7109375" style="775" hidden="1" customWidth="1"/>
    <col min="6" max="6" width="27.42578125" style="775" customWidth="1"/>
    <col min="7" max="16384" width="9.140625" style="775"/>
  </cols>
  <sheetData>
    <row r="1" spans="1:6" x14ac:dyDescent="0.2">
      <c r="A1" s="1091" t="s">
        <v>567</v>
      </c>
      <c r="B1" s="1091"/>
      <c r="C1" s="1091"/>
      <c r="D1" s="1091"/>
      <c r="E1" s="1091"/>
      <c r="F1" s="1091"/>
    </row>
    <row r="2" spans="1:6" x14ac:dyDescent="0.2">
      <c r="A2" s="1091" t="s">
        <v>1</v>
      </c>
      <c r="B2" s="1091"/>
      <c r="C2" s="1091"/>
      <c r="D2" s="1091"/>
      <c r="E2" s="1091"/>
      <c r="F2" s="1091"/>
    </row>
    <row r="3" spans="1:6" x14ac:dyDescent="0.2">
      <c r="A3" s="1091" t="s">
        <v>2</v>
      </c>
      <c r="B3" s="1091"/>
      <c r="C3" s="1091"/>
      <c r="D3" s="1091"/>
      <c r="E3" s="1091"/>
      <c r="F3" s="1091"/>
    </row>
    <row r="4" spans="1:6" x14ac:dyDescent="0.2">
      <c r="A4" s="1091" t="s">
        <v>3478</v>
      </c>
      <c r="B4" s="1091"/>
      <c r="C4" s="1091"/>
      <c r="D4" s="1091"/>
      <c r="E4" s="1091"/>
      <c r="F4" s="1091"/>
    </row>
    <row r="5" spans="1:6" x14ac:dyDescent="0.2">
      <c r="A5" s="403"/>
      <c r="B5" s="403"/>
      <c r="C5" s="403"/>
      <c r="D5" s="384"/>
      <c r="E5" s="776"/>
      <c r="F5" s="776"/>
    </row>
    <row r="6" spans="1:6" x14ac:dyDescent="0.2">
      <c r="A6" s="384"/>
      <c r="B6" s="384"/>
      <c r="C6" s="384"/>
      <c r="D6" s="384"/>
      <c r="E6" s="776"/>
      <c r="F6" s="776"/>
    </row>
    <row r="7" spans="1:6" ht="27" customHeight="1" x14ac:dyDescent="0.2">
      <c r="A7" s="1090" t="s">
        <v>3101</v>
      </c>
      <c r="B7" s="1090"/>
      <c r="C7" s="1090"/>
      <c r="D7" s="1090"/>
      <c r="E7" s="1090"/>
      <c r="F7" s="1090"/>
    </row>
    <row r="8" spans="1:6" x14ac:dyDescent="0.2">
      <c r="A8" s="789"/>
      <c r="B8" s="789"/>
      <c r="C8" s="789"/>
      <c r="D8" s="384"/>
      <c r="E8" s="776"/>
      <c r="F8" s="776"/>
    </row>
    <row r="9" spans="1:6" ht="24" customHeight="1" thickBot="1" x14ac:dyDescent="0.25">
      <c r="A9" s="1090" t="s">
        <v>2924</v>
      </c>
      <c r="B9" s="1090"/>
      <c r="C9" s="1090"/>
      <c r="D9" s="1090"/>
      <c r="E9" s="1090"/>
      <c r="F9" s="1090"/>
    </row>
    <row r="10" spans="1:6" ht="26.25" thickBot="1" x14ac:dyDescent="0.25">
      <c r="A10" s="790" t="s">
        <v>1012</v>
      </c>
      <c r="B10" s="791" t="s">
        <v>3440</v>
      </c>
      <c r="C10" s="791" t="s">
        <v>1048</v>
      </c>
      <c r="D10" s="791" t="s">
        <v>2812</v>
      </c>
      <c r="E10" s="777" t="s">
        <v>997</v>
      </c>
      <c r="F10" s="792" t="s">
        <v>3441</v>
      </c>
    </row>
    <row r="11" spans="1:6" x14ac:dyDescent="0.2">
      <c r="A11" s="794" t="s">
        <v>1015</v>
      </c>
      <c r="B11" s="781"/>
      <c r="C11" s="782"/>
      <c r="D11" s="781">
        <v>300000</v>
      </c>
      <c r="E11" s="783"/>
      <c r="F11" s="795">
        <f>SUM(D11:E11)</f>
        <v>300000</v>
      </c>
    </row>
    <row r="12" spans="1:6" x14ac:dyDescent="0.2">
      <c r="A12" s="794" t="s">
        <v>1050</v>
      </c>
      <c r="B12" s="781">
        <v>174182</v>
      </c>
      <c r="C12" s="782"/>
      <c r="D12" s="781">
        <v>200000</v>
      </c>
      <c r="E12" s="783"/>
      <c r="F12" s="795">
        <f>SUM(D12:E12)</f>
        <v>200000</v>
      </c>
    </row>
    <row r="13" spans="1:6" ht="13.5" thickBot="1" x14ac:dyDescent="0.25">
      <c r="A13" s="796" t="s">
        <v>1016</v>
      </c>
      <c r="B13" s="784"/>
      <c r="C13" s="785"/>
      <c r="D13" s="784">
        <v>700000</v>
      </c>
      <c r="E13" s="786"/>
      <c r="F13" s="797">
        <f>SUM(D13:E13)</f>
        <v>700000</v>
      </c>
    </row>
    <row r="14" spans="1:6" ht="13.5" thickBot="1" x14ac:dyDescent="0.25">
      <c r="A14" s="798" t="s">
        <v>177</v>
      </c>
      <c r="B14" s="787">
        <v>703682</v>
      </c>
      <c r="C14" s="787">
        <f>SUM(C12:C12)</f>
        <v>0</v>
      </c>
      <c r="D14" s="787">
        <f>SUM(D11:D13)</f>
        <v>1200000</v>
      </c>
      <c r="E14" s="788">
        <f>SUM(E11:E13)</f>
        <v>0</v>
      </c>
      <c r="F14" s="799">
        <f>SUM(F11:F13)</f>
        <v>1200000</v>
      </c>
    </row>
    <row r="15" spans="1:6" x14ac:dyDescent="0.2">
      <c r="A15" s="776"/>
      <c r="B15" s="776"/>
      <c r="C15" s="776"/>
      <c r="D15" s="776"/>
      <c r="E15" s="776"/>
      <c r="F15" s="776"/>
    </row>
    <row r="16" spans="1:6" ht="45.75" customHeight="1" x14ac:dyDescent="0.2">
      <c r="A16" s="1090" t="s">
        <v>3443</v>
      </c>
      <c r="B16" s="1090"/>
      <c r="C16" s="1090"/>
      <c r="D16" s="1090"/>
      <c r="E16" s="1090"/>
      <c r="F16" s="1090"/>
    </row>
    <row r="17" spans="1:6" ht="13.5" thickBot="1" x14ac:dyDescent="0.25">
      <c r="A17" s="800"/>
      <c r="B17" s="800"/>
      <c r="C17" s="800"/>
      <c r="D17" s="384"/>
      <c r="E17" s="776"/>
      <c r="F17" s="776"/>
    </row>
    <row r="18" spans="1:6" ht="26.25" thickBot="1" x14ac:dyDescent="0.25">
      <c r="A18" s="790" t="s">
        <v>1012</v>
      </c>
      <c r="B18" s="791" t="s">
        <v>3440</v>
      </c>
      <c r="C18" s="791" t="s">
        <v>1048</v>
      </c>
      <c r="D18" s="791" t="s">
        <v>2812</v>
      </c>
      <c r="E18" s="777" t="s">
        <v>997</v>
      </c>
      <c r="F18" s="792" t="s">
        <v>3442</v>
      </c>
    </row>
    <row r="19" spans="1:6" x14ac:dyDescent="0.2">
      <c r="A19" s="793" t="s">
        <v>1015</v>
      </c>
      <c r="B19" s="778"/>
      <c r="C19" s="779"/>
      <c r="D19" s="778">
        <v>500000</v>
      </c>
      <c r="E19" s="780"/>
      <c r="F19" s="801">
        <v>500000</v>
      </c>
    </row>
    <row r="20" spans="1:6" x14ac:dyDescent="0.2">
      <c r="A20" s="796" t="s">
        <v>1016</v>
      </c>
      <c r="B20" s="781"/>
      <c r="C20" s="782"/>
      <c r="D20" s="781">
        <v>700000</v>
      </c>
      <c r="E20" s="783"/>
      <c r="F20" s="795">
        <v>700000</v>
      </c>
    </row>
    <row r="21" spans="1:6" x14ac:dyDescent="0.2">
      <c r="A21" s="794" t="s">
        <v>1050</v>
      </c>
      <c r="B21" s="781">
        <v>174182</v>
      </c>
      <c r="C21" s="782"/>
      <c r="D21" s="781">
        <v>1309830</v>
      </c>
      <c r="E21" s="783"/>
      <c r="F21" s="795">
        <v>1309830</v>
      </c>
    </row>
    <row r="22" spans="1:6" ht="13.5" thickBot="1" x14ac:dyDescent="0.25">
      <c r="A22" s="796" t="s">
        <v>3444</v>
      </c>
      <c r="B22" s="784"/>
      <c r="C22" s="785"/>
      <c r="D22" s="784">
        <v>4490170.33</v>
      </c>
      <c r="E22" s="786">
        <v>-43553</v>
      </c>
      <c r="F22" s="797">
        <f>D22+E22</f>
        <v>4446617.33</v>
      </c>
    </row>
    <row r="23" spans="1:6" ht="13.5" thickBot="1" x14ac:dyDescent="0.25">
      <c r="A23" s="798" t="s">
        <v>177</v>
      </c>
      <c r="B23" s="787">
        <v>703682</v>
      </c>
      <c r="C23" s="787">
        <f>SUM(C21:C21)</f>
        <v>0</v>
      </c>
      <c r="D23" s="787">
        <f>SUM(D19:D22)</f>
        <v>7000000.3300000001</v>
      </c>
      <c r="E23" s="788">
        <f>SUM(E19:E22)</f>
        <v>-43553</v>
      </c>
      <c r="F23" s="799">
        <f>SUM(F19:F22)</f>
        <v>6956447.3300000001</v>
      </c>
    </row>
    <row r="24" spans="1:6" x14ac:dyDescent="0.2">
      <c r="A24" s="863"/>
      <c r="B24" s="864"/>
      <c r="C24" s="864"/>
      <c r="D24" s="864"/>
      <c r="E24" s="865"/>
      <c r="F24" s="866"/>
    </row>
    <row r="25" spans="1:6" x14ac:dyDescent="0.2">
      <c r="A25" s="802" t="s">
        <v>993</v>
      </c>
      <c r="B25" s="803"/>
      <c r="C25" s="803"/>
      <c r="D25" s="803"/>
      <c r="E25" s="803"/>
      <c r="F25" s="804">
        <f>F14+F23</f>
        <v>8156447.3300000001</v>
      </c>
    </row>
  </sheetData>
  <mergeCells count="7">
    <mergeCell ref="A16:F16"/>
    <mergeCell ref="A1:F1"/>
    <mergeCell ref="A2:F2"/>
    <mergeCell ref="A3:F3"/>
    <mergeCell ref="A4:F4"/>
    <mergeCell ref="A7:F7"/>
    <mergeCell ref="A9:F9"/>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115" zoomScaleSheetLayoutView="115" workbookViewId="0">
      <selection activeCell="D21" sqref="D21"/>
    </sheetView>
  </sheetViews>
  <sheetFormatPr defaultColWidth="9.140625" defaultRowHeight="12.75" x14ac:dyDescent="0.2"/>
  <cols>
    <col min="1" max="1" width="34.140625" style="496" customWidth="1"/>
    <col min="2" max="2" width="14.5703125" style="496" customWidth="1"/>
    <col min="3" max="3" width="12.7109375" style="496" customWidth="1"/>
    <col min="4" max="4" width="19.5703125" style="496" customWidth="1"/>
    <col min="5" max="16384" width="9.140625" style="496"/>
  </cols>
  <sheetData>
    <row r="1" spans="1:4" ht="15.75" x14ac:dyDescent="0.25">
      <c r="A1" s="872" t="s">
        <v>616</v>
      </c>
      <c r="B1" s="872"/>
      <c r="C1" s="872"/>
      <c r="D1" s="872"/>
    </row>
    <row r="2" spans="1:4" ht="15.75" x14ac:dyDescent="0.25">
      <c r="A2" s="872" t="s">
        <v>1</v>
      </c>
      <c r="B2" s="872"/>
      <c r="C2" s="872"/>
      <c r="D2" s="872"/>
    </row>
    <row r="3" spans="1:4" ht="15.75" x14ac:dyDescent="0.25">
      <c r="A3" s="872" t="s">
        <v>2</v>
      </c>
      <c r="B3" s="872"/>
      <c r="C3" s="872"/>
      <c r="D3" s="872"/>
    </row>
    <row r="4" spans="1:4" ht="15.75" x14ac:dyDescent="0.25">
      <c r="A4" s="872" t="s">
        <v>3341</v>
      </c>
      <c r="B4" s="872"/>
      <c r="C4" s="872"/>
      <c r="D4" s="872"/>
    </row>
    <row r="5" spans="1:4" x14ac:dyDescent="0.2">
      <c r="A5" s="767"/>
      <c r="B5" s="767"/>
      <c r="C5" s="767"/>
      <c r="D5" s="766"/>
    </row>
    <row r="6" spans="1:4" x14ac:dyDescent="0.2">
      <c r="A6" s="766"/>
      <c r="B6" s="766"/>
      <c r="C6" s="766"/>
      <c r="D6" s="766"/>
    </row>
    <row r="7" spans="1:4" ht="45" customHeight="1" x14ac:dyDescent="0.2">
      <c r="A7" s="1050" t="s">
        <v>3466</v>
      </c>
      <c r="B7" s="1050"/>
      <c r="C7" s="1050"/>
      <c r="D7" s="1050"/>
    </row>
    <row r="8" spans="1:4" ht="18.75" x14ac:dyDescent="0.2">
      <c r="A8" s="517"/>
      <c r="B8" s="517"/>
      <c r="C8" s="517"/>
      <c r="D8" s="766"/>
    </row>
    <row r="9" spans="1:4" ht="48" customHeight="1" x14ac:dyDescent="0.2">
      <c r="A9" s="1050" t="s">
        <v>3467</v>
      </c>
      <c r="B9" s="1050"/>
      <c r="C9" s="1050"/>
      <c r="D9" s="1050"/>
    </row>
    <row r="10" spans="1:4" ht="0.75" customHeight="1" x14ac:dyDescent="0.2">
      <c r="A10" s="518"/>
      <c r="B10" s="518"/>
      <c r="C10" s="518"/>
      <c r="D10" s="766"/>
    </row>
    <row r="11" spans="1:4" ht="19.5" thickBot="1" x14ac:dyDescent="0.25">
      <c r="A11" s="518"/>
      <c r="B11" s="518"/>
      <c r="C11" s="518"/>
      <c r="D11" s="766"/>
    </row>
    <row r="12" spans="1:4" ht="31.5" x14ac:dyDescent="0.2">
      <c r="A12" s="768" t="s">
        <v>1012</v>
      </c>
      <c r="B12" s="769" t="s">
        <v>3440</v>
      </c>
      <c r="C12" s="769" t="s">
        <v>1048</v>
      </c>
      <c r="D12" s="770" t="s">
        <v>3471</v>
      </c>
    </row>
    <row r="13" spans="1:4" ht="31.5" hidden="1" x14ac:dyDescent="0.25">
      <c r="A13" s="519" t="s">
        <v>1015</v>
      </c>
      <c r="B13" s="771"/>
      <c r="C13" s="742"/>
      <c r="D13" s="771">
        <f>B13+C13</f>
        <v>0</v>
      </c>
    </row>
    <row r="14" spans="1:4" ht="31.5" x14ac:dyDescent="0.25">
      <c r="A14" s="520" t="s">
        <v>1015</v>
      </c>
      <c r="B14" s="771">
        <v>1473688</v>
      </c>
      <c r="C14" s="742">
        <v>-1473688</v>
      </c>
      <c r="D14" s="771">
        <f>SUM(B14:C14)</f>
        <v>0</v>
      </c>
    </row>
    <row r="15" spans="1:4" ht="22.5" customHeight="1" x14ac:dyDescent="0.25">
      <c r="A15" s="519" t="s">
        <v>1050</v>
      </c>
      <c r="B15" s="771">
        <v>1182669</v>
      </c>
      <c r="C15" s="742">
        <v>-1182669</v>
      </c>
      <c r="D15" s="771">
        <f>SUM(B15:C15)</f>
        <v>0</v>
      </c>
    </row>
    <row r="16" spans="1:4" ht="27" customHeight="1" x14ac:dyDescent="0.25">
      <c r="A16" s="520" t="s">
        <v>1040</v>
      </c>
      <c r="B16" s="772">
        <v>843643</v>
      </c>
      <c r="C16" s="743">
        <v>-843643</v>
      </c>
      <c r="D16" s="771">
        <f>SUM(B16:C16)</f>
        <v>0</v>
      </c>
    </row>
    <row r="17" spans="1:4" ht="31.5" x14ac:dyDescent="0.25">
      <c r="A17" s="519" t="s">
        <v>1016</v>
      </c>
      <c r="B17" s="772">
        <v>5000000</v>
      </c>
      <c r="C17" s="743"/>
      <c r="D17" s="771">
        <f>SUM(B17:C17)</f>
        <v>5000000</v>
      </c>
    </row>
    <row r="18" spans="1:4" ht="20.25" customHeight="1" thickBot="1" x14ac:dyDescent="0.3">
      <c r="A18" s="773" t="s">
        <v>177</v>
      </c>
      <c r="B18" s="774">
        <f>SUM(B13:B17)</f>
        <v>8500000</v>
      </c>
      <c r="C18" s="774">
        <f>SUM(C13:C17)</f>
        <v>-3500000</v>
      </c>
      <c r="D18" s="774">
        <f>SUM(D13:D17)</f>
        <v>5000000</v>
      </c>
    </row>
    <row r="30" spans="1:4" ht="75" customHeight="1" x14ac:dyDescent="0.2"/>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0"/>
  <sheetViews>
    <sheetView topLeftCell="A338" workbookViewId="0">
      <selection activeCell="B358" sqref="B358"/>
    </sheetView>
  </sheetViews>
  <sheetFormatPr defaultColWidth="9.140625" defaultRowHeight="12.75" x14ac:dyDescent="0.2"/>
  <cols>
    <col min="1" max="1" width="21.42578125" style="128" customWidth="1"/>
    <col min="2" max="2" width="123.7109375" style="128" customWidth="1"/>
    <col min="3" max="16384" width="9.140625" style="128"/>
  </cols>
  <sheetData>
    <row r="1" spans="1:2" x14ac:dyDescent="0.2">
      <c r="A1" s="416" t="s">
        <v>2816</v>
      </c>
      <c r="B1" s="416" t="s">
        <v>2817</v>
      </c>
    </row>
    <row r="2" spans="1:2" ht="31.5" x14ac:dyDescent="0.25">
      <c r="A2" s="417" t="s">
        <v>2818</v>
      </c>
      <c r="B2" s="120" t="s">
        <v>2819</v>
      </c>
    </row>
    <row r="3" spans="1:2" ht="31.5" x14ac:dyDescent="0.25">
      <c r="A3" s="417" t="s">
        <v>2820</v>
      </c>
      <c r="B3" s="120" t="s">
        <v>2821</v>
      </c>
    </row>
    <row r="4" spans="1:2" ht="15.75" x14ac:dyDescent="0.25">
      <c r="A4" s="418">
        <v>10010</v>
      </c>
      <c r="B4" s="120" t="s">
        <v>885</v>
      </c>
    </row>
    <row r="5" spans="1:2" ht="15.75" x14ac:dyDescent="0.25">
      <c r="A5" s="418">
        <v>10020</v>
      </c>
      <c r="B5" s="120" t="s">
        <v>2822</v>
      </c>
    </row>
    <row r="6" spans="1:2" ht="15.75" x14ac:dyDescent="0.25">
      <c r="A6" s="418">
        <v>10030</v>
      </c>
      <c r="B6" s="120" t="s">
        <v>2940</v>
      </c>
    </row>
    <row r="7" spans="1:2" ht="15.75" x14ac:dyDescent="0.25">
      <c r="A7" s="418">
        <v>10040</v>
      </c>
      <c r="B7" s="120" t="s">
        <v>893</v>
      </c>
    </row>
    <row r="8" spans="1:2" ht="15.75" x14ac:dyDescent="0.25">
      <c r="A8" s="418">
        <v>10050</v>
      </c>
      <c r="B8" s="120"/>
    </row>
    <row r="9" spans="1:2" ht="15.75" x14ac:dyDescent="0.25">
      <c r="A9" s="418">
        <v>10060</v>
      </c>
      <c r="B9" s="120" t="s">
        <v>2823</v>
      </c>
    </row>
    <row r="10" spans="1:2" ht="15.75" x14ac:dyDescent="0.25">
      <c r="A10" s="418">
        <v>10070</v>
      </c>
      <c r="B10" s="492" t="s">
        <v>3278</v>
      </c>
    </row>
    <row r="11" spans="1:2" ht="15.75" x14ac:dyDescent="0.25">
      <c r="A11" s="418">
        <v>10080</v>
      </c>
      <c r="B11" s="120" t="s">
        <v>3439</v>
      </c>
    </row>
    <row r="12" spans="1:2" ht="31.5" x14ac:dyDescent="0.25">
      <c r="A12" s="418">
        <v>10090</v>
      </c>
      <c r="B12" s="120" t="s">
        <v>2824</v>
      </c>
    </row>
    <row r="13" spans="1:2" ht="15.75" x14ac:dyDescent="0.25">
      <c r="A13" s="418">
        <v>10100</v>
      </c>
      <c r="B13" s="420" t="s">
        <v>2944</v>
      </c>
    </row>
    <row r="14" spans="1:2" ht="15.75" x14ac:dyDescent="0.25">
      <c r="A14" s="418">
        <v>10110</v>
      </c>
      <c r="B14" s="120" t="s">
        <v>2945</v>
      </c>
    </row>
    <row r="15" spans="1:2" ht="15.75" x14ac:dyDescent="0.25">
      <c r="A15" s="418">
        <v>10200</v>
      </c>
      <c r="B15" s="420" t="s">
        <v>874</v>
      </c>
    </row>
    <row r="16" spans="1:2" ht="31.5" x14ac:dyDescent="0.25">
      <c r="A16" s="418">
        <v>10210</v>
      </c>
      <c r="B16" s="120" t="s">
        <v>2825</v>
      </c>
    </row>
    <row r="17" spans="1:2" ht="15.75" x14ac:dyDescent="0.25">
      <c r="A17" s="418">
        <v>10220</v>
      </c>
      <c r="B17" s="120" t="s">
        <v>2826</v>
      </c>
    </row>
    <row r="18" spans="1:2" ht="15.75" x14ac:dyDescent="0.25">
      <c r="A18" s="418">
        <v>10230</v>
      </c>
      <c r="B18" s="419"/>
    </row>
    <row r="19" spans="1:2" ht="15.75" x14ac:dyDescent="0.25">
      <c r="A19" s="418">
        <v>10240</v>
      </c>
      <c r="B19" s="120" t="s">
        <v>2827</v>
      </c>
    </row>
    <row r="20" spans="1:2" ht="15.75" x14ac:dyDescent="0.25">
      <c r="A20" s="418">
        <v>10300</v>
      </c>
      <c r="B20" s="120" t="s">
        <v>2939</v>
      </c>
    </row>
    <row r="21" spans="1:2" ht="15.75" x14ac:dyDescent="0.25">
      <c r="A21" s="418">
        <v>10360</v>
      </c>
      <c r="B21" s="120" t="s">
        <v>2828</v>
      </c>
    </row>
    <row r="22" spans="1:2" ht="15.75" x14ac:dyDescent="0.25">
      <c r="A22" s="418">
        <v>10370</v>
      </c>
      <c r="B22" s="120" t="s">
        <v>683</v>
      </c>
    </row>
    <row r="23" spans="1:2" ht="15.75" x14ac:dyDescent="0.25">
      <c r="A23" s="418">
        <v>10400</v>
      </c>
      <c r="B23" s="120" t="s">
        <v>859</v>
      </c>
    </row>
    <row r="24" spans="1:2" ht="31.5" x14ac:dyDescent="0.25">
      <c r="A24" s="418">
        <v>10470</v>
      </c>
      <c r="B24" s="120" t="s">
        <v>735</v>
      </c>
    </row>
    <row r="25" spans="1:2" ht="15.75" x14ac:dyDescent="0.25">
      <c r="A25" s="418">
        <v>10500</v>
      </c>
      <c r="B25" s="120" t="s">
        <v>2829</v>
      </c>
    </row>
    <row r="26" spans="1:2" ht="15.75" x14ac:dyDescent="0.25">
      <c r="A26" s="418">
        <v>10510</v>
      </c>
      <c r="B26" s="120" t="s">
        <v>682</v>
      </c>
    </row>
    <row r="27" spans="1:2" ht="15.75" x14ac:dyDescent="0.25">
      <c r="A27" s="418">
        <v>10530</v>
      </c>
      <c r="B27" s="120" t="s">
        <v>3321</v>
      </c>
    </row>
    <row r="28" spans="1:2" ht="15.75" x14ac:dyDescent="0.25">
      <c r="A28" s="418">
        <v>10600</v>
      </c>
      <c r="B28" s="120" t="s">
        <v>3157</v>
      </c>
    </row>
    <row r="29" spans="1:2" ht="15.75" x14ac:dyDescent="0.25">
      <c r="A29" s="418">
        <v>10700</v>
      </c>
      <c r="B29" s="120" t="s">
        <v>3208</v>
      </c>
    </row>
    <row r="30" spans="1:2" ht="15.75" x14ac:dyDescent="0.25">
      <c r="A30" s="418">
        <v>10701</v>
      </c>
      <c r="B30" s="120" t="s">
        <v>3209</v>
      </c>
    </row>
    <row r="31" spans="1:2" ht="31.5" x14ac:dyDescent="0.25">
      <c r="A31" s="418">
        <v>10702</v>
      </c>
      <c r="B31" s="120" t="s">
        <v>3210</v>
      </c>
    </row>
    <row r="32" spans="1:2" ht="15.75" x14ac:dyDescent="0.25">
      <c r="A32" s="418">
        <v>10703</v>
      </c>
      <c r="B32" s="120" t="s">
        <v>3217</v>
      </c>
    </row>
    <row r="33" spans="1:2" ht="15.75" x14ac:dyDescent="0.25">
      <c r="A33" s="418">
        <v>10704</v>
      </c>
      <c r="B33" s="120" t="s">
        <v>3268</v>
      </c>
    </row>
    <row r="34" spans="1:2" ht="17.45" customHeight="1" x14ac:dyDescent="0.25">
      <c r="A34" s="418">
        <v>10710</v>
      </c>
      <c r="B34" s="120" t="s">
        <v>2830</v>
      </c>
    </row>
    <row r="35" spans="1:2" ht="15.75" x14ac:dyDescent="0.25">
      <c r="A35" s="418">
        <v>10800</v>
      </c>
      <c r="B35" s="120" t="s">
        <v>810</v>
      </c>
    </row>
    <row r="36" spans="1:2" ht="15.75" x14ac:dyDescent="0.25">
      <c r="A36" s="418">
        <v>10880</v>
      </c>
      <c r="B36" s="120" t="s">
        <v>881</v>
      </c>
    </row>
    <row r="37" spans="1:2" ht="15.75" x14ac:dyDescent="0.25">
      <c r="A37" s="418">
        <v>10900</v>
      </c>
      <c r="B37" s="120" t="s">
        <v>817</v>
      </c>
    </row>
    <row r="38" spans="1:2" ht="15.75" x14ac:dyDescent="0.25">
      <c r="A38" s="418">
        <v>11000</v>
      </c>
      <c r="B38" s="120" t="s">
        <v>709</v>
      </c>
    </row>
    <row r="39" spans="1:2" ht="31.5" x14ac:dyDescent="0.25">
      <c r="A39" s="418">
        <v>11430</v>
      </c>
      <c r="B39" s="120" t="s">
        <v>726</v>
      </c>
    </row>
    <row r="40" spans="1:2" ht="15.75" x14ac:dyDescent="0.25">
      <c r="A40" s="418">
        <v>11690</v>
      </c>
      <c r="B40" s="120" t="s">
        <v>840</v>
      </c>
    </row>
    <row r="41" spans="1:2" ht="15.75" x14ac:dyDescent="0.25">
      <c r="A41" s="418">
        <v>12010</v>
      </c>
      <c r="B41" s="120" t="s">
        <v>628</v>
      </c>
    </row>
    <row r="42" spans="1:2" ht="15.75" x14ac:dyDescent="0.25">
      <c r="A42" s="418">
        <v>12020</v>
      </c>
      <c r="B42" s="120" t="s">
        <v>627</v>
      </c>
    </row>
    <row r="43" spans="1:2" ht="15.75" x14ac:dyDescent="0.25">
      <c r="A43" s="418">
        <v>12030</v>
      </c>
      <c r="B43" s="120" t="s">
        <v>899</v>
      </c>
    </row>
    <row r="44" spans="1:2" ht="15.75" x14ac:dyDescent="0.25">
      <c r="A44" s="418">
        <v>12040</v>
      </c>
      <c r="B44" s="120" t="s">
        <v>2938</v>
      </c>
    </row>
    <row r="45" spans="1:2" ht="15.75" x14ac:dyDescent="0.25">
      <c r="A45" s="418">
        <v>12080</v>
      </c>
      <c r="B45" s="120" t="s">
        <v>648</v>
      </c>
    </row>
    <row r="46" spans="1:2" ht="15.75" x14ac:dyDescent="0.25">
      <c r="A46" s="418">
        <v>12090</v>
      </c>
      <c r="B46" s="120" t="s">
        <v>680</v>
      </c>
    </row>
    <row r="47" spans="1:2" ht="15.75" x14ac:dyDescent="0.25">
      <c r="A47" s="418">
        <v>12100</v>
      </c>
      <c r="B47" s="120" t="s">
        <v>649</v>
      </c>
    </row>
    <row r="48" spans="1:2" ht="15.75" x14ac:dyDescent="0.25">
      <c r="A48" s="418">
        <v>12130</v>
      </c>
      <c r="B48" s="419" t="s">
        <v>677</v>
      </c>
    </row>
    <row r="49" spans="1:2" ht="15.75" x14ac:dyDescent="0.25">
      <c r="A49" s="418">
        <v>12200</v>
      </c>
      <c r="B49" s="120" t="s">
        <v>640</v>
      </c>
    </row>
    <row r="50" spans="1:2" ht="15.75" x14ac:dyDescent="0.25">
      <c r="A50" s="418">
        <v>12210</v>
      </c>
      <c r="B50" s="120" t="s">
        <v>645</v>
      </c>
    </row>
    <row r="51" spans="1:2" ht="15.75" x14ac:dyDescent="0.25">
      <c r="A51" s="418">
        <v>12220</v>
      </c>
      <c r="B51" s="120" t="s">
        <v>637</v>
      </c>
    </row>
    <row r="52" spans="1:2" ht="15.75" x14ac:dyDescent="0.25">
      <c r="A52" s="418">
        <v>12240</v>
      </c>
      <c r="B52" s="120" t="s">
        <v>3089</v>
      </c>
    </row>
    <row r="53" spans="1:2" ht="31.5" x14ac:dyDescent="0.25">
      <c r="A53" s="418">
        <v>12241</v>
      </c>
      <c r="B53" s="624" t="s">
        <v>3086</v>
      </c>
    </row>
    <row r="54" spans="1:2" ht="15.75" x14ac:dyDescent="0.25">
      <c r="A54" s="418">
        <v>12250</v>
      </c>
      <c r="B54" s="419" t="s">
        <v>751</v>
      </c>
    </row>
    <row r="55" spans="1:2" ht="15.75" x14ac:dyDescent="0.25">
      <c r="A55" s="418">
        <v>12260</v>
      </c>
      <c r="B55" s="419" t="s">
        <v>2831</v>
      </c>
    </row>
    <row r="56" spans="1:2" ht="15.75" x14ac:dyDescent="0.25">
      <c r="A56" s="418">
        <v>12270</v>
      </c>
      <c r="B56" s="492" t="s">
        <v>3177</v>
      </c>
    </row>
    <row r="57" spans="1:2" ht="15.75" x14ac:dyDescent="0.25">
      <c r="A57" s="418">
        <v>12310</v>
      </c>
      <c r="B57" s="419" t="s">
        <v>1337</v>
      </c>
    </row>
    <row r="58" spans="1:2" ht="15.75" x14ac:dyDescent="0.25">
      <c r="A58" s="418">
        <v>12320</v>
      </c>
      <c r="B58" s="419" t="s">
        <v>1338</v>
      </c>
    </row>
    <row r="59" spans="1:2" ht="15.75" x14ac:dyDescent="0.25">
      <c r="A59" s="418">
        <v>12600</v>
      </c>
      <c r="B59" s="419" t="s">
        <v>3176</v>
      </c>
    </row>
    <row r="60" spans="1:2" ht="15.75" x14ac:dyDescent="0.25">
      <c r="A60" s="418">
        <v>12700</v>
      </c>
      <c r="B60" s="120" t="s">
        <v>732</v>
      </c>
    </row>
    <row r="61" spans="1:2" ht="15.75" x14ac:dyDescent="0.25">
      <c r="A61" s="418">
        <v>12710</v>
      </c>
      <c r="B61" s="120" t="s">
        <v>733</v>
      </c>
    </row>
    <row r="62" spans="1:2" ht="15.75" x14ac:dyDescent="0.25">
      <c r="A62" s="418">
        <v>12750</v>
      </c>
      <c r="B62" s="120" t="s">
        <v>848</v>
      </c>
    </row>
    <row r="63" spans="1:2" ht="15.75" x14ac:dyDescent="0.25">
      <c r="A63" s="418">
        <v>12800</v>
      </c>
      <c r="B63" s="120" t="s">
        <v>806</v>
      </c>
    </row>
    <row r="64" spans="1:2" ht="31.5" x14ac:dyDescent="0.25">
      <c r="A64" s="418">
        <v>12880</v>
      </c>
      <c r="B64" s="423" t="s">
        <v>675</v>
      </c>
    </row>
    <row r="65" spans="1:2" ht="15.75" x14ac:dyDescent="0.25">
      <c r="A65" s="418">
        <v>12900</v>
      </c>
      <c r="B65" s="120" t="s">
        <v>632</v>
      </c>
    </row>
    <row r="66" spans="1:2" ht="15.75" x14ac:dyDescent="0.25">
      <c r="A66" s="418">
        <v>13010</v>
      </c>
      <c r="B66" s="120" t="s">
        <v>690</v>
      </c>
    </row>
    <row r="67" spans="1:2" ht="15.75" x14ac:dyDescent="0.25">
      <c r="A67" s="418">
        <v>13050</v>
      </c>
      <c r="B67" s="419" t="s">
        <v>2832</v>
      </c>
    </row>
    <row r="68" spans="1:2" ht="15.75" x14ac:dyDescent="0.25">
      <c r="A68" s="418">
        <v>13110</v>
      </c>
      <c r="B68" s="120" t="s">
        <v>701</v>
      </c>
    </row>
    <row r="69" spans="1:2" ht="15.75" x14ac:dyDescent="0.25">
      <c r="A69" s="418">
        <v>13140</v>
      </c>
      <c r="B69" s="120" t="s">
        <v>3202</v>
      </c>
    </row>
    <row r="70" spans="1:2" ht="15.75" x14ac:dyDescent="0.25">
      <c r="A70" s="418">
        <v>13210</v>
      </c>
      <c r="B70" s="120" t="s">
        <v>702</v>
      </c>
    </row>
    <row r="71" spans="1:2" ht="15.75" x14ac:dyDescent="0.25">
      <c r="A71" s="418">
        <v>13310</v>
      </c>
      <c r="B71" s="120" t="s">
        <v>730</v>
      </c>
    </row>
    <row r="72" spans="1:2" ht="15.75" x14ac:dyDescent="0.25">
      <c r="A72" s="418">
        <v>13320</v>
      </c>
      <c r="B72" s="120" t="s">
        <v>734</v>
      </c>
    </row>
    <row r="73" spans="1:2" ht="15.75" x14ac:dyDescent="0.25">
      <c r="A73" s="418">
        <v>13330</v>
      </c>
      <c r="B73" s="419" t="s">
        <v>2833</v>
      </c>
    </row>
    <row r="74" spans="1:2" ht="15.75" x14ac:dyDescent="0.25">
      <c r="A74" s="418">
        <v>13340</v>
      </c>
      <c r="B74" s="419"/>
    </row>
    <row r="75" spans="1:2" ht="15.75" x14ac:dyDescent="0.25">
      <c r="A75" s="418">
        <v>13380</v>
      </c>
      <c r="B75" s="120" t="s">
        <v>2834</v>
      </c>
    </row>
    <row r="76" spans="1:2" ht="31.5" x14ac:dyDescent="0.25">
      <c r="A76" s="418">
        <v>13390</v>
      </c>
      <c r="B76" s="419" t="s">
        <v>2835</v>
      </c>
    </row>
    <row r="77" spans="1:2" ht="15.75" x14ac:dyDescent="0.25">
      <c r="A77" s="418">
        <v>13400</v>
      </c>
      <c r="B77" s="419"/>
    </row>
    <row r="78" spans="1:2" ht="15.75" x14ac:dyDescent="0.25">
      <c r="A78" s="418">
        <v>13510</v>
      </c>
      <c r="B78" s="419" t="s">
        <v>2836</v>
      </c>
    </row>
    <row r="79" spans="1:2" ht="15.75" x14ac:dyDescent="0.25">
      <c r="A79" s="418">
        <v>13710</v>
      </c>
      <c r="B79" s="419" t="s">
        <v>752</v>
      </c>
    </row>
    <row r="80" spans="1:2" ht="15.75" x14ac:dyDescent="0.25">
      <c r="A80" s="418">
        <v>13750</v>
      </c>
      <c r="B80" s="419" t="s">
        <v>754</v>
      </c>
    </row>
    <row r="81" spans="1:2" ht="15.75" x14ac:dyDescent="0.25">
      <c r="A81" s="418">
        <v>13810</v>
      </c>
      <c r="B81" s="120" t="s">
        <v>743</v>
      </c>
    </row>
    <row r="82" spans="1:2" ht="31.5" x14ac:dyDescent="0.25">
      <c r="A82" s="418">
        <v>13820</v>
      </c>
      <c r="B82" s="120" t="s">
        <v>831</v>
      </c>
    </row>
    <row r="83" spans="1:2" ht="15.75" x14ac:dyDescent="0.25">
      <c r="A83" s="418">
        <v>14010</v>
      </c>
      <c r="B83" s="120" t="s">
        <v>762</v>
      </c>
    </row>
    <row r="84" spans="1:2" ht="15.75" x14ac:dyDescent="0.25">
      <c r="A84" s="418">
        <v>14020</v>
      </c>
      <c r="B84" s="120" t="s">
        <v>2959</v>
      </c>
    </row>
    <row r="85" spans="1:2" ht="15.75" x14ac:dyDescent="0.25">
      <c r="A85" s="418">
        <v>14100</v>
      </c>
      <c r="B85" s="120" t="s">
        <v>2837</v>
      </c>
    </row>
    <row r="86" spans="1:2" ht="15.75" x14ac:dyDescent="0.25">
      <c r="A86" s="418">
        <v>14510</v>
      </c>
      <c r="B86" s="120" t="s">
        <v>827</v>
      </c>
    </row>
    <row r="87" spans="1:2" ht="15.75" x14ac:dyDescent="0.25">
      <c r="A87" s="418">
        <v>14530</v>
      </c>
      <c r="B87" s="120" t="s">
        <v>828</v>
      </c>
    </row>
    <row r="88" spans="1:2" ht="15.75" x14ac:dyDescent="0.25">
      <c r="A88" s="418">
        <v>14550</v>
      </c>
      <c r="B88" s="419"/>
    </row>
    <row r="89" spans="1:2" ht="15.75" x14ac:dyDescent="0.25">
      <c r="A89" s="418">
        <v>14560</v>
      </c>
      <c r="B89" s="120" t="s">
        <v>721</v>
      </c>
    </row>
    <row r="90" spans="1:2" ht="15.75" x14ac:dyDescent="0.25">
      <c r="A90" s="418">
        <v>14570</v>
      </c>
      <c r="B90" s="419" t="s">
        <v>2838</v>
      </c>
    </row>
    <row r="91" spans="1:2" ht="15.75" x14ac:dyDescent="0.25">
      <c r="A91" s="418">
        <v>14580</v>
      </c>
      <c r="B91" s="419"/>
    </row>
    <row r="92" spans="1:2" ht="15.75" x14ac:dyDescent="0.25">
      <c r="A92" s="418">
        <v>14880</v>
      </c>
      <c r="B92" s="419" t="s">
        <v>2961</v>
      </c>
    </row>
    <row r="93" spans="1:2" ht="15.75" x14ac:dyDescent="0.25">
      <c r="A93" s="418">
        <v>15010</v>
      </c>
      <c r="B93" s="419" t="s">
        <v>839</v>
      </c>
    </row>
    <row r="94" spans="1:2" ht="15.75" x14ac:dyDescent="0.25">
      <c r="A94" s="418">
        <v>15030</v>
      </c>
      <c r="B94" s="419" t="s">
        <v>2839</v>
      </c>
    </row>
    <row r="95" spans="1:2" ht="15.75" x14ac:dyDescent="0.25">
      <c r="A95" s="418">
        <v>15110</v>
      </c>
      <c r="B95" s="120" t="s">
        <v>844</v>
      </c>
    </row>
    <row r="96" spans="1:2" ht="15.75" x14ac:dyDescent="0.25">
      <c r="A96" s="418">
        <v>15130</v>
      </c>
      <c r="B96" s="120" t="s">
        <v>2840</v>
      </c>
    </row>
    <row r="97" spans="1:2" ht="15.75" x14ac:dyDescent="0.25">
      <c r="A97" s="418">
        <v>15210</v>
      </c>
      <c r="B97" s="120" t="s">
        <v>847</v>
      </c>
    </row>
    <row r="98" spans="1:2" ht="15.75" x14ac:dyDescent="0.25">
      <c r="A98" s="418">
        <v>15220</v>
      </c>
      <c r="B98" s="120" t="s">
        <v>822</v>
      </c>
    </row>
    <row r="99" spans="1:2" ht="15.75" x14ac:dyDescent="0.25">
      <c r="A99" s="418">
        <v>15250</v>
      </c>
      <c r="B99" s="419"/>
    </row>
    <row r="100" spans="1:2" ht="15.75" x14ac:dyDescent="0.25">
      <c r="A100" s="418">
        <v>15260</v>
      </c>
      <c r="B100" s="492" t="s">
        <v>3438</v>
      </c>
    </row>
    <row r="101" spans="1:2" ht="15.75" x14ac:dyDescent="0.25">
      <c r="A101" s="418">
        <v>15800</v>
      </c>
      <c r="B101" s="492" t="s">
        <v>3205</v>
      </c>
    </row>
    <row r="102" spans="1:2" ht="15.75" x14ac:dyDescent="0.25">
      <c r="A102" s="418">
        <v>16010</v>
      </c>
      <c r="B102" s="120" t="s">
        <v>771</v>
      </c>
    </row>
    <row r="103" spans="1:2" ht="15.75" x14ac:dyDescent="0.25">
      <c r="A103" s="417">
        <v>16050</v>
      </c>
      <c r="B103" s="702" t="s">
        <v>3367</v>
      </c>
    </row>
    <row r="104" spans="1:2" ht="15.75" x14ac:dyDescent="0.25">
      <c r="A104" s="418">
        <v>16110</v>
      </c>
      <c r="B104" s="419"/>
    </row>
    <row r="105" spans="1:2" ht="15.75" x14ac:dyDescent="0.25">
      <c r="A105" s="418">
        <v>16150</v>
      </c>
      <c r="B105" s="120" t="s">
        <v>699</v>
      </c>
    </row>
    <row r="106" spans="1:2" ht="15.75" x14ac:dyDescent="0.25">
      <c r="A106" s="418">
        <v>16151</v>
      </c>
      <c r="B106" s="120" t="s">
        <v>3423</v>
      </c>
    </row>
    <row r="107" spans="1:2" ht="31.5" x14ac:dyDescent="0.25">
      <c r="A107" s="418">
        <v>16160</v>
      </c>
      <c r="B107" s="120" t="s">
        <v>3454</v>
      </c>
    </row>
    <row r="108" spans="1:2" ht="15.75" x14ac:dyDescent="0.25">
      <c r="A108" s="418">
        <v>16210</v>
      </c>
      <c r="B108" s="120" t="s">
        <v>789</v>
      </c>
    </row>
    <row r="109" spans="1:2" ht="15.75" x14ac:dyDescent="0.25">
      <c r="A109" s="418">
        <v>16220</v>
      </c>
      <c r="B109" s="120" t="s">
        <v>790</v>
      </c>
    </row>
    <row r="110" spans="1:2" ht="21" customHeight="1" x14ac:dyDescent="0.25">
      <c r="A110" s="418">
        <v>16250</v>
      </c>
      <c r="B110" s="120" t="s">
        <v>836</v>
      </c>
    </row>
    <row r="111" spans="1:2" ht="21" customHeight="1" x14ac:dyDescent="0.25">
      <c r="A111" s="418">
        <v>21236</v>
      </c>
      <c r="B111" s="120" t="s">
        <v>3429</v>
      </c>
    </row>
    <row r="112" spans="1:2" ht="21" customHeight="1" x14ac:dyDescent="0.25">
      <c r="A112" s="418">
        <v>22446</v>
      </c>
      <c r="B112" s="120" t="s">
        <v>2844</v>
      </c>
    </row>
    <row r="113" spans="1:2" ht="35.25" customHeight="1" x14ac:dyDescent="0.25">
      <c r="A113" s="418">
        <v>23906</v>
      </c>
      <c r="B113" s="120" t="s">
        <v>3465</v>
      </c>
    </row>
    <row r="114" spans="1:2" ht="35.25" customHeight="1" x14ac:dyDescent="0.25">
      <c r="A114" s="418">
        <v>25356</v>
      </c>
      <c r="B114" s="120" t="s">
        <v>3431</v>
      </c>
    </row>
    <row r="115" spans="1:2" ht="35.25" customHeight="1" x14ac:dyDescent="0.25">
      <c r="A115" s="418">
        <v>25626</v>
      </c>
      <c r="B115" s="120" t="s">
        <v>3313</v>
      </c>
    </row>
    <row r="116" spans="1:2" ht="18.75" customHeight="1" x14ac:dyDescent="0.25">
      <c r="A116" s="418">
        <v>29016</v>
      </c>
      <c r="B116" s="421" t="s">
        <v>630</v>
      </c>
    </row>
    <row r="117" spans="1:2" ht="31.5" x14ac:dyDescent="0.25">
      <c r="A117" s="418">
        <v>29026</v>
      </c>
      <c r="B117" s="120" t="s">
        <v>681</v>
      </c>
    </row>
    <row r="118" spans="1:2" ht="31.5" x14ac:dyDescent="0.25">
      <c r="A118" s="418">
        <v>29036</v>
      </c>
      <c r="B118" s="120" t="s">
        <v>2841</v>
      </c>
    </row>
    <row r="119" spans="1:2" ht="15.75" x14ac:dyDescent="0.25">
      <c r="A119" s="418">
        <v>29046</v>
      </c>
      <c r="B119" s="740" t="s">
        <v>3190</v>
      </c>
    </row>
    <row r="120" spans="1:2" ht="15.75" x14ac:dyDescent="0.25">
      <c r="A120" s="418">
        <v>29056</v>
      </c>
      <c r="B120" s="740" t="s">
        <v>2842</v>
      </c>
    </row>
    <row r="121" spans="1:2" ht="15.75" x14ac:dyDescent="0.25">
      <c r="A121" s="418">
        <v>29066</v>
      </c>
      <c r="B121" s="740" t="s">
        <v>3191</v>
      </c>
    </row>
    <row r="122" spans="1:2" ht="15.75" x14ac:dyDescent="0.25">
      <c r="A122" s="418">
        <v>29076</v>
      </c>
      <c r="B122" s="19" t="s">
        <v>2843</v>
      </c>
    </row>
    <row r="123" spans="1:2" ht="23.25" customHeight="1" x14ac:dyDescent="0.25">
      <c r="A123" s="418">
        <v>29086</v>
      </c>
      <c r="B123" s="19" t="s">
        <v>2844</v>
      </c>
    </row>
    <row r="124" spans="1:2" ht="15.75" x14ac:dyDescent="0.25">
      <c r="A124" s="418">
        <v>29096</v>
      </c>
      <c r="B124" s="19" t="s">
        <v>2845</v>
      </c>
    </row>
    <row r="125" spans="1:2" ht="15.75" x14ac:dyDescent="0.25">
      <c r="A125" s="418">
        <v>29106</v>
      </c>
      <c r="B125" s="739" t="s">
        <v>2846</v>
      </c>
    </row>
    <row r="126" spans="1:2" ht="31.5" x14ac:dyDescent="0.25">
      <c r="A126" s="418">
        <v>29116</v>
      </c>
      <c r="B126" s="120" t="s">
        <v>2847</v>
      </c>
    </row>
    <row r="127" spans="1:2" ht="31.5" x14ac:dyDescent="0.25">
      <c r="A127" s="418">
        <v>29126</v>
      </c>
      <c r="B127" s="19" t="s">
        <v>2848</v>
      </c>
    </row>
    <row r="128" spans="1:2" ht="31.5" x14ac:dyDescent="0.25">
      <c r="A128" s="418">
        <v>29136</v>
      </c>
      <c r="B128" s="19" t="s">
        <v>2849</v>
      </c>
    </row>
    <row r="129" spans="1:2" ht="15.75" x14ac:dyDescent="0.25">
      <c r="A129" s="418">
        <v>29146</v>
      </c>
      <c r="B129" s="19" t="s">
        <v>2850</v>
      </c>
    </row>
    <row r="130" spans="1:2" ht="15.75" x14ac:dyDescent="0.25">
      <c r="A130" s="418">
        <v>29156</v>
      </c>
      <c r="B130" s="110" t="s">
        <v>2851</v>
      </c>
    </row>
    <row r="131" spans="1:2" ht="15.75" x14ac:dyDescent="0.25">
      <c r="A131" s="418">
        <v>29166</v>
      </c>
      <c r="B131" s="19" t="s">
        <v>2852</v>
      </c>
    </row>
    <row r="132" spans="1:2" ht="15.75" x14ac:dyDescent="0.25">
      <c r="A132" s="418">
        <v>29176</v>
      </c>
      <c r="B132" s="19" t="s">
        <v>3460</v>
      </c>
    </row>
    <row r="133" spans="1:2" ht="31.5" x14ac:dyDescent="0.25">
      <c r="A133" s="418">
        <v>29186</v>
      </c>
      <c r="B133" s="19" t="s">
        <v>2853</v>
      </c>
    </row>
    <row r="134" spans="1:2" ht="15.75" x14ac:dyDescent="0.25">
      <c r="A134" s="418">
        <v>29196</v>
      </c>
      <c r="B134" s="19" t="s">
        <v>2854</v>
      </c>
    </row>
    <row r="135" spans="1:2" ht="15.75" x14ac:dyDescent="0.25">
      <c r="A135" s="418">
        <v>29206</v>
      </c>
      <c r="B135" s="19" t="s">
        <v>2943</v>
      </c>
    </row>
    <row r="136" spans="1:2" ht="19.5" customHeight="1" x14ac:dyDescent="0.25">
      <c r="A136" s="418">
        <v>29216</v>
      </c>
      <c r="B136" s="19" t="s">
        <v>2855</v>
      </c>
    </row>
    <row r="137" spans="1:2" ht="15.75" x14ac:dyDescent="0.25">
      <c r="A137" s="418">
        <v>29226</v>
      </c>
      <c r="B137" s="19" t="s">
        <v>2856</v>
      </c>
    </row>
    <row r="138" spans="1:2" ht="15.75" x14ac:dyDescent="0.25">
      <c r="A138" s="418">
        <v>29236</v>
      </c>
      <c r="B138" s="19" t="s">
        <v>2857</v>
      </c>
    </row>
    <row r="139" spans="1:2" ht="15.75" x14ac:dyDescent="0.25">
      <c r="A139" s="418">
        <v>29246</v>
      </c>
      <c r="B139" s="19" t="s">
        <v>2858</v>
      </c>
    </row>
    <row r="140" spans="1:2" ht="15.75" x14ac:dyDescent="0.25">
      <c r="A140" s="418">
        <v>29256</v>
      </c>
      <c r="B140" s="19" t="s">
        <v>3192</v>
      </c>
    </row>
    <row r="141" spans="1:2" ht="15.75" x14ac:dyDescent="0.25">
      <c r="A141" s="418">
        <v>29266</v>
      </c>
      <c r="B141" s="19" t="s">
        <v>3193</v>
      </c>
    </row>
    <row r="142" spans="1:2" ht="31.5" x14ac:dyDescent="0.25">
      <c r="A142" s="418">
        <v>29276</v>
      </c>
      <c r="B142" s="19" t="s">
        <v>2859</v>
      </c>
    </row>
    <row r="143" spans="1:2" ht="15.75" x14ac:dyDescent="0.25">
      <c r="A143" s="418">
        <v>29286</v>
      </c>
      <c r="B143" s="422" t="s">
        <v>2860</v>
      </c>
    </row>
    <row r="144" spans="1:2" ht="30" customHeight="1" x14ac:dyDescent="0.25">
      <c r="A144" s="418">
        <v>29296</v>
      </c>
      <c r="B144" s="422" t="s">
        <v>2861</v>
      </c>
    </row>
    <row r="145" spans="1:2" ht="15.75" x14ac:dyDescent="0.25">
      <c r="A145" s="418">
        <v>29306</v>
      </c>
      <c r="B145" s="739" t="s">
        <v>2862</v>
      </c>
    </row>
    <row r="146" spans="1:2" ht="15.75" x14ac:dyDescent="0.25">
      <c r="A146" s="418">
        <v>29316</v>
      </c>
      <c r="B146" s="19" t="s">
        <v>2863</v>
      </c>
    </row>
    <row r="147" spans="1:2" ht="15.75" x14ac:dyDescent="0.25">
      <c r="A147" s="418">
        <v>29326</v>
      </c>
      <c r="B147" s="19" t="s">
        <v>2864</v>
      </c>
    </row>
    <row r="148" spans="1:2" ht="15.75" x14ac:dyDescent="0.25">
      <c r="A148" s="418">
        <v>29336</v>
      </c>
      <c r="B148" s="740" t="s">
        <v>2865</v>
      </c>
    </row>
    <row r="149" spans="1:2" ht="15.75" x14ac:dyDescent="0.25">
      <c r="A149" s="418">
        <v>29346</v>
      </c>
      <c r="B149" s="19" t="s">
        <v>2866</v>
      </c>
    </row>
    <row r="150" spans="1:2" ht="15.75" x14ac:dyDescent="0.25">
      <c r="A150" s="418">
        <v>29356</v>
      </c>
      <c r="B150" s="740"/>
    </row>
    <row r="151" spans="1:2" ht="15.75" x14ac:dyDescent="0.25">
      <c r="A151" s="418">
        <v>29366</v>
      </c>
      <c r="B151" s="19" t="s">
        <v>2867</v>
      </c>
    </row>
    <row r="152" spans="1:2" ht="15.75" x14ac:dyDescent="0.25">
      <c r="A152" s="418">
        <v>29376</v>
      </c>
      <c r="B152" s="120" t="s">
        <v>2868</v>
      </c>
    </row>
    <row r="153" spans="1:2" ht="15.75" x14ac:dyDescent="0.25">
      <c r="A153" s="418">
        <v>29386</v>
      </c>
      <c r="B153" s="740" t="s">
        <v>2869</v>
      </c>
    </row>
    <row r="154" spans="1:2" ht="31.5" x14ac:dyDescent="0.25">
      <c r="A154" s="418">
        <v>29396</v>
      </c>
      <c r="B154" s="120" t="s">
        <v>2870</v>
      </c>
    </row>
    <row r="155" spans="1:2" ht="31.5" x14ac:dyDescent="0.25">
      <c r="A155" s="418">
        <v>29406</v>
      </c>
      <c r="B155" s="422" t="s">
        <v>2871</v>
      </c>
    </row>
    <row r="156" spans="1:2" ht="44.25" customHeight="1" x14ac:dyDescent="0.25">
      <c r="A156" s="418">
        <v>29416</v>
      </c>
      <c r="B156" s="120" t="s">
        <v>2872</v>
      </c>
    </row>
    <row r="157" spans="1:2" ht="15.75" x14ac:dyDescent="0.25">
      <c r="A157" s="418">
        <v>29426</v>
      </c>
      <c r="B157" s="740" t="s">
        <v>2873</v>
      </c>
    </row>
    <row r="158" spans="1:2" ht="15.75" x14ac:dyDescent="0.25">
      <c r="A158" s="418">
        <v>29436</v>
      </c>
      <c r="B158" s="120" t="s">
        <v>2874</v>
      </c>
    </row>
    <row r="159" spans="1:2" ht="31.5" x14ac:dyDescent="0.25">
      <c r="A159" s="418">
        <v>29446</v>
      </c>
      <c r="B159" s="120" t="s">
        <v>2875</v>
      </c>
    </row>
    <row r="160" spans="1:2" ht="15.75" x14ac:dyDescent="0.25">
      <c r="A160" s="418">
        <v>29456</v>
      </c>
      <c r="B160" s="421"/>
    </row>
    <row r="161" spans="1:2" ht="15.75" x14ac:dyDescent="0.25">
      <c r="A161" s="418">
        <v>29466</v>
      </c>
      <c r="B161" s="421" t="s">
        <v>2876</v>
      </c>
    </row>
    <row r="162" spans="1:2" ht="15.75" x14ac:dyDescent="0.25">
      <c r="A162" s="418">
        <v>29476</v>
      </c>
      <c r="B162" s="740" t="s">
        <v>3194</v>
      </c>
    </row>
    <row r="163" spans="1:2" ht="15.75" x14ac:dyDescent="0.25">
      <c r="A163" s="418">
        <v>29486</v>
      </c>
      <c r="B163" s="740" t="s">
        <v>2877</v>
      </c>
    </row>
    <row r="164" spans="1:2" ht="15.75" x14ac:dyDescent="0.25">
      <c r="A164" s="418">
        <v>29496</v>
      </c>
      <c r="B164" s="739" t="s">
        <v>2878</v>
      </c>
    </row>
    <row r="165" spans="1:2" ht="15.75" x14ac:dyDescent="0.25">
      <c r="A165" s="418">
        <v>29506</v>
      </c>
      <c r="B165" s="422" t="s">
        <v>2879</v>
      </c>
    </row>
    <row r="166" spans="1:2" ht="15.75" x14ac:dyDescent="0.25">
      <c r="A166" s="418">
        <v>29516</v>
      </c>
      <c r="B166" s="422" t="s">
        <v>3127</v>
      </c>
    </row>
    <row r="167" spans="1:2" ht="15.75" x14ac:dyDescent="0.25">
      <c r="A167" s="418">
        <v>29526</v>
      </c>
      <c r="B167" s="422" t="s">
        <v>3264</v>
      </c>
    </row>
    <row r="168" spans="1:2" ht="15.75" x14ac:dyDescent="0.25">
      <c r="A168" s="418">
        <v>29536</v>
      </c>
      <c r="B168" s="422" t="s">
        <v>3347</v>
      </c>
    </row>
    <row r="169" spans="1:2" ht="31.5" x14ac:dyDescent="0.25">
      <c r="A169" s="418">
        <v>29556</v>
      </c>
      <c r="B169" s="422" t="s">
        <v>3468</v>
      </c>
    </row>
    <row r="170" spans="1:2" ht="15.75" x14ac:dyDescent="0.25">
      <c r="A170" s="418">
        <v>29566</v>
      </c>
      <c r="B170" s="422" t="s">
        <v>3126</v>
      </c>
    </row>
    <row r="171" spans="1:2" ht="31.5" x14ac:dyDescent="0.25">
      <c r="A171" s="418">
        <v>29576</v>
      </c>
      <c r="B171" s="120" t="s">
        <v>3283</v>
      </c>
    </row>
    <row r="172" spans="1:2" ht="31.5" x14ac:dyDescent="0.25">
      <c r="A172" s="418">
        <v>29586</v>
      </c>
      <c r="B172" s="422" t="s">
        <v>3282</v>
      </c>
    </row>
    <row r="173" spans="1:2" ht="15.75" x14ac:dyDescent="0.25">
      <c r="A173" s="418">
        <v>29596</v>
      </c>
      <c r="B173" s="739" t="s">
        <v>3290</v>
      </c>
    </row>
    <row r="174" spans="1:2" ht="15.75" x14ac:dyDescent="0.25">
      <c r="A174" s="418">
        <v>29606</v>
      </c>
      <c r="B174" s="120" t="s">
        <v>3287</v>
      </c>
    </row>
    <row r="175" spans="1:2" ht="15.75" x14ac:dyDescent="0.25">
      <c r="A175" s="418">
        <v>29616</v>
      </c>
      <c r="B175" s="739" t="s">
        <v>3291</v>
      </c>
    </row>
    <row r="176" spans="1:2" ht="15.75" x14ac:dyDescent="0.25">
      <c r="A176" s="418">
        <v>29626</v>
      </c>
      <c r="B176" s="120" t="s">
        <v>3285</v>
      </c>
    </row>
    <row r="177" spans="1:2" ht="15.75" x14ac:dyDescent="0.25">
      <c r="A177" s="418">
        <v>29636</v>
      </c>
      <c r="B177" s="739" t="s">
        <v>3289</v>
      </c>
    </row>
    <row r="178" spans="1:2" ht="15.75" x14ac:dyDescent="0.25">
      <c r="A178" s="418">
        <v>29646</v>
      </c>
      <c r="B178" s="422" t="s">
        <v>3288</v>
      </c>
    </row>
    <row r="179" spans="1:2" ht="15.75" x14ac:dyDescent="0.25">
      <c r="A179" s="418">
        <v>29656</v>
      </c>
      <c r="B179" s="421" t="s">
        <v>3435</v>
      </c>
    </row>
    <row r="180" spans="1:2" ht="15.75" x14ac:dyDescent="0.25">
      <c r="A180" s="418">
        <v>29666</v>
      </c>
      <c r="B180" s="421" t="s">
        <v>3292</v>
      </c>
    </row>
    <row r="181" spans="1:2" ht="31.5" x14ac:dyDescent="0.25">
      <c r="A181" s="418">
        <v>29676</v>
      </c>
      <c r="B181" s="120" t="s">
        <v>3286</v>
      </c>
    </row>
    <row r="182" spans="1:2" ht="15.75" x14ac:dyDescent="0.25">
      <c r="A182" s="418">
        <v>29686</v>
      </c>
      <c r="B182" s="120" t="s">
        <v>3284</v>
      </c>
    </row>
    <row r="183" spans="1:2" ht="15.75" x14ac:dyDescent="0.25">
      <c r="A183" s="418">
        <v>29696</v>
      </c>
      <c r="B183" s="120" t="s">
        <v>3281</v>
      </c>
    </row>
    <row r="184" spans="1:2" ht="15.75" x14ac:dyDescent="0.25">
      <c r="A184" s="418">
        <v>29706</v>
      </c>
      <c r="B184" s="120" t="s">
        <v>3280</v>
      </c>
    </row>
    <row r="185" spans="1:2" ht="15.75" x14ac:dyDescent="0.25">
      <c r="A185" s="418">
        <v>29716</v>
      </c>
      <c r="B185" s="120" t="s">
        <v>3376</v>
      </c>
    </row>
    <row r="186" spans="1:2" ht="31.5" x14ac:dyDescent="0.25">
      <c r="A186" s="418">
        <v>29726</v>
      </c>
      <c r="B186" s="422" t="s">
        <v>3375</v>
      </c>
    </row>
    <row r="187" spans="1:2" ht="15.75" x14ac:dyDescent="0.25">
      <c r="A187" s="418">
        <v>29736</v>
      </c>
      <c r="B187" s="422"/>
    </row>
    <row r="188" spans="1:2" ht="15.75" x14ac:dyDescent="0.25">
      <c r="A188" s="418">
        <v>29746</v>
      </c>
      <c r="B188" s="422"/>
    </row>
    <row r="189" spans="1:2" ht="15.75" x14ac:dyDescent="0.25">
      <c r="A189" s="418">
        <v>29756</v>
      </c>
      <c r="B189" s="421" t="s">
        <v>3436</v>
      </c>
    </row>
    <row r="190" spans="1:2" ht="15.75" x14ac:dyDescent="0.25">
      <c r="A190" s="418"/>
      <c r="B190" s="741"/>
    </row>
    <row r="191" spans="1:2" ht="15.75" x14ac:dyDescent="0.25">
      <c r="A191" s="418"/>
      <c r="B191" s="422"/>
    </row>
    <row r="192" spans="1:2" ht="15.75" x14ac:dyDescent="0.25">
      <c r="A192" s="418"/>
      <c r="B192" s="422"/>
    </row>
    <row r="193" spans="1:2" ht="15.75" x14ac:dyDescent="0.25">
      <c r="A193" s="418"/>
      <c r="B193" s="422"/>
    </row>
    <row r="194" spans="1:2" ht="15.75" x14ac:dyDescent="0.25">
      <c r="A194" s="418"/>
      <c r="B194" s="422"/>
    </row>
    <row r="195" spans="1:2" ht="15.75" x14ac:dyDescent="0.25">
      <c r="A195" s="418">
        <v>50130</v>
      </c>
      <c r="B195" s="419" t="s">
        <v>1400</v>
      </c>
    </row>
    <row r="196" spans="1:2" ht="47.25" x14ac:dyDescent="0.25">
      <c r="A196" s="418">
        <v>50650</v>
      </c>
      <c r="B196" s="419" t="s">
        <v>711</v>
      </c>
    </row>
    <row r="197" spans="1:2" ht="31.5" x14ac:dyDescent="0.25">
      <c r="A197" s="418">
        <v>50840</v>
      </c>
      <c r="B197" s="419" t="s">
        <v>791</v>
      </c>
    </row>
    <row r="198" spans="1:2" ht="15.75" x14ac:dyDescent="0.25">
      <c r="A198" s="418">
        <v>51180</v>
      </c>
      <c r="B198" s="120" t="s">
        <v>802</v>
      </c>
    </row>
    <row r="199" spans="1:2" ht="31.5" x14ac:dyDescent="0.25">
      <c r="A199" s="418">
        <v>51190</v>
      </c>
      <c r="B199" s="419" t="s">
        <v>2880</v>
      </c>
    </row>
    <row r="200" spans="1:2" ht="31.5" x14ac:dyDescent="0.25">
      <c r="A200" s="418">
        <v>51200</v>
      </c>
      <c r="B200" s="120" t="s">
        <v>631</v>
      </c>
    </row>
    <row r="201" spans="1:2" ht="15.75" x14ac:dyDescent="0.25">
      <c r="A201" s="418">
        <v>51370</v>
      </c>
      <c r="B201" s="120" t="s">
        <v>775</v>
      </c>
    </row>
    <row r="202" spans="1:2" ht="15.75" x14ac:dyDescent="0.25">
      <c r="A202" s="418">
        <v>51440</v>
      </c>
      <c r="B202" s="419" t="s">
        <v>2881</v>
      </c>
    </row>
    <row r="203" spans="1:2" ht="31.5" x14ac:dyDescent="0.25">
      <c r="A203" s="418">
        <v>52200</v>
      </c>
      <c r="B203" s="120" t="s">
        <v>776</v>
      </c>
    </row>
    <row r="204" spans="1:2" ht="31.5" x14ac:dyDescent="0.25">
      <c r="A204" s="418">
        <v>52400</v>
      </c>
      <c r="B204" s="120" t="s">
        <v>777</v>
      </c>
    </row>
    <row r="205" spans="1:2" ht="15.75" x14ac:dyDescent="0.25">
      <c r="A205" s="418">
        <v>52500</v>
      </c>
      <c r="B205" s="120" t="s">
        <v>778</v>
      </c>
    </row>
    <row r="206" spans="1:2" ht="31.5" x14ac:dyDescent="0.25">
      <c r="A206" s="418">
        <v>52600</v>
      </c>
      <c r="B206" s="419" t="s">
        <v>757</v>
      </c>
    </row>
    <row r="207" spans="1:2" ht="47.25" x14ac:dyDescent="0.25">
      <c r="A207" s="418">
        <v>52700</v>
      </c>
      <c r="B207" s="419" t="s">
        <v>792</v>
      </c>
    </row>
    <row r="208" spans="1:2" ht="47.25" x14ac:dyDescent="0.25">
      <c r="A208" s="418">
        <v>53800</v>
      </c>
      <c r="B208" s="419" t="s">
        <v>2882</v>
      </c>
    </row>
    <row r="209" spans="1:2" ht="31.5" x14ac:dyDescent="0.25">
      <c r="A209" s="418">
        <v>53810</v>
      </c>
      <c r="B209" s="120" t="s">
        <v>779</v>
      </c>
    </row>
    <row r="210" spans="1:2" ht="31.5" x14ac:dyDescent="0.25">
      <c r="A210" s="418">
        <v>53850</v>
      </c>
      <c r="B210" s="120" t="s">
        <v>780</v>
      </c>
    </row>
    <row r="211" spans="1:2" ht="15.75" x14ac:dyDescent="0.25">
      <c r="A211" s="418">
        <v>53910</v>
      </c>
      <c r="B211" s="120" t="s">
        <v>650</v>
      </c>
    </row>
    <row r="212" spans="1:2" ht="31.5" x14ac:dyDescent="0.25">
      <c r="A212" s="418">
        <v>54620</v>
      </c>
      <c r="B212" s="120" t="s">
        <v>2923</v>
      </c>
    </row>
    <row r="213" spans="1:2" ht="31.5" x14ac:dyDescent="0.25">
      <c r="A213" s="418">
        <v>55730</v>
      </c>
      <c r="B213" s="120" t="s">
        <v>3338</v>
      </c>
    </row>
    <row r="214" spans="1:2" ht="15.75" x14ac:dyDescent="0.25">
      <c r="A214" s="418">
        <v>59300</v>
      </c>
      <c r="B214" s="120" t="s">
        <v>651</v>
      </c>
    </row>
    <row r="215" spans="1:2" ht="31.5" x14ac:dyDescent="0.25">
      <c r="A215" s="418">
        <v>70430</v>
      </c>
      <c r="B215" s="419" t="s">
        <v>758</v>
      </c>
    </row>
    <row r="216" spans="1:2" ht="31.5" x14ac:dyDescent="0.25">
      <c r="A216" s="418">
        <v>70460</v>
      </c>
      <c r="B216" s="419" t="s">
        <v>759</v>
      </c>
    </row>
    <row r="217" spans="1:2" ht="31.5" x14ac:dyDescent="0.25">
      <c r="A217" s="418">
        <v>70470</v>
      </c>
      <c r="B217" s="419" t="s">
        <v>735</v>
      </c>
    </row>
    <row r="218" spans="1:2" ht="15.75" x14ac:dyDescent="0.25">
      <c r="A218" s="418">
        <v>70480</v>
      </c>
      <c r="B218" s="419" t="s">
        <v>2883</v>
      </c>
    </row>
    <row r="219" spans="1:2" ht="15.75" x14ac:dyDescent="0.25">
      <c r="A219" s="418">
        <v>70500</v>
      </c>
      <c r="B219" s="419" t="s">
        <v>760</v>
      </c>
    </row>
    <row r="220" spans="1:2" ht="31.5" x14ac:dyDescent="0.25">
      <c r="A220" s="418">
        <v>70510</v>
      </c>
      <c r="B220" s="419" t="s">
        <v>692</v>
      </c>
    </row>
    <row r="221" spans="1:2" ht="15.75" x14ac:dyDescent="0.25">
      <c r="A221" s="418">
        <v>70520</v>
      </c>
      <c r="B221" s="419" t="s">
        <v>703</v>
      </c>
    </row>
    <row r="222" spans="1:2" ht="31.5" x14ac:dyDescent="0.25">
      <c r="A222" s="418">
        <v>70530</v>
      </c>
      <c r="B222" s="419" t="s">
        <v>704</v>
      </c>
    </row>
    <row r="223" spans="1:2" ht="15.75" x14ac:dyDescent="0.25">
      <c r="A223" s="418">
        <v>70550</v>
      </c>
      <c r="B223" s="419" t="s">
        <v>739</v>
      </c>
    </row>
    <row r="224" spans="1:2" ht="31.5" x14ac:dyDescent="0.25">
      <c r="A224" s="418">
        <v>70560</v>
      </c>
      <c r="B224" s="419" t="s">
        <v>2884</v>
      </c>
    </row>
    <row r="225" spans="1:2" ht="31.5" x14ac:dyDescent="0.25">
      <c r="A225" s="418">
        <v>70570</v>
      </c>
      <c r="B225" s="419" t="s">
        <v>2885</v>
      </c>
    </row>
    <row r="226" spans="1:2" ht="31.5" x14ac:dyDescent="0.25">
      <c r="A226" s="418">
        <v>70650</v>
      </c>
      <c r="B226" s="120" t="s">
        <v>829</v>
      </c>
    </row>
    <row r="227" spans="1:2" ht="31.5" x14ac:dyDescent="0.25">
      <c r="A227" s="418">
        <v>70660</v>
      </c>
      <c r="B227" s="419" t="s">
        <v>2886</v>
      </c>
    </row>
    <row r="228" spans="1:2" ht="15.75" x14ac:dyDescent="0.25">
      <c r="A228" s="418">
        <v>70670</v>
      </c>
      <c r="B228" s="419" t="s">
        <v>2887</v>
      </c>
    </row>
    <row r="229" spans="1:2" ht="31.5" x14ac:dyDescent="0.25">
      <c r="A229" s="418">
        <v>70740</v>
      </c>
      <c r="B229" s="120" t="s">
        <v>781</v>
      </c>
    </row>
    <row r="230" spans="1:2" ht="31.5" x14ac:dyDescent="0.25">
      <c r="A230" s="418">
        <v>70750</v>
      </c>
      <c r="B230" s="120" t="s">
        <v>782</v>
      </c>
    </row>
    <row r="231" spans="1:2" ht="31.5" x14ac:dyDescent="0.25">
      <c r="A231" s="418">
        <v>70830</v>
      </c>
      <c r="B231" s="419" t="s">
        <v>793</v>
      </c>
    </row>
    <row r="232" spans="1:2" ht="31.5" x14ac:dyDescent="0.25">
      <c r="A232" s="418">
        <v>70840</v>
      </c>
      <c r="B232" s="120" t="s">
        <v>783</v>
      </c>
    </row>
    <row r="233" spans="1:2" ht="47.25" x14ac:dyDescent="0.25">
      <c r="A233" s="418">
        <v>70850</v>
      </c>
      <c r="B233" s="120" t="s">
        <v>774</v>
      </c>
    </row>
    <row r="234" spans="1:2" ht="15.75" x14ac:dyDescent="0.25">
      <c r="A234" s="418">
        <v>70860</v>
      </c>
      <c r="B234" s="120" t="s">
        <v>784</v>
      </c>
    </row>
    <row r="235" spans="1:2" ht="31.5" x14ac:dyDescent="0.25">
      <c r="A235" s="418">
        <v>70870</v>
      </c>
      <c r="B235" s="419" t="s">
        <v>794</v>
      </c>
    </row>
    <row r="236" spans="1:2" ht="15.75" x14ac:dyDescent="0.25">
      <c r="A236" s="418">
        <v>70890</v>
      </c>
      <c r="B236" s="120" t="s">
        <v>785</v>
      </c>
    </row>
    <row r="237" spans="1:2" ht="15.75" x14ac:dyDescent="0.25">
      <c r="A237" s="418">
        <v>70920</v>
      </c>
      <c r="B237" s="419" t="s">
        <v>2838</v>
      </c>
    </row>
    <row r="238" spans="1:2" ht="31.5" x14ac:dyDescent="0.25">
      <c r="A238" s="418">
        <v>70930</v>
      </c>
      <c r="B238" s="419" t="s">
        <v>2888</v>
      </c>
    </row>
    <row r="239" spans="1:2" ht="31.5" x14ac:dyDescent="0.25">
      <c r="A239" s="418">
        <v>70970</v>
      </c>
      <c r="B239" s="419" t="s">
        <v>761</v>
      </c>
    </row>
    <row r="240" spans="1:2" ht="15.75" x14ac:dyDescent="0.25">
      <c r="A240" s="418">
        <v>70990</v>
      </c>
      <c r="B240" s="419" t="s">
        <v>2889</v>
      </c>
    </row>
    <row r="241" spans="1:2" ht="31.5" x14ac:dyDescent="0.25">
      <c r="A241" s="418">
        <v>71000</v>
      </c>
      <c r="B241" s="492" t="s">
        <v>712</v>
      </c>
    </row>
    <row r="242" spans="1:2" ht="15.75" x14ac:dyDescent="0.25">
      <c r="A242" s="418">
        <v>71010</v>
      </c>
      <c r="B242" s="419" t="s">
        <v>2890</v>
      </c>
    </row>
    <row r="243" spans="1:2" ht="31.5" x14ac:dyDescent="0.25">
      <c r="A243" s="418">
        <v>71060</v>
      </c>
      <c r="B243" s="492" t="s">
        <v>713</v>
      </c>
    </row>
    <row r="244" spans="1:2" ht="31.5" x14ac:dyDescent="0.25">
      <c r="A244" s="418">
        <v>71160</v>
      </c>
      <c r="B244" s="419" t="s">
        <v>2891</v>
      </c>
    </row>
    <row r="245" spans="1:2" ht="31.5" x14ac:dyDescent="0.25">
      <c r="A245" s="418">
        <v>71170</v>
      </c>
      <c r="B245" s="419" t="s">
        <v>2892</v>
      </c>
    </row>
    <row r="246" spans="1:2" ht="31.5" x14ac:dyDescent="0.25">
      <c r="A246" s="418">
        <v>71180</v>
      </c>
      <c r="B246" s="419" t="s">
        <v>2893</v>
      </c>
    </row>
    <row r="247" spans="1:2" ht="31.5" x14ac:dyDescent="0.25">
      <c r="A247" s="418">
        <v>71190</v>
      </c>
      <c r="B247" s="419" t="s">
        <v>2894</v>
      </c>
    </row>
    <row r="248" spans="1:2" ht="31.5" x14ac:dyDescent="0.25">
      <c r="A248" s="418">
        <v>71230</v>
      </c>
      <c r="B248" s="492" t="s">
        <v>2895</v>
      </c>
    </row>
    <row r="249" spans="1:2" ht="31.5" x14ac:dyDescent="0.25">
      <c r="A249" s="418">
        <v>71236</v>
      </c>
      <c r="B249" s="492" t="s">
        <v>3430</v>
      </c>
    </row>
    <row r="250" spans="1:2" ht="31.5" x14ac:dyDescent="0.25">
      <c r="A250" s="418">
        <v>71430</v>
      </c>
      <c r="B250" s="419" t="s">
        <v>728</v>
      </c>
    </row>
    <row r="251" spans="1:2" ht="15.75" x14ac:dyDescent="0.25">
      <c r="A251" s="418">
        <v>71450</v>
      </c>
      <c r="B251" s="492" t="s">
        <v>2896</v>
      </c>
    </row>
    <row r="252" spans="1:2" ht="15.75" x14ac:dyDescent="0.25">
      <c r="A252" s="418">
        <v>71690</v>
      </c>
      <c r="B252" s="120" t="s">
        <v>840</v>
      </c>
    </row>
    <row r="253" spans="1:2" ht="15.75" x14ac:dyDescent="0.25">
      <c r="A253" s="418">
        <v>71700</v>
      </c>
      <c r="B253" s="419" t="s">
        <v>2897</v>
      </c>
    </row>
    <row r="254" spans="1:2" ht="31.5" x14ac:dyDescent="0.25">
      <c r="A254" s="418">
        <v>71750</v>
      </c>
      <c r="B254" s="492" t="s">
        <v>103</v>
      </c>
    </row>
    <row r="255" spans="1:2" ht="15.75" x14ac:dyDescent="0.25">
      <c r="A255" s="418">
        <v>71756</v>
      </c>
      <c r="B255" s="492" t="s">
        <v>3424</v>
      </c>
    </row>
    <row r="256" spans="1:2" ht="31.5" x14ac:dyDescent="0.25">
      <c r="A256" s="418">
        <v>71860</v>
      </c>
      <c r="B256" s="120" t="s">
        <v>2898</v>
      </c>
    </row>
    <row r="257" spans="1:2" ht="15.75" x14ac:dyDescent="0.25">
      <c r="A257" s="418">
        <v>72010</v>
      </c>
      <c r="B257" s="120" t="s">
        <v>2899</v>
      </c>
    </row>
    <row r="258" spans="1:2" ht="31.5" x14ac:dyDescent="0.25">
      <c r="A258" s="418">
        <v>72040</v>
      </c>
      <c r="B258" s="419" t="s">
        <v>2900</v>
      </c>
    </row>
    <row r="259" spans="1:2" ht="15.75" x14ac:dyDescent="0.25">
      <c r="A259" s="418">
        <v>72150</v>
      </c>
      <c r="B259" s="120" t="s">
        <v>2901</v>
      </c>
    </row>
    <row r="260" spans="1:2" ht="31.5" x14ac:dyDescent="0.25">
      <c r="A260" s="418">
        <v>72170</v>
      </c>
      <c r="B260" s="120" t="s">
        <v>2902</v>
      </c>
    </row>
    <row r="261" spans="1:2" ht="15.75" x14ac:dyDescent="0.25">
      <c r="A261" s="418">
        <v>72280</v>
      </c>
      <c r="B261" s="419" t="s">
        <v>2903</v>
      </c>
    </row>
    <row r="262" spans="1:2" ht="15.75" x14ac:dyDescent="0.25">
      <c r="A262" s="418">
        <v>72290</v>
      </c>
      <c r="B262" s="419" t="s">
        <v>2904</v>
      </c>
    </row>
    <row r="263" spans="1:2" ht="15.75" x14ac:dyDescent="0.25">
      <c r="A263" s="417">
        <v>72440</v>
      </c>
      <c r="B263" s="685" t="s">
        <v>879</v>
      </c>
    </row>
    <row r="264" spans="1:2" ht="31.5" x14ac:dyDescent="0.25">
      <c r="A264" s="418">
        <v>72470</v>
      </c>
      <c r="B264" s="120" t="s">
        <v>2905</v>
      </c>
    </row>
    <row r="265" spans="1:2" ht="31.5" x14ac:dyDescent="0.25">
      <c r="A265" s="418">
        <v>72550</v>
      </c>
      <c r="B265" s="120" t="s">
        <v>2941</v>
      </c>
    </row>
    <row r="266" spans="1:2" ht="31.5" x14ac:dyDescent="0.25">
      <c r="A266" s="418">
        <v>72560</v>
      </c>
      <c r="B266" s="120" t="s">
        <v>2942</v>
      </c>
    </row>
    <row r="267" spans="1:2" ht="31.5" x14ac:dyDescent="0.25">
      <c r="A267" s="418">
        <v>72610</v>
      </c>
      <c r="B267" s="419" t="s">
        <v>2906</v>
      </c>
    </row>
    <row r="268" spans="1:2" ht="47.25" x14ac:dyDescent="0.25">
      <c r="A268" s="418">
        <v>72880</v>
      </c>
      <c r="B268" s="419" t="s">
        <v>3428</v>
      </c>
    </row>
    <row r="269" spans="1:2" ht="15.75" x14ac:dyDescent="0.25">
      <c r="A269" s="418">
        <v>72940</v>
      </c>
      <c r="B269" s="419" t="s">
        <v>2907</v>
      </c>
    </row>
    <row r="270" spans="1:2" ht="15.75" x14ac:dyDescent="0.25">
      <c r="A270" s="418">
        <v>72970</v>
      </c>
      <c r="B270" s="120" t="s">
        <v>811</v>
      </c>
    </row>
    <row r="271" spans="1:2" ht="31.5" x14ac:dyDescent="0.25">
      <c r="A271" s="418">
        <v>73000</v>
      </c>
      <c r="B271" s="419" t="s">
        <v>2908</v>
      </c>
    </row>
    <row r="272" spans="1:2" ht="15.75" x14ac:dyDescent="0.25">
      <c r="A272" s="418">
        <v>73040</v>
      </c>
      <c r="B272" s="120" t="s">
        <v>786</v>
      </c>
    </row>
    <row r="273" spans="1:2" ht="31.5" x14ac:dyDescent="0.25">
      <c r="A273" s="418">
        <v>73110</v>
      </c>
      <c r="B273" s="419" t="s">
        <v>693</v>
      </c>
    </row>
    <row r="274" spans="1:2" ht="15.75" x14ac:dyDescent="0.25">
      <c r="A274" s="418">
        <v>73140</v>
      </c>
      <c r="B274" s="419" t="s">
        <v>3202</v>
      </c>
    </row>
    <row r="275" spans="1:2" ht="15.75" x14ac:dyDescent="0.25">
      <c r="A275" s="418">
        <v>73230</v>
      </c>
      <c r="B275" s="419" t="s">
        <v>2909</v>
      </c>
    </row>
    <row r="276" spans="1:2" ht="15.75" x14ac:dyDescent="0.25">
      <c r="A276" s="418">
        <v>73260</v>
      </c>
      <c r="B276" s="492" t="s">
        <v>3340</v>
      </c>
    </row>
    <row r="277" spans="1:2" ht="15.75" x14ac:dyDescent="0.25">
      <c r="A277" s="418">
        <v>73266</v>
      </c>
      <c r="B277" s="492" t="s">
        <v>3437</v>
      </c>
    </row>
    <row r="278" spans="1:2" ht="15.75" x14ac:dyDescent="0.25">
      <c r="A278" s="418">
        <v>73280</v>
      </c>
      <c r="B278" s="419" t="s">
        <v>640</v>
      </c>
    </row>
    <row r="279" spans="1:2" ht="31.5" x14ac:dyDescent="0.25">
      <c r="A279" s="418">
        <v>73900</v>
      </c>
      <c r="B279" s="492" t="s">
        <v>3433</v>
      </c>
    </row>
    <row r="280" spans="1:2" ht="15.75" x14ac:dyDescent="0.25">
      <c r="A280" s="418">
        <v>73906</v>
      </c>
      <c r="B280" s="492" t="s">
        <v>3432</v>
      </c>
    </row>
    <row r="281" spans="1:2" ht="15.75" x14ac:dyDescent="0.25">
      <c r="A281" s="418">
        <v>74390</v>
      </c>
      <c r="B281" s="120" t="s">
        <v>714</v>
      </c>
    </row>
    <row r="282" spans="1:2" ht="15.75" x14ac:dyDescent="0.25">
      <c r="A282" s="418">
        <v>74420</v>
      </c>
      <c r="B282" s="120" t="s">
        <v>134</v>
      </c>
    </row>
    <row r="283" spans="1:2" ht="31.5" x14ac:dyDescent="0.25">
      <c r="A283" s="418">
        <v>74450</v>
      </c>
      <c r="B283" s="120" t="s">
        <v>135</v>
      </c>
    </row>
    <row r="284" spans="1:2" ht="15.75" x14ac:dyDescent="0.25">
      <c r="A284" s="418">
        <v>74770</v>
      </c>
      <c r="B284" s="120" t="s">
        <v>2910</v>
      </c>
    </row>
    <row r="285" spans="1:2" ht="31.5" x14ac:dyDescent="0.25">
      <c r="A285" s="418">
        <v>74790</v>
      </c>
      <c r="B285" s="120" t="s">
        <v>97</v>
      </c>
    </row>
    <row r="286" spans="1:2" ht="15.75" x14ac:dyDescent="0.25">
      <c r="A286" s="418">
        <v>74880</v>
      </c>
      <c r="B286" s="120" t="s">
        <v>2961</v>
      </c>
    </row>
    <row r="287" spans="1:2" ht="15.75" x14ac:dyDescent="0.25">
      <c r="A287" s="418">
        <v>75160</v>
      </c>
      <c r="B287" s="120" t="s">
        <v>131</v>
      </c>
    </row>
    <row r="288" spans="1:2" ht="15.75" x14ac:dyDescent="0.25">
      <c r="A288" s="418">
        <v>75260</v>
      </c>
      <c r="B288" s="120" t="s">
        <v>3425</v>
      </c>
    </row>
    <row r="289" spans="1:2" ht="15.75" x14ac:dyDescent="0.25">
      <c r="A289" s="418">
        <v>75350</v>
      </c>
      <c r="B289" s="120" t="s">
        <v>3420</v>
      </c>
    </row>
    <row r="290" spans="1:2" ht="31.5" x14ac:dyDescent="0.25">
      <c r="A290" s="418">
        <v>75356</v>
      </c>
      <c r="B290" s="120" t="s">
        <v>3434</v>
      </c>
    </row>
    <row r="291" spans="1:2" ht="31.5" x14ac:dyDescent="0.25">
      <c r="A291" s="418">
        <v>75480</v>
      </c>
      <c r="B291" s="120" t="s">
        <v>3212</v>
      </c>
    </row>
    <row r="292" spans="1:2" ht="31.5" x14ac:dyDescent="0.25">
      <c r="A292" s="418">
        <v>75490</v>
      </c>
      <c r="B292" s="120" t="s">
        <v>3199</v>
      </c>
    </row>
    <row r="293" spans="1:2" ht="15.75" x14ac:dyDescent="0.25">
      <c r="A293" s="418">
        <v>75550</v>
      </c>
      <c r="B293" s="120" t="s">
        <v>3426</v>
      </c>
    </row>
    <row r="294" spans="1:2" ht="15.75" x14ac:dyDescent="0.25">
      <c r="A294" s="418">
        <v>75556</v>
      </c>
      <c r="B294" s="120" t="s">
        <v>3345</v>
      </c>
    </row>
    <row r="295" spans="1:2" ht="15.75" x14ac:dyDescent="0.25">
      <c r="A295" s="418">
        <v>75620</v>
      </c>
      <c r="B295" s="120" t="s">
        <v>3427</v>
      </c>
    </row>
    <row r="296" spans="1:2" ht="15.75" x14ac:dyDescent="0.25">
      <c r="A296" s="418">
        <v>75626</v>
      </c>
      <c r="B296" s="120" t="s">
        <v>3313</v>
      </c>
    </row>
    <row r="297" spans="1:2" ht="15.75" x14ac:dyDescent="0.25">
      <c r="A297" s="418">
        <v>75800</v>
      </c>
      <c r="B297" s="120" t="s">
        <v>3205</v>
      </c>
    </row>
    <row r="298" spans="1:2" ht="31.5" x14ac:dyDescent="0.25">
      <c r="A298" s="418">
        <v>75870</v>
      </c>
      <c r="B298" s="120" t="s">
        <v>3368</v>
      </c>
    </row>
    <row r="299" spans="1:2" ht="15.75" x14ac:dyDescent="0.25">
      <c r="A299" s="418">
        <v>75876</v>
      </c>
      <c r="B299" s="120" t="s">
        <v>3474</v>
      </c>
    </row>
    <row r="300" spans="1:2" ht="31.5" x14ac:dyDescent="0.25">
      <c r="A300" s="418">
        <v>75870</v>
      </c>
      <c r="B300" s="120" t="s">
        <v>3368</v>
      </c>
    </row>
    <row r="301" spans="1:2" ht="15.75" x14ac:dyDescent="0.25">
      <c r="A301" s="418">
        <v>76150</v>
      </c>
      <c r="B301" s="120" t="s">
        <v>3423</v>
      </c>
    </row>
    <row r="302" spans="1:2" ht="31.5" x14ac:dyDescent="0.25">
      <c r="A302" s="418">
        <v>76160</v>
      </c>
      <c r="B302" s="120" t="s">
        <v>3454</v>
      </c>
    </row>
    <row r="303" spans="1:2" ht="15.75" x14ac:dyDescent="0.25">
      <c r="A303" s="418">
        <v>80120</v>
      </c>
      <c r="B303" s="419" t="s">
        <v>2911</v>
      </c>
    </row>
    <row r="304" spans="1:2" ht="31.5" x14ac:dyDescent="0.25">
      <c r="A304" s="418">
        <v>80190</v>
      </c>
      <c r="B304" s="419" t="s">
        <v>652</v>
      </c>
    </row>
    <row r="305" spans="1:2" ht="31.5" x14ac:dyDescent="0.25">
      <c r="A305" s="418">
        <v>80200</v>
      </c>
      <c r="B305" s="419" t="s">
        <v>653</v>
      </c>
    </row>
    <row r="306" spans="1:2" ht="31.5" x14ac:dyDescent="0.25">
      <c r="A306" s="418">
        <v>90050</v>
      </c>
      <c r="B306" s="492" t="s">
        <v>3379</v>
      </c>
    </row>
    <row r="307" spans="1:2" ht="15.75" x14ac:dyDescent="0.25">
      <c r="A307" s="418" t="s">
        <v>2920</v>
      </c>
      <c r="B307" s="662" t="s">
        <v>2921</v>
      </c>
    </row>
    <row r="308" spans="1:2" ht="15.75" x14ac:dyDescent="0.25">
      <c r="A308" s="418" t="s">
        <v>3265</v>
      </c>
      <c r="B308" s="662" t="s">
        <v>3266</v>
      </c>
    </row>
    <row r="309" spans="1:2" ht="15.75" x14ac:dyDescent="0.25">
      <c r="A309" s="418" t="s">
        <v>3383</v>
      </c>
      <c r="B309" s="662" t="s">
        <v>3384</v>
      </c>
    </row>
    <row r="310" spans="1:2" ht="15.75" x14ac:dyDescent="0.25">
      <c r="A310" s="418" t="s">
        <v>3469</v>
      </c>
      <c r="B310" s="662" t="s">
        <v>3470</v>
      </c>
    </row>
    <row r="311" spans="1:2" ht="31.5" x14ac:dyDescent="0.25">
      <c r="A311" s="418" t="s">
        <v>3307</v>
      </c>
      <c r="B311" s="662" t="s">
        <v>3308</v>
      </c>
    </row>
    <row r="312" spans="1:2" ht="15.75" x14ac:dyDescent="0.25">
      <c r="A312" s="418" t="s">
        <v>3279</v>
      </c>
      <c r="B312" s="662" t="s">
        <v>3380</v>
      </c>
    </row>
    <row r="313" spans="1:2" ht="31.5" x14ac:dyDescent="0.25">
      <c r="A313" s="418" t="s">
        <v>3381</v>
      </c>
      <c r="B313" s="662" t="s">
        <v>3382</v>
      </c>
    </row>
    <row r="314" spans="1:2" ht="15.75" x14ac:dyDescent="0.25">
      <c r="A314" s="418" t="s">
        <v>2919</v>
      </c>
      <c r="B314" s="662" t="s">
        <v>2922</v>
      </c>
    </row>
    <row r="315" spans="1:2" ht="31.5" x14ac:dyDescent="0.25">
      <c r="A315" s="418" t="s">
        <v>3299</v>
      </c>
      <c r="B315" s="492" t="s">
        <v>652</v>
      </c>
    </row>
    <row r="316" spans="1:2" ht="31.5" x14ac:dyDescent="0.25">
      <c r="A316" s="418" t="s">
        <v>3300</v>
      </c>
      <c r="B316" s="492" t="s">
        <v>653</v>
      </c>
    </row>
    <row r="317" spans="1:2" ht="31.5" x14ac:dyDescent="0.25">
      <c r="A317" s="418" t="s">
        <v>3334</v>
      </c>
      <c r="B317" s="492" t="s">
        <v>758</v>
      </c>
    </row>
    <row r="318" spans="1:2" ht="31.5" x14ac:dyDescent="0.25">
      <c r="A318" s="418" t="s">
        <v>3332</v>
      </c>
      <c r="B318" s="492" t="s">
        <v>759</v>
      </c>
    </row>
    <row r="319" spans="1:2" ht="15.75" x14ac:dyDescent="0.25">
      <c r="A319" s="418" t="s">
        <v>3333</v>
      </c>
      <c r="B319" s="492" t="s">
        <v>760</v>
      </c>
    </row>
    <row r="320" spans="1:2" ht="31.5" x14ac:dyDescent="0.25">
      <c r="A320" s="418" t="s">
        <v>3322</v>
      </c>
      <c r="B320" s="492" t="s">
        <v>692</v>
      </c>
    </row>
    <row r="321" spans="1:2" ht="15.75" x14ac:dyDescent="0.25">
      <c r="A321" s="418" t="s">
        <v>3323</v>
      </c>
      <c r="B321" s="492" t="s">
        <v>703</v>
      </c>
    </row>
    <row r="322" spans="1:2" ht="31.5" x14ac:dyDescent="0.25">
      <c r="A322" s="418" t="s">
        <v>3325</v>
      </c>
      <c r="B322" s="492" t="s">
        <v>704</v>
      </c>
    </row>
    <row r="323" spans="1:2" ht="15.75" x14ac:dyDescent="0.25">
      <c r="A323" s="418" t="s">
        <v>3330</v>
      </c>
      <c r="B323" s="492" t="s">
        <v>739</v>
      </c>
    </row>
    <row r="324" spans="1:2" ht="31.5" x14ac:dyDescent="0.25">
      <c r="A324" s="418" t="s">
        <v>3339</v>
      </c>
      <c r="B324" s="492" t="s">
        <v>829</v>
      </c>
    </row>
    <row r="325" spans="1:2" ht="31.5" x14ac:dyDescent="0.25">
      <c r="A325" s="418" t="s">
        <v>3269</v>
      </c>
      <c r="B325" s="492" t="s">
        <v>781</v>
      </c>
    </row>
    <row r="326" spans="1:2" ht="31.5" x14ac:dyDescent="0.25">
      <c r="A326" s="418" t="s">
        <v>3270</v>
      </c>
      <c r="B326" s="492" t="s">
        <v>782</v>
      </c>
    </row>
    <row r="327" spans="1:2" ht="31.5" x14ac:dyDescent="0.25">
      <c r="A327" s="418" t="s">
        <v>2913</v>
      </c>
      <c r="B327" s="492" t="s">
        <v>793</v>
      </c>
    </row>
    <row r="328" spans="1:2" ht="31.5" x14ac:dyDescent="0.25">
      <c r="A328" s="418" t="s">
        <v>3271</v>
      </c>
      <c r="B328" s="492" t="s">
        <v>783</v>
      </c>
    </row>
    <row r="329" spans="1:2" ht="47.25" x14ac:dyDescent="0.25">
      <c r="A329" s="418" t="s">
        <v>3335</v>
      </c>
      <c r="B329" s="492" t="s">
        <v>774</v>
      </c>
    </row>
    <row r="330" spans="1:2" ht="17.45" customHeight="1" x14ac:dyDescent="0.25">
      <c r="A330" s="418" t="s">
        <v>3272</v>
      </c>
      <c r="B330" s="492" t="s">
        <v>784</v>
      </c>
    </row>
    <row r="331" spans="1:2" ht="17.45" customHeight="1" x14ac:dyDescent="0.25">
      <c r="A331" s="418" t="s">
        <v>3337</v>
      </c>
      <c r="B331" s="492" t="s">
        <v>794</v>
      </c>
    </row>
    <row r="332" spans="1:2" ht="17.45" customHeight="1" x14ac:dyDescent="0.25">
      <c r="A332" s="418" t="s">
        <v>3274</v>
      </c>
      <c r="B332" s="492" t="s">
        <v>785</v>
      </c>
    </row>
    <row r="333" spans="1:2" ht="32.25" customHeight="1" x14ac:dyDescent="0.25">
      <c r="A333" s="418" t="s">
        <v>3455</v>
      </c>
      <c r="B333" s="492" t="s">
        <v>3456</v>
      </c>
    </row>
    <row r="334" spans="1:2" ht="17.45" customHeight="1" x14ac:dyDescent="0.25">
      <c r="A334" s="418" t="s">
        <v>3326</v>
      </c>
      <c r="B334" s="492" t="s">
        <v>709</v>
      </c>
    </row>
    <row r="335" spans="1:2" ht="31.5" customHeight="1" x14ac:dyDescent="0.25">
      <c r="A335" s="418" t="s">
        <v>3327</v>
      </c>
      <c r="B335" s="492" t="s">
        <v>713</v>
      </c>
    </row>
    <row r="336" spans="1:2" ht="31.5" customHeight="1" x14ac:dyDescent="0.25">
      <c r="A336" s="418" t="s">
        <v>3329</v>
      </c>
      <c r="B336" s="492" t="s">
        <v>728</v>
      </c>
    </row>
    <row r="337" spans="1:2" ht="17.45" customHeight="1" x14ac:dyDescent="0.25">
      <c r="A337" s="418" t="s">
        <v>3301</v>
      </c>
      <c r="B337" s="492" t="s">
        <v>2896</v>
      </c>
    </row>
    <row r="338" spans="1:2" ht="17.45" customHeight="1" x14ac:dyDescent="0.25">
      <c r="A338" s="418" t="s">
        <v>3421</v>
      </c>
      <c r="B338" s="492" t="s">
        <v>840</v>
      </c>
    </row>
    <row r="339" spans="1:2" ht="17.45" customHeight="1" x14ac:dyDescent="0.25">
      <c r="A339" s="418" t="s">
        <v>3385</v>
      </c>
      <c r="B339" s="492" t="s">
        <v>3386</v>
      </c>
    </row>
    <row r="340" spans="1:2" ht="17.45" customHeight="1" x14ac:dyDescent="0.25">
      <c r="A340" s="418" t="s">
        <v>3314</v>
      </c>
      <c r="B340" s="492" t="s">
        <v>3315</v>
      </c>
    </row>
    <row r="341" spans="1:2" ht="17.45" customHeight="1" x14ac:dyDescent="0.25">
      <c r="A341" s="418" t="s">
        <v>3309</v>
      </c>
      <c r="B341" s="492" t="s">
        <v>3310</v>
      </c>
    </row>
    <row r="342" spans="1:2" ht="36.75" customHeight="1" x14ac:dyDescent="0.25">
      <c r="A342" s="418" t="s">
        <v>3342</v>
      </c>
      <c r="B342" s="492" t="s">
        <v>2941</v>
      </c>
    </row>
    <row r="343" spans="1:2" ht="36.75" customHeight="1" x14ac:dyDescent="0.25">
      <c r="A343" s="418" t="s">
        <v>3343</v>
      </c>
      <c r="B343" s="492" t="s">
        <v>2942</v>
      </c>
    </row>
    <row r="344" spans="1:2" ht="49.15" customHeight="1" x14ac:dyDescent="0.25">
      <c r="A344" s="418" t="s">
        <v>3377</v>
      </c>
      <c r="B344" s="492" t="s">
        <v>3378</v>
      </c>
    </row>
    <row r="345" spans="1:2" ht="15.75" x14ac:dyDescent="0.25">
      <c r="A345" s="418" t="s">
        <v>3273</v>
      </c>
      <c r="B345" s="492" t="s">
        <v>786</v>
      </c>
    </row>
    <row r="346" spans="1:2" ht="31.5" x14ac:dyDescent="0.25">
      <c r="A346" s="418" t="s">
        <v>3324</v>
      </c>
      <c r="B346" s="492" t="s">
        <v>693</v>
      </c>
    </row>
    <row r="347" spans="1:2" ht="15.75" x14ac:dyDescent="0.25">
      <c r="A347" s="418" t="s">
        <v>3413</v>
      </c>
      <c r="B347" s="492" t="s">
        <v>3414</v>
      </c>
    </row>
    <row r="348" spans="1:2" ht="15.75" x14ac:dyDescent="0.25">
      <c r="A348" s="418" t="s">
        <v>3331</v>
      </c>
      <c r="B348" s="492" t="s">
        <v>714</v>
      </c>
    </row>
    <row r="349" spans="1:2" ht="15.75" x14ac:dyDescent="0.25">
      <c r="A349" s="418" t="s">
        <v>3277</v>
      </c>
      <c r="B349" s="492" t="s">
        <v>134</v>
      </c>
    </row>
    <row r="350" spans="1:2" ht="31.5" x14ac:dyDescent="0.25">
      <c r="A350" s="418" t="s">
        <v>3276</v>
      </c>
      <c r="B350" s="492" t="s">
        <v>135</v>
      </c>
    </row>
    <row r="351" spans="1:2" ht="31.5" x14ac:dyDescent="0.25">
      <c r="A351" s="418" t="s">
        <v>3189</v>
      </c>
      <c r="B351" s="492" t="s">
        <v>3198</v>
      </c>
    </row>
    <row r="352" spans="1:2" ht="15.75" x14ac:dyDescent="0.25">
      <c r="A352" s="418" t="s">
        <v>3328</v>
      </c>
      <c r="B352" s="492" t="s">
        <v>131</v>
      </c>
    </row>
    <row r="353" spans="1:2" ht="15.75" x14ac:dyDescent="0.25">
      <c r="A353" s="418" t="s">
        <v>3475</v>
      </c>
      <c r="B353" s="492" t="s">
        <v>3470</v>
      </c>
    </row>
    <row r="354" spans="1:2" ht="15.75" x14ac:dyDescent="0.25">
      <c r="A354" s="418" t="s">
        <v>3295</v>
      </c>
      <c r="B354" s="492" t="s">
        <v>3297</v>
      </c>
    </row>
    <row r="355" spans="1:2" ht="15.75" x14ac:dyDescent="0.25">
      <c r="A355" s="418" t="s">
        <v>3419</v>
      </c>
      <c r="B355" s="492" t="s">
        <v>3420</v>
      </c>
    </row>
    <row r="356" spans="1:2" ht="15.75" x14ac:dyDescent="0.25">
      <c r="A356" s="418" t="s">
        <v>3371</v>
      </c>
      <c r="B356" s="492" t="s">
        <v>3372</v>
      </c>
    </row>
    <row r="357" spans="1:2" ht="31.5" x14ac:dyDescent="0.25">
      <c r="A357" s="418" t="s">
        <v>3336</v>
      </c>
      <c r="B357" s="120" t="s">
        <v>3212</v>
      </c>
    </row>
    <row r="358" spans="1:2" ht="31.5" x14ac:dyDescent="0.25">
      <c r="A358" s="418" t="s">
        <v>3275</v>
      </c>
      <c r="B358" s="492" t="s">
        <v>3199</v>
      </c>
    </row>
    <row r="359" spans="1:2" ht="15.75" x14ac:dyDescent="0.25">
      <c r="A359" s="418" t="s">
        <v>3349</v>
      </c>
      <c r="B359" s="492" t="s">
        <v>3345</v>
      </c>
    </row>
    <row r="360" spans="1:2" ht="15.75" x14ac:dyDescent="0.25">
      <c r="A360" s="418" t="s">
        <v>3344</v>
      </c>
      <c r="B360" s="492" t="s">
        <v>3345</v>
      </c>
    </row>
    <row r="361" spans="1:2" ht="15.75" x14ac:dyDescent="0.25">
      <c r="A361" s="418" t="s">
        <v>3316</v>
      </c>
      <c r="B361" s="492" t="s">
        <v>3219</v>
      </c>
    </row>
    <row r="362" spans="1:2" ht="15.75" x14ac:dyDescent="0.25">
      <c r="A362" s="418" t="s">
        <v>3312</v>
      </c>
      <c r="B362" s="492" t="s">
        <v>3313</v>
      </c>
    </row>
    <row r="363" spans="1:2" ht="15.75" x14ac:dyDescent="0.25">
      <c r="A363" s="418" t="s">
        <v>3415</v>
      </c>
      <c r="B363" s="492" t="s">
        <v>3416</v>
      </c>
    </row>
    <row r="364" spans="1:2" ht="31.5" x14ac:dyDescent="0.25">
      <c r="A364" s="418" t="s">
        <v>736</v>
      </c>
      <c r="B364" s="120" t="s">
        <v>735</v>
      </c>
    </row>
    <row r="365" spans="1:2" ht="31.5" x14ac:dyDescent="0.25">
      <c r="A365" s="418" t="s">
        <v>830</v>
      </c>
      <c r="B365" s="120" t="s">
        <v>829</v>
      </c>
    </row>
    <row r="366" spans="1:2" ht="15.75" x14ac:dyDescent="0.25">
      <c r="A366" s="418" t="s">
        <v>756</v>
      </c>
      <c r="B366" s="120" t="s">
        <v>755</v>
      </c>
    </row>
    <row r="367" spans="1:2" ht="15.75" x14ac:dyDescent="0.25">
      <c r="A367" s="418" t="s">
        <v>710</v>
      </c>
      <c r="B367" s="120" t="s">
        <v>709</v>
      </c>
    </row>
    <row r="368" spans="1:2" ht="15.75" x14ac:dyDescent="0.25">
      <c r="A368" s="418" t="s">
        <v>3267</v>
      </c>
      <c r="B368" s="120" t="s">
        <v>2851</v>
      </c>
    </row>
    <row r="369" spans="1:2" ht="31.5" x14ac:dyDescent="0.25">
      <c r="A369" s="417" t="s">
        <v>727</v>
      </c>
      <c r="B369" s="120" t="s">
        <v>726</v>
      </c>
    </row>
    <row r="370" spans="1:2" ht="15.75" x14ac:dyDescent="0.25">
      <c r="A370" s="417" t="s">
        <v>841</v>
      </c>
      <c r="B370" s="120" t="s">
        <v>840</v>
      </c>
    </row>
    <row r="371" spans="1:2" ht="15.75" x14ac:dyDescent="0.25">
      <c r="A371" s="417" t="s">
        <v>765</v>
      </c>
      <c r="B371" s="120" t="s">
        <v>764</v>
      </c>
    </row>
    <row r="372" spans="1:2" ht="15.75" x14ac:dyDescent="0.25">
      <c r="A372" s="417" t="s">
        <v>3311</v>
      </c>
      <c r="B372" s="120" t="s">
        <v>2844</v>
      </c>
    </row>
    <row r="373" spans="1:2" ht="31.5" x14ac:dyDescent="0.25">
      <c r="A373" s="418" t="s">
        <v>676</v>
      </c>
      <c r="B373" s="423" t="s">
        <v>675</v>
      </c>
    </row>
    <row r="374" spans="1:2" ht="15.75" x14ac:dyDescent="0.25">
      <c r="A374" s="418" t="s">
        <v>3203</v>
      </c>
      <c r="B374" s="423" t="s">
        <v>3202</v>
      </c>
    </row>
    <row r="375" spans="1:2" ht="15.75" x14ac:dyDescent="0.25">
      <c r="A375" s="418" t="s">
        <v>746</v>
      </c>
      <c r="B375" s="120" t="s">
        <v>745</v>
      </c>
    </row>
    <row r="376" spans="1:2" ht="15.75" x14ac:dyDescent="0.25">
      <c r="A376" s="418" t="s">
        <v>2960</v>
      </c>
      <c r="B376" s="120" t="s">
        <v>2961</v>
      </c>
    </row>
    <row r="377" spans="1:2" ht="15.75" x14ac:dyDescent="0.25">
      <c r="A377" s="418" t="s">
        <v>3296</v>
      </c>
      <c r="B377" s="120" t="s">
        <v>3298</v>
      </c>
    </row>
    <row r="378" spans="1:2" ht="15.75" x14ac:dyDescent="0.25">
      <c r="A378" s="418" t="s">
        <v>3373</v>
      </c>
      <c r="B378" s="120" t="s">
        <v>3374</v>
      </c>
    </row>
    <row r="379" spans="1:2" ht="15.75" x14ac:dyDescent="0.25">
      <c r="A379" s="418" t="s">
        <v>3348</v>
      </c>
      <c r="B379" s="492" t="s">
        <v>3313</v>
      </c>
    </row>
    <row r="380" spans="1:2" ht="15.75" x14ac:dyDescent="0.25">
      <c r="A380" s="418" t="s">
        <v>3204</v>
      </c>
      <c r="B380" s="120" t="s">
        <v>3205</v>
      </c>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view="pageBreakPreview" topLeftCell="A16" zoomScaleSheetLayoutView="100" workbookViewId="0">
      <selection activeCell="E12" sqref="E12"/>
    </sheetView>
  </sheetViews>
  <sheetFormatPr defaultColWidth="9.140625" defaultRowHeight="12.75" x14ac:dyDescent="0.2"/>
  <cols>
    <col min="1" max="1" width="25" style="41" customWidth="1"/>
    <col min="2" max="2" width="30.5703125" style="41" customWidth="1"/>
    <col min="3" max="3" width="18.140625" style="41" customWidth="1"/>
    <col min="4" max="4" width="16" style="41" customWidth="1"/>
    <col min="5" max="5" width="20.28515625" style="41" customWidth="1"/>
    <col min="6" max="6" width="15.140625" style="41" customWidth="1"/>
    <col min="7" max="7" width="12.140625" style="41" customWidth="1"/>
    <col min="8" max="8" width="18" style="41" customWidth="1"/>
    <col min="9" max="16384" width="9.140625" style="41"/>
  </cols>
  <sheetData>
    <row r="1" spans="1:8" ht="15.75" x14ac:dyDescent="0.25">
      <c r="A1" s="868" t="s">
        <v>340</v>
      </c>
      <c r="B1" s="868"/>
      <c r="C1" s="868"/>
      <c r="D1" s="868"/>
      <c r="E1" s="868"/>
      <c r="F1" s="868"/>
      <c r="G1" s="868"/>
      <c r="H1" s="868"/>
    </row>
    <row r="2" spans="1:8" ht="15.75" x14ac:dyDescent="0.25">
      <c r="A2" s="868" t="s">
        <v>1</v>
      </c>
      <c r="B2" s="868"/>
      <c r="C2" s="868"/>
      <c r="D2" s="868"/>
      <c r="E2" s="868"/>
      <c r="F2" s="868"/>
      <c r="G2" s="868"/>
      <c r="H2" s="868"/>
    </row>
    <row r="3" spans="1:8" ht="15.75" x14ac:dyDescent="0.25">
      <c r="A3" s="868" t="s">
        <v>2</v>
      </c>
      <c r="B3" s="868"/>
      <c r="C3" s="868"/>
      <c r="D3" s="868"/>
      <c r="E3" s="868"/>
      <c r="F3" s="868"/>
      <c r="G3" s="868"/>
      <c r="H3" s="868"/>
    </row>
    <row r="4" spans="1:8" ht="15" customHeight="1" x14ac:dyDescent="0.25">
      <c r="A4" s="868" t="s">
        <v>3142</v>
      </c>
      <c r="B4" s="868"/>
      <c r="C4" s="868"/>
      <c r="D4" s="868"/>
      <c r="E4" s="868"/>
      <c r="F4" s="868"/>
      <c r="G4" s="868"/>
      <c r="H4" s="868"/>
    </row>
    <row r="5" spans="1:8" hidden="1" x14ac:dyDescent="0.2">
      <c r="C5" s="82"/>
      <c r="D5" s="48"/>
    </row>
    <row r="6" spans="1:8" ht="15" customHeight="1" x14ac:dyDescent="0.2">
      <c r="A6" s="882" t="s">
        <v>3133</v>
      </c>
      <c r="B6" s="882"/>
      <c r="C6" s="882"/>
      <c r="D6" s="882"/>
      <c r="E6" s="882"/>
      <c r="F6" s="882"/>
      <c r="G6" s="882"/>
      <c r="H6" s="882"/>
    </row>
    <row r="7" spans="1:8" ht="58.5" customHeight="1" x14ac:dyDescent="0.2">
      <c r="A7" s="882"/>
      <c r="B7" s="882"/>
      <c r="C7" s="882"/>
      <c r="D7" s="882"/>
      <c r="E7" s="882"/>
      <c r="F7" s="882"/>
      <c r="G7" s="882"/>
      <c r="H7" s="882"/>
    </row>
    <row r="8" spans="1:8" ht="19.5" thickBot="1" x14ac:dyDescent="0.25">
      <c r="A8" s="8"/>
      <c r="B8" s="1"/>
      <c r="C8" s="82"/>
      <c r="D8" s="883"/>
      <c r="E8" s="883"/>
      <c r="F8" s="883"/>
      <c r="G8" s="883"/>
      <c r="H8" s="883"/>
    </row>
    <row r="9" spans="1:8" ht="32.25" thickBot="1" x14ac:dyDescent="0.25">
      <c r="A9" s="74" t="s">
        <v>190</v>
      </c>
      <c r="B9" s="74" t="s">
        <v>306</v>
      </c>
      <c r="C9" s="74" t="s">
        <v>179</v>
      </c>
      <c r="D9" s="74" t="s">
        <v>997</v>
      </c>
      <c r="E9" s="74" t="s">
        <v>341</v>
      </c>
      <c r="F9" s="74" t="s">
        <v>341</v>
      </c>
      <c r="G9" s="74" t="s">
        <v>997</v>
      </c>
      <c r="H9" s="74" t="s">
        <v>3141</v>
      </c>
    </row>
    <row r="10" spans="1:8" ht="48" thickBot="1" x14ac:dyDescent="0.25">
      <c r="A10" s="84" t="s">
        <v>342</v>
      </c>
      <c r="B10" s="85" t="s">
        <v>308</v>
      </c>
      <c r="C10" s="76">
        <f>C11+C13</f>
        <v>1250000</v>
      </c>
      <c r="D10" s="76">
        <f>D11+D13</f>
        <v>0</v>
      </c>
      <c r="E10" s="76">
        <f>SUM(C10:D10)</f>
        <v>1250000</v>
      </c>
      <c r="F10" s="76">
        <f>F11+F13</f>
        <v>0</v>
      </c>
      <c r="G10" s="76">
        <f>G11+G13</f>
        <v>0</v>
      </c>
      <c r="H10" s="76">
        <f>SUM(F10:G10)</f>
        <v>0</v>
      </c>
    </row>
    <row r="11" spans="1:8" ht="63.75" thickBot="1" x14ac:dyDescent="0.25">
      <c r="A11" s="84" t="s">
        <v>309</v>
      </c>
      <c r="B11" s="86" t="s">
        <v>310</v>
      </c>
      <c r="C11" s="78">
        <f>C12</f>
        <v>15529000</v>
      </c>
      <c r="D11" s="78">
        <f>D12</f>
        <v>0</v>
      </c>
      <c r="E11" s="78">
        <f>SUM(C11:D11)</f>
        <v>15529000</v>
      </c>
      <c r="F11" s="78">
        <f>F12</f>
        <v>15529000</v>
      </c>
      <c r="G11" s="78">
        <f>G12</f>
        <v>0</v>
      </c>
      <c r="H11" s="78">
        <f t="shared" ref="H11:H24" si="0">SUM(F11:G11)</f>
        <v>15529000</v>
      </c>
    </row>
    <row r="12" spans="1:8" ht="79.5" thickBot="1" x14ac:dyDescent="0.25">
      <c r="A12" s="84" t="s">
        <v>311</v>
      </c>
      <c r="B12" s="86" t="s">
        <v>343</v>
      </c>
      <c r="C12" s="78">
        <f>14279000+1250000</f>
        <v>15529000</v>
      </c>
      <c r="D12" s="78"/>
      <c r="E12" s="78">
        <f t="shared" ref="E12:E24" si="1">SUM(C12:D12)</f>
        <v>15529000</v>
      </c>
      <c r="F12" s="87">
        <v>15529000</v>
      </c>
      <c r="G12" s="87"/>
      <c r="H12" s="78">
        <f t="shared" si="0"/>
        <v>15529000</v>
      </c>
    </row>
    <row r="13" spans="1:8" ht="79.5" thickBot="1" x14ac:dyDescent="0.25">
      <c r="A13" s="84" t="s">
        <v>313</v>
      </c>
      <c r="B13" s="86" t="s">
        <v>314</v>
      </c>
      <c r="C13" s="78">
        <f>C14</f>
        <v>-14279000</v>
      </c>
      <c r="D13" s="78">
        <f>D14</f>
        <v>0</v>
      </c>
      <c r="E13" s="78">
        <f t="shared" si="1"/>
        <v>-14279000</v>
      </c>
      <c r="F13" s="78">
        <f>F14</f>
        <v>-15529000</v>
      </c>
      <c r="G13" s="78">
        <f>G14</f>
        <v>0</v>
      </c>
      <c r="H13" s="78">
        <f t="shared" si="0"/>
        <v>-15529000</v>
      </c>
    </row>
    <row r="14" spans="1:8" ht="79.5" thickBot="1" x14ac:dyDescent="0.25">
      <c r="A14" s="84" t="s">
        <v>315</v>
      </c>
      <c r="B14" s="86" t="s">
        <v>344</v>
      </c>
      <c r="C14" s="78">
        <v>-14279000</v>
      </c>
      <c r="D14" s="78"/>
      <c r="E14" s="78">
        <f t="shared" si="1"/>
        <v>-14279000</v>
      </c>
      <c r="F14" s="87">
        <v>-15529000</v>
      </c>
      <c r="G14" s="87"/>
      <c r="H14" s="78">
        <f t="shared" si="0"/>
        <v>-15529000</v>
      </c>
    </row>
    <row r="15" spans="1:8" ht="63.75" thickBot="1" x14ac:dyDescent="0.25">
      <c r="A15" s="84" t="s">
        <v>345</v>
      </c>
      <c r="B15" s="85" t="s">
        <v>318</v>
      </c>
      <c r="C15" s="76">
        <f>C16</f>
        <v>-1250000</v>
      </c>
      <c r="D15" s="76">
        <f>D16</f>
        <v>0</v>
      </c>
      <c r="E15" s="76">
        <f t="shared" si="1"/>
        <v>-1250000</v>
      </c>
      <c r="F15" s="76">
        <f>F16</f>
        <v>0</v>
      </c>
      <c r="G15" s="76">
        <f>G16</f>
        <v>0</v>
      </c>
      <c r="H15" s="76">
        <f t="shared" si="0"/>
        <v>0</v>
      </c>
    </row>
    <row r="16" spans="1:8" ht="95.25" thickBot="1" x14ac:dyDescent="0.25">
      <c r="A16" s="84" t="s">
        <v>323</v>
      </c>
      <c r="B16" s="86" t="s">
        <v>324</v>
      </c>
      <c r="C16" s="78">
        <f>C17</f>
        <v>-1250000</v>
      </c>
      <c r="D16" s="78">
        <f>D17</f>
        <v>0</v>
      </c>
      <c r="E16" s="78">
        <f t="shared" si="1"/>
        <v>-1250000</v>
      </c>
      <c r="F16" s="87">
        <f>F17</f>
        <v>0</v>
      </c>
      <c r="G16" s="87">
        <f>G17</f>
        <v>0</v>
      </c>
      <c r="H16" s="78">
        <f t="shared" si="0"/>
        <v>0</v>
      </c>
    </row>
    <row r="17" spans="1:8" ht="111" thickBot="1" x14ac:dyDescent="0.25">
      <c r="A17" s="84" t="s">
        <v>325</v>
      </c>
      <c r="B17" s="86" t="s">
        <v>346</v>
      </c>
      <c r="C17" s="78">
        <v>-1250000</v>
      </c>
      <c r="D17" s="78"/>
      <c r="E17" s="78">
        <f t="shared" si="1"/>
        <v>-1250000</v>
      </c>
      <c r="F17" s="87"/>
      <c r="G17" s="87"/>
      <c r="H17" s="78">
        <f t="shared" si="0"/>
        <v>0</v>
      </c>
    </row>
    <row r="18" spans="1:8" ht="48" thickBot="1" x14ac:dyDescent="0.25">
      <c r="A18" s="84" t="s">
        <v>347</v>
      </c>
      <c r="B18" s="85" t="s">
        <v>328</v>
      </c>
      <c r="C18" s="76">
        <f ca="1">C19+C20</f>
        <v>0</v>
      </c>
      <c r="D18" s="76">
        <f ca="1">D19+D20</f>
        <v>0</v>
      </c>
      <c r="E18" s="76">
        <f t="shared" ca="1" si="1"/>
        <v>0</v>
      </c>
      <c r="F18" s="76">
        <f ca="1">F19+F20</f>
        <v>0</v>
      </c>
      <c r="G18" s="76">
        <f ca="1">G19+G20</f>
        <v>0</v>
      </c>
      <c r="H18" s="76">
        <f t="shared" ca="1" si="0"/>
        <v>0</v>
      </c>
    </row>
    <row r="19" spans="1:8" ht="48" thickBot="1" x14ac:dyDescent="0.25">
      <c r="A19" s="84" t="s">
        <v>329</v>
      </c>
      <c r="B19" s="86" t="s">
        <v>348</v>
      </c>
      <c r="C19" s="78">
        <f>-Пр2!J97-C12-C23</f>
        <v>-1567108336</v>
      </c>
      <c r="D19" s="78">
        <f>-Пр2!K97-D12-D23</f>
        <v>0</v>
      </c>
      <c r="E19" s="78">
        <f t="shared" si="1"/>
        <v>-1567108336</v>
      </c>
      <c r="F19" s="78">
        <f>-Пр2!M97-F12-F23</f>
        <v>-1360774013</v>
      </c>
      <c r="G19" s="78">
        <f>-Пр2!N97-G12-G23</f>
        <v>0</v>
      </c>
      <c r="H19" s="78">
        <f t="shared" si="0"/>
        <v>-1360774013</v>
      </c>
    </row>
    <row r="20" spans="1:8" ht="51" customHeight="1" thickBot="1" x14ac:dyDescent="0.25">
      <c r="A20" s="84" t="s">
        <v>331</v>
      </c>
      <c r="B20" s="71" t="s">
        <v>349</v>
      </c>
      <c r="C20" s="78">
        <f ca="1">Пр4!C121+Пр4!C122-C14-C17</f>
        <v>1567108336</v>
      </c>
      <c r="D20" s="78">
        <f ca="1">Пр4!D121+Пр4!D122-D14-D17</f>
        <v>0</v>
      </c>
      <c r="E20" s="78">
        <f t="shared" ca="1" si="1"/>
        <v>1567108336</v>
      </c>
      <c r="F20" s="78">
        <f ca="1">Пр4!F121+Пр4!F122-F14-F17</f>
        <v>1360774013</v>
      </c>
      <c r="G20" s="78">
        <f ca="1">Пр4!G121+Пр4!G122-G14-G17</f>
        <v>0</v>
      </c>
      <c r="H20" s="78">
        <f t="shared" ca="1" si="0"/>
        <v>1360774013</v>
      </c>
    </row>
    <row r="21" spans="1:8" ht="63.75" hidden="1" thickBot="1" x14ac:dyDescent="0.25">
      <c r="A21" s="84" t="s">
        <v>350</v>
      </c>
      <c r="B21" s="85" t="s">
        <v>334</v>
      </c>
      <c r="C21" s="76">
        <f>C22</f>
        <v>0</v>
      </c>
      <c r="D21" s="76">
        <f>D22</f>
        <v>0</v>
      </c>
      <c r="E21" s="78">
        <f t="shared" si="1"/>
        <v>0</v>
      </c>
      <c r="F21" s="88">
        <f>F22</f>
        <v>0</v>
      </c>
      <c r="G21" s="88">
        <f>G22</f>
        <v>0</v>
      </c>
      <c r="H21" s="78">
        <f t="shared" si="0"/>
        <v>0</v>
      </c>
    </row>
    <row r="22" spans="1:8" ht="79.5" hidden="1" thickBot="1" x14ac:dyDescent="0.25">
      <c r="A22" s="84" t="s">
        <v>335</v>
      </c>
      <c r="B22" s="86" t="s">
        <v>336</v>
      </c>
      <c r="C22" s="78">
        <f>C23</f>
        <v>0</v>
      </c>
      <c r="D22" s="78">
        <f>D23</f>
        <v>0</v>
      </c>
      <c r="E22" s="78">
        <f t="shared" si="1"/>
        <v>0</v>
      </c>
      <c r="F22" s="78">
        <f>F23</f>
        <v>0</v>
      </c>
      <c r="G22" s="78">
        <f>G23</f>
        <v>0</v>
      </c>
      <c r="H22" s="78">
        <f t="shared" si="0"/>
        <v>0</v>
      </c>
    </row>
    <row r="23" spans="1:8" ht="95.25" hidden="1" thickBot="1" x14ac:dyDescent="0.25">
      <c r="A23" s="84" t="s">
        <v>337</v>
      </c>
      <c r="B23" s="86" t="s">
        <v>338</v>
      </c>
      <c r="C23" s="78"/>
      <c r="D23" s="78"/>
      <c r="E23" s="78">
        <f t="shared" si="1"/>
        <v>0</v>
      </c>
      <c r="F23" s="87"/>
      <c r="G23" s="87"/>
      <c r="H23" s="78">
        <f t="shared" si="0"/>
        <v>0</v>
      </c>
    </row>
    <row r="24" spans="1:8" ht="16.5" thickBot="1" x14ac:dyDescent="0.25">
      <c r="A24" s="881" t="s">
        <v>339</v>
      </c>
      <c r="B24" s="881"/>
      <c r="C24" s="80">
        <f ca="1">C21+C18+C15+C10</f>
        <v>0</v>
      </c>
      <c r="D24" s="80">
        <f ca="1">D21+D18+D15+D10</f>
        <v>0</v>
      </c>
      <c r="E24" s="78">
        <f t="shared" ca="1" si="1"/>
        <v>0</v>
      </c>
      <c r="F24" s="76">
        <f ca="1">F10+F15+F18+F21</f>
        <v>0</v>
      </c>
      <c r="G24" s="76">
        <f ca="1">G10+G15+G18+G21</f>
        <v>0</v>
      </c>
      <c r="H24" s="76">
        <f t="shared" ca="1" si="0"/>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57" fitToHeight="2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view="pageBreakPreview" zoomScaleSheetLayoutView="100" workbookViewId="0">
      <selection activeCell="A2" sqref="A2:E2"/>
    </sheetView>
  </sheetViews>
  <sheetFormatPr defaultRowHeight="12.75" x14ac:dyDescent="0.2"/>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x14ac:dyDescent="0.25">
      <c r="A1" s="868" t="s">
        <v>304</v>
      </c>
      <c r="B1" s="868"/>
      <c r="C1" s="868"/>
      <c r="D1" s="884"/>
      <c r="E1" s="884"/>
    </row>
    <row r="2" spans="1:5" ht="16.5" customHeight="1" x14ac:dyDescent="0.25">
      <c r="A2" s="868" t="s">
        <v>1</v>
      </c>
      <c r="B2" s="868"/>
      <c r="C2" s="868"/>
      <c r="D2" s="884"/>
      <c r="E2" s="884"/>
    </row>
    <row r="3" spans="1:5" ht="16.5" customHeight="1" x14ac:dyDescent="0.25">
      <c r="A3" s="868" t="s">
        <v>2</v>
      </c>
      <c r="B3" s="868"/>
      <c r="C3" s="868"/>
      <c r="D3" s="884"/>
      <c r="E3" s="884"/>
    </row>
    <row r="4" spans="1:5" ht="16.5" customHeight="1" x14ac:dyDescent="0.25">
      <c r="A4" s="868" t="s">
        <v>3478</v>
      </c>
      <c r="B4" s="868"/>
      <c r="C4" s="868"/>
      <c r="D4" s="868"/>
      <c r="E4" s="868"/>
    </row>
    <row r="5" spans="1:5" ht="15.75" customHeight="1" x14ac:dyDescent="0.25">
      <c r="A5" s="868"/>
      <c r="B5" s="884"/>
      <c r="C5" s="884"/>
      <c r="D5" s="884"/>
      <c r="E5" s="884"/>
    </row>
    <row r="6" spans="1:5" ht="15.75" hidden="1" x14ac:dyDescent="0.25">
      <c r="A6" s="885"/>
      <c r="B6" s="886"/>
      <c r="C6" s="886"/>
      <c r="D6" s="886"/>
      <c r="E6" s="886"/>
    </row>
    <row r="7" spans="1:5" ht="30" customHeight="1" x14ac:dyDescent="0.2">
      <c r="A7" s="887" t="s">
        <v>3134</v>
      </c>
      <c r="B7" s="888"/>
      <c r="C7" s="888"/>
      <c r="D7" s="888"/>
      <c r="E7" s="888"/>
    </row>
    <row r="8" spans="1:5" ht="15.75" x14ac:dyDescent="0.25">
      <c r="A8" s="5"/>
      <c r="B8" s="1"/>
      <c r="C8" s="1"/>
      <c r="D8" s="1"/>
      <c r="E8" s="1"/>
    </row>
    <row r="9" spans="1:5" ht="15.75" hidden="1" x14ac:dyDescent="0.25">
      <c r="A9" s="889"/>
      <c r="B9" s="886"/>
      <c r="C9" s="886"/>
      <c r="D9" s="886"/>
      <c r="E9" s="886"/>
    </row>
    <row r="10" spans="1:5" ht="33.75" customHeight="1" x14ac:dyDescent="0.2">
      <c r="A10" s="890" t="s">
        <v>3135</v>
      </c>
      <c r="B10" s="888"/>
      <c r="C10" s="888"/>
      <c r="D10" s="888"/>
      <c r="E10" s="888"/>
    </row>
    <row r="11" spans="1:5" ht="15.75" x14ac:dyDescent="0.25">
      <c r="A11" s="891" t="s">
        <v>352</v>
      </c>
      <c r="B11" s="892"/>
      <c r="C11" s="892"/>
      <c r="D11" s="892"/>
      <c r="E11" s="892"/>
    </row>
    <row r="12" spans="1:5" ht="33" customHeight="1" x14ac:dyDescent="0.25">
      <c r="A12" s="89" t="s">
        <v>353</v>
      </c>
      <c r="B12" s="893" t="s">
        <v>2812</v>
      </c>
      <c r="C12" s="894"/>
      <c r="D12" s="894"/>
      <c r="E12" s="895"/>
    </row>
    <row r="13" spans="1:5" ht="15.75" x14ac:dyDescent="0.25">
      <c r="A13" s="91">
        <v>1</v>
      </c>
      <c r="B13" s="893">
        <v>2</v>
      </c>
      <c r="C13" s="896"/>
      <c r="D13" s="896"/>
      <c r="E13" s="897"/>
    </row>
    <row r="14" spans="1:5" ht="31.5" x14ac:dyDescent="0.25">
      <c r="A14" s="92" t="s">
        <v>354</v>
      </c>
      <c r="B14" s="898">
        <f>B15-B16</f>
        <v>14279000</v>
      </c>
      <c r="C14" s="899"/>
      <c r="D14" s="899"/>
      <c r="E14" s="900"/>
    </row>
    <row r="15" spans="1:5" ht="20.25" customHeight="1" x14ac:dyDescent="0.25">
      <c r="A15" s="93" t="s">
        <v>355</v>
      </c>
      <c r="B15" s="901">
        <f>Пр5!C12</f>
        <v>14279000</v>
      </c>
      <c r="C15" s="899"/>
      <c r="D15" s="899"/>
      <c r="E15" s="900"/>
    </row>
    <row r="16" spans="1:5" ht="18.75" customHeight="1" x14ac:dyDescent="0.25">
      <c r="A16" s="93" t="s">
        <v>356</v>
      </c>
      <c r="B16" s="902"/>
      <c r="C16" s="899"/>
      <c r="D16" s="899"/>
      <c r="E16" s="900"/>
    </row>
    <row r="17" spans="1:5" ht="15.75" x14ac:dyDescent="0.25">
      <c r="A17" s="92" t="s">
        <v>357</v>
      </c>
      <c r="B17" s="903">
        <f>B18-B19</f>
        <v>-14279000</v>
      </c>
      <c r="C17" s="899"/>
      <c r="D17" s="899"/>
      <c r="E17" s="900"/>
    </row>
    <row r="18" spans="1:5" ht="18" customHeight="1" x14ac:dyDescent="0.25">
      <c r="A18" s="94" t="s">
        <v>358</v>
      </c>
      <c r="B18" s="902"/>
      <c r="C18" s="899"/>
      <c r="D18" s="899"/>
      <c r="E18" s="900"/>
    </row>
    <row r="19" spans="1:5" ht="15.75" x14ac:dyDescent="0.25">
      <c r="A19" s="94" t="s">
        <v>356</v>
      </c>
      <c r="B19" s="902">
        <f>Пр5!C18</f>
        <v>14279000</v>
      </c>
      <c r="C19" s="899"/>
      <c r="D19" s="899"/>
      <c r="E19" s="900"/>
    </row>
    <row r="20" spans="1:5" ht="15.75" x14ac:dyDescent="0.25">
      <c r="A20" s="95" t="s">
        <v>359</v>
      </c>
      <c r="B20" s="903">
        <f>B21-B22</f>
        <v>0</v>
      </c>
      <c r="C20" s="899"/>
      <c r="D20" s="899"/>
      <c r="E20" s="900"/>
    </row>
    <row r="21" spans="1:5" ht="15.75" x14ac:dyDescent="0.25">
      <c r="A21" s="96" t="s">
        <v>360</v>
      </c>
      <c r="B21" s="901">
        <f>B15+B18</f>
        <v>14279000</v>
      </c>
      <c r="C21" s="899"/>
      <c r="D21" s="899"/>
      <c r="E21" s="900"/>
    </row>
    <row r="22" spans="1:5" ht="15.75" x14ac:dyDescent="0.25">
      <c r="A22" s="96" t="s">
        <v>361</v>
      </c>
      <c r="B22" s="902">
        <f>B16+B19</f>
        <v>14279000</v>
      </c>
      <c r="C22" s="899"/>
      <c r="D22" s="899"/>
      <c r="E22" s="900"/>
    </row>
    <row r="23" spans="1:5" ht="63" x14ac:dyDescent="0.25">
      <c r="A23" s="97" t="s">
        <v>362</v>
      </c>
      <c r="B23" s="903">
        <f>B20</f>
        <v>0</v>
      </c>
      <c r="C23" s="899"/>
      <c r="D23" s="899"/>
      <c r="E23" s="900"/>
    </row>
    <row r="24" spans="1:5" ht="29.25" customHeight="1" x14ac:dyDescent="0.25">
      <c r="A24" s="889" t="s">
        <v>3136</v>
      </c>
      <c r="B24" s="886"/>
      <c r="C24" s="886"/>
      <c r="D24" s="886"/>
      <c r="E24" s="886"/>
    </row>
    <row r="25" spans="1:5" ht="15.75" x14ac:dyDescent="0.25">
      <c r="A25" s="868" t="s">
        <v>363</v>
      </c>
      <c r="B25" s="884"/>
      <c r="C25" s="884"/>
      <c r="D25" s="884"/>
      <c r="E25" s="884"/>
    </row>
    <row r="26" spans="1:5" ht="15.75" x14ac:dyDescent="0.25">
      <c r="A26" s="98" t="s">
        <v>364</v>
      </c>
      <c r="B26" s="904" t="s">
        <v>2925</v>
      </c>
      <c r="C26" s="896"/>
      <c r="D26" s="896"/>
      <c r="E26" s="897"/>
    </row>
    <row r="27" spans="1:5" ht="15.75" x14ac:dyDescent="0.25">
      <c r="A27" s="99">
        <v>1</v>
      </c>
      <c r="B27" s="893">
        <v>2</v>
      </c>
      <c r="C27" s="905"/>
      <c r="D27" s="905"/>
      <c r="E27" s="906"/>
    </row>
    <row r="28" spans="1:5" ht="31.5" x14ac:dyDescent="0.2">
      <c r="A28" s="100" t="s">
        <v>365</v>
      </c>
      <c r="B28" s="907">
        <f>B43+B21-B22</f>
        <v>15529000</v>
      </c>
      <c r="C28" s="908"/>
      <c r="D28" s="908"/>
      <c r="E28" s="909"/>
    </row>
    <row r="29" spans="1:5" ht="51.75" customHeight="1" x14ac:dyDescent="0.2">
      <c r="A29" s="101" t="s">
        <v>366</v>
      </c>
      <c r="B29" s="910">
        <v>0</v>
      </c>
      <c r="C29" s="911"/>
      <c r="D29" s="911"/>
      <c r="E29" s="912"/>
    </row>
    <row r="30" spans="1:5" ht="18.75" customHeight="1" x14ac:dyDescent="0.2">
      <c r="A30" s="102"/>
      <c r="B30" s="913" t="s">
        <v>3137</v>
      </c>
      <c r="C30" s="914"/>
      <c r="D30" s="914"/>
      <c r="E30" s="915"/>
    </row>
    <row r="31" spans="1:5" ht="31.5" x14ac:dyDescent="0.2">
      <c r="A31" s="103" t="s">
        <v>367</v>
      </c>
      <c r="B31" s="916">
        <v>73900000</v>
      </c>
      <c r="C31" s="917"/>
      <c r="D31" s="917"/>
      <c r="E31" s="917"/>
    </row>
    <row r="32" spans="1:5" ht="47.25" x14ac:dyDescent="0.2">
      <c r="A32" s="103" t="s">
        <v>368</v>
      </c>
      <c r="B32" s="918">
        <f>2000000-438187-635744</f>
        <v>926069</v>
      </c>
      <c r="C32" s="919"/>
      <c r="D32" s="919"/>
      <c r="E32" s="919"/>
    </row>
    <row r="33" spans="1:5" ht="47.25" x14ac:dyDescent="0.2">
      <c r="A33" s="103" t="s">
        <v>369</v>
      </c>
      <c r="B33" s="918">
        <f>B21</f>
        <v>14279000</v>
      </c>
      <c r="C33" s="919"/>
      <c r="D33" s="919"/>
      <c r="E33" s="919"/>
    </row>
    <row r="34" spans="1:5" ht="59.25" customHeight="1" x14ac:dyDescent="0.2">
      <c r="A34" s="100" t="s">
        <v>370</v>
      </c>
      <c r="B34" s="907">
        <v>0</v>
      </c>
      <c r="C34" s="908"/>
      <c r="D34" s="908"/>
      <c r="E34" s="909"/>
    </row>
    <row r="35" spans="1:5" ht="69" customHeight="1" x14ac:dyDescent="0.2">
      <c r="A35" s="920" t="s">
        <v>3138</v>
      </c>
      <c r="B35" s="920"/>
      <c r="C35" s="920"/>
      <c r="D35" s="920"/>
      <c r="E35" s="920"/>
    </row>
    <row r="36" spans="1:5" ht="42.75" customHeight="1" x14ac:dyDescent="0.25">
      <c r="A36" s="921" t="s">
        <v>371</v>
      </c>
      <c r="B36" s="921"/>
      <c r="C36" s="921"/>
      <c r="D36" s="921"/>
      <c r="E36" s="921"/>
    </row>
    <row r="37" spans="1:5" ht="15.75" x14ac:dyDescent="0.25">
      <c r="A37" s="924" t="s">
        <v>372</v>
      </c>
      <c r="B37" s="893" t="s">
        <v>373</v>
      </c>
      <c r="C37" s="894"/>
      <c r="D37" s="894"/>
      <c r="E37" s="895"/>
    </row>
    <row r="38" spans="1:5" ht="12.75" customHeight="1" x14ac:dyDescent="0.25">
      <c r="A38" s="925"/>
      <c r="B38" s="927" t="s">
        <v>3370</v>
      </c>
      <c r="C38" s="928"/>
      <c r="D38" s="927" t="s">
        <v>2925</v>
      </c>
      <c r="E38" s="928"/>
    </row>
    <row r="39" spans="1:5" ht="15.75" x14ac:dyDescent="0.25">
      <c r="A39" s="925"/>
      <c r="B39" s="929"/>
      <c r="C39" s="930"/>
      <c r="D39" s="929" t="s">
        <v>374</v>
      </c>
      <c r="E39" s="930"/>
    </row>
    <row r="40" spans="1:5" ht="15.75" x14ac:dyDescent="0.25">
      <c r="A40" s="926"/>
      <c r="B40" s="104" t="s">
        <v>375</v>
      </c>
      <c r="C40" s="90" t="s">
        <v>376</v>
      </c>
      <c r="D40" s="104" t="s">
        <v>375</v>
      </c>
      <c r="E40" s="104" t="s">
        <v>376</v>
      </c>
    </row>
    <row r="41" spans="1:5" ht="15.75" x14ac:dyDescent="0.25">
      <c r="A41" s="91">
        <v>1</v>
      </c>
      <c r="B41" s="104">
        <v>2</v>
      </c>
      <c r="C41" s="104">
        <v>3</v>
      </c>
      <c r="D41" s="104">
        <v>4</v>
      </c>
      <c r="E41" s="104">
        <v>5</v>
      </c>
    </row>
    <row r="42" spans="1:5" ht="31.5" x14ac:dyDescent="0.25">
      <c r="A42" s="105" t="s">
        <v>377</v>
      </c>
      <c r="B42" s="106"/>
      <c r="C42" s="107">
        <f>B42/B$45</f>
        <v>0</v>
      </c>
      <c r="D42" s="108">
        <f>B14</f>
        <v>14279000</v>
      </c>
      <c r="E42" s="107">
        <f>D42/D$45</f>
        <v>0.91950544143215918</v>
      </c>
    </row>
    <row r="43" spans="1:5" ht="15.75" x14ac:dyDescent="0.25">
      <c r="A43" s="105" t="s">
        <v>378</v>
      </c>
      <c r="B43" s="106">
        <v>15529000</v>
      </c>
      <c r="C43" s="107">
        <f>B43/B$45</f>
        <v>1</v>
      </c>
      <c r="D43" s="106">
        <f>B43-B19</f>
        <v>1250000</v>
      </c>
      <c r="E43" s="107">
        <f>D43/D$45</f>
        <v>8.049455856784081E-2</v>
      </c>
    </row>
    <row r="44" spans="1:5" ht="31.5" x14ac:dyDescent="0.25">
      <c r="A44" s="105" t="s">
        <v>379</v>
      </c>
      <c r="B44" s="106">
        <v>0</v>
      </c>
      <c r="C44" s="107">
        <f>B44/B$45</f>
        <v>0</v>
      </c>
      <c r="D44" s="106">
        <v>0</v>
      </c>
      <c r="E44" s="107">
        <f>D44/D$45</f>
        <v>0</v>
      </c>
    </row>
    <row r="45" spans="1:5" ht="31.5" x14ac:dyDescent="0.25">
      <c r="A45" s="105" t="s">
        <v>380</v>
      </c>
      <c r="B45" s="108">
        <f>B42+B43+B44</f>
        <v>15529000</v>
      </c>
      <c r="C45" s="107">
        <f>B45/B$45</f>
        <v>1</v>
      </c>
      <c r="D45" s="108">
        <f>D42+D43+D44</f>
        <v>15529000</v>
      </c>
      <c r="E45" s="107">
        <f>D45/D$45</f>
        <v>1</v>
      </c>
    </row>
    <row r="46" spans="1:5" ht="30" customHeight="1" x14ac:dyDescent="0.25">
      <c r="A46" s="922"/>
      <c r="B46" s="923"/>
      <c r="C46" s="923"/>
      <c r="D46" s="923"/>
      <c r="E46" s="923"/>
    </row>
    <row r="47" spans="1:5" x14ac:dyDescent="0.2">
      <c r="A47" s="109"/>
    </row>
    <row r="48" spans="1:5" ht="15.75" x14ac:dyDescent="0.25">
      <c r="A48" s="5"/>
    </row>
  </sheetData>
  <mergeCells count="41">
    <mergeCell ref="A46:E46"/>
    <mergeCell ref="A37:A40"/>
    <mergeCell ref="B37:E37"/>
    <mergeCell ref="D38:E38"/>
    <mergeCell ref="B38:C39"/>
    <mergeCell ref="D39:E39"/>
    <mergeCell ref="B32:E32"/>
    <mergeCell ref="B33:E33"/>
    <mergeCell ref="B34:E34"/>
    <mergeCell ref="A35:E35"/>
    <mergeCell ref="A36:E36"/>
    <mergeCell ref="B27:E27"/>
    <mergeCell ref="B28:E28"/>
    <mergeCell ref="B29:E29"/>
    <mergeCell ref="B30:E30"/>
    <mergeCell ref="B31:E31"/>
    <mergeCell ref="B22:E22"/>
    <mergeCell ref="B23:E23"/>
    <mergeCell ref="A24:E24"/>
    <mergeCell ref="A25:E25"/>
    <mergeCell ref="B26:E26"/>
    <mergeCell ref="B17:E17"/>
    <mergeCell ref="B18:E18"/>
    <mergeCell ref="B19:E19"/>
    <mergeCell ref="B20:E20"/>
    <mergeCell ref="B21:E21"/>
    <mergeCell ref="B12:E12"/>
    <mergeCell ref="B13:E13"/>
    <mergeCell ref="B14:E14"/>
    <mergeCell ref="B15:E15"/>
    <mergeCell ref="B16:E16"/>
    <mergeCell ref="A6:E6"/>
    <mergeCell ref="A7:E7"/>
    <mergeCell ref="A9:E9"/>
    <mergeCell ref="A10:E10"/>
    <mergeCell ref="A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2.75" x14ac:dyDescent="0.2"/>
  <cols>
    <col min="1" max="1" width="5.140625" bestFit="1" customWidth="1"/>
    <col min="2" max="2" width="24.42578125" customWidth="1"/>
    <col min="3" max="3" width="59.140625" customWidth="1"/>
    <col min="8" max="8" width="43.42578125" customWidth="1"/>
  </cols>
  <sheetData>
    <row r="1" spans="1:3" ht="15.75" x14ac:dyDescent="0.25">
      <c r="A1" s="868" t="s">
        <v>381</v>
      </c>
      <c r="B1" s="868"/>
      <c r="C1" s="868"/>
    </row>
    <row r="2" spans="1:3" ht="15.75" x14ac:dyDescent="0.25">
      <c r="A2" s="868" t="s">
        <v>1</v>
      </c>
      <c r="B2" s="868"/>
      <c r="C2" s="868"/>
    </row>
    <row r="3" spans="1:3" ht="15.75" x14ac:dyDescent="0.25">
      <c r="A3" s="868" t="s">
        <v>2</v>
      </c>
      <c r="B3" s="868"/>
      <c r="C3" s="868"/>
    </row>
    <row r="4" spans="1:3" ht="15.75" x14ac:dyDescent="0.25">
      <c r="A4" s="868" t="s">
        <v>382</v>
      </c>
      <c r="B4" s="868"/>
      <c r="C4" s="868"/>
    </row>
    <row r="5" spans="1:3" ht="15.75" x14ac:dyDescent="0.25">
      <c r="A5" s="35"/>
      <c r="B5" s="1"/>
      <c r="C5" s="1"/>
    </row>
    <row r="6" spans="1:3" ht="18" customHeight="1" x14ac:dyDescent="0.25">
      <c r="A6" s="879" t="s">
        <v>383</v>
      </c>
      <c r="B6" s="879"/>
      <c r="C6" s="879"/>
    </row>
    <row r="7" spans="1:3" ht="15.75" x14ac:dyDescent="0.25">
      <c r="A7" s="5"/>
    </row>
    <row r="8" spans="1:3" ht="15.75" x14ac:dyDescent="0.2">
      <c r="A8" s="940" t="s">
        <v>384</v>
      </c>
      <c r="B8" s="940"/>
      <c r="C8" s="940"/>
    </row>
    <row r="9" spans="1:3" ht="31.5" x14ac:dyDescent="0.2">
      <c r="A9" s="19">
        <v>950</v>
      </c>
      <c r="B9" s="19" t="s">
        <v>385</v>
      </c>
      <c r="C9" s="19" t="s">
        <v>386</v>
      </c>
    </row>
    <row r="10" spans="1:3" ht="47.25" x14ac:dyDescent="0.2">
      <c r="A10" s="19">
        <v>950</v>
      </c>
      <c r="B10" s="110" t="s">
        <v>387</v>
      </c>
      <c r="C10" s="19" t="s">
        <v>65</v>
      </c>
    </row>
    <row r="11" spans="1:3" ht="31.5" x14ac:dyDescent="0.2">
      <c r="A11" s="19">
        <v>950</v>
      </c>
      <c r="B11" s="110" t="s">
        <v>388</v>
      </c>
      <c r="C11" s="19" t="s">
        <v>389</v>
      </c>
    </row>
    <row r="12" spans="1:3" ht="78.75" x14ac:dyDescent="0.2">
      <c r="A12" s="111">
        <v>950</v>
      </c>
      <c r="B12" s="19" t="s">
        <v>390</v>
      </c>
      <c r="C12" s="19" t="s">
        <v>391</v>
      </c>
    </row>
    <row r="13" spans="1:3" ht="63" x14ac:dyDescent="0.2">
      <c r="A13" s="111">
        <v>950</v>
      </c>
      <c r="B13" s="19" t="s">
        <v>392</v>
      </c>
      <c r="C13" s="19" t="s">
        <v>393</v>
      </c>
    </row>
    <row r="14" spans="1:3" ht="47.25" x14ac:dyDescent="0.2">
      <c r="A14" s="111">
        <v>950</v>
      </c>
      <c r="B14" s="19" t="s">
        <v>394</v>
      </c>
      <c r="C14" s="19" t="s">
        <v>395</v>
      </c>
    </row>
    <row r="15" spans="1:3" ht="31.5" x14ac:dyDescent="0.2">
      <c r="A15" s="111">
        <v>950</v>
      </c>
      <c r="B15" s="110" t="s">
        <v>396</v>
      </c>
      <c r="C15" s="19" t="s">
        <v>397</v>
      </c>
    </row>
    <row r="16" spans="1:3" ht="31.5" x14ac:dyDescent="0.2">
      <c r="A16" s="111">
        <v>950</v>
      </c>
      <c r="B16" s="19" t="s">
        <v>398</v>
      </c>
      <c r="C16" s="19" t="s">
        <v>399</v>
      </c>
    </row>
    <row r="17" spans="1:3" ht="47.25" x14ac:dyDescent="0.2">
      <c r="A17" s="111">
        <v>950</v>
      </c>
      <c r="B17" s="19" t="s">
        <v>400</v>
      </c>
      <c r="C17" s="19" t="s">
        <v>401</v>
      </c>
    </row>
    <row r="18" spans="1:3" ht="31.5" x14ac:dyDescent="0.2">
      <c r="A18" s="111">
        <v>950</v>
      </c>
      <c r="B18" s="19" t="s">
        <v>402</v>
      </c>
      <c r="C18" s="19" t="s">
        <v>403</v>
      </c>
    </row>
    <row r="19" spans="1:3" ht="63" x14ac:dyDescent="0.2">
      <c r="A19" s="111">
        <v>950</v>
      </c>
      <c r="B19" s="19" t="s">
        <v>404</v>
      </c>
      <c r="C19" s="19" t="s">
        <v>405</v>
      </c>
    </row>
    <row r="20" spans="1:3" ht="63" x14ac:dyDescent="0.2">
      <c r="A20" s="19">
        <v>950</v>
      </c>
      <c r="B20" s="19" t="s">
        <v>406</v>
      </c>
      <c r="C20" s="19" t="s">
        <v>407</v>
      </c>
    </row>
    <row r="21" spans="1:3" ht="47.25" x14ac:dyDescent="0.2">
      <c r="A21" s="111">
        <v>950</v>
      </c>
      <c r="B21" s="19" t="s">
        <v>408</v>
      </c>
      <c r="C21" s="31" t="s">
        <v>409</v>
      </c>
    </row>
    <row r="22" spans="1:3" ht="63" x14ac:dyDescent="0.2">
      <c r="A22" s="111">
        <v>950</v>
      </c>
      <c r="B22" s="19" t="s">
        <v>410</v>
      </c>
      <c r="C22" s="31" t="s">
        <v>411</v>
      </c>
    </row>
    <row r="23" spans="1:3" ht="110.25" x14ac:dyDescent="0.2">
      <c r="A23" s="111">
        <v>950</v>
      </c>
      <c r="B23" s="19" t="s">
        <v>412</v>
      </c>
      <c r="C23" s="19" t="s">
        <v>413</v>
      </c>
    </row>
    <row r="24" spans="1:3" ht="78.75" x14ac:dyDescent="0.2">
      <c r="A24" s="111">
        <v>950</v>
      </c>
      <c r="B24" s="19" t="s">
        <v>414</v>
      </c>
      <c r="C24" s="19" t="s">
        <v>415</v>
      </c>
    </row>
    <row r="25" spans="1:3" ht="15.75" x14ac:dyDescent="0.2">
      <c r="A25" s="111">
        <v>950</v>
      </c>
      <c r="B25" s="19" t="s">
        <v>416</v>
      </c>
      <c r="C25" s="31" t="s">
        <v>417</v>
      </c>
    </row>
    <row r="26" spans="1:3" ht="55.5" customHeight="1" x14ac:dyDescent="0.2">
      <c r="A26" s="111">
        <v>950</v>
      </c>
      <c r="B26" s="19" t="s">
        <v>418</v>
      </c>
      <c r="C26" s="19" t="s">
        <v>419</v>
      </c>
    </row>
    <row r="27" spans="1:3" ht="63" x14ac:dyDescent="0.2">
      <c r="A27" s="111">
        <v>950</v>
      </c>
      <c r="B27" s="19" t="s">
        <v>420</v>
      </c>
      <c r="C27" s="19" t="s">
        <v>421</v>
      </c>
    </row>
    <row r="28" spans="1:3" ht="47.25" x14ac:dyDescent="0.2">
      <c r="A28" s="111">
        <v>950</v>
      </c>
      <c r="B28" s="19" t="s">
        <v>422</v>
      </c>
      <c r="C28" s="19" t="s">
        <v>423</v>
      </c>
    </row>
    <row r="29" spans="1:3" ht="78.75" x14ac:dyDescent="0.2">
      <c r="A29" s="110">
        <v>950</v>
      </c>
      <c r="B29" s="110" t="s">
        <v>424</v>
      </c>
      <c r="C29" s="19" t="s">
        <v>425</v>
      </c>
    </row>
    <row r="30" spans="1:3" ht="31.5" x14ac:dyDescent="0.2">
      <c r="A30" s="110">
        <v>950</v>
      </c>
      <c r="B30" s="110" t="s">
        <v>426</v>
      </c>
      <c r="C30" s="19" t="s">
        <v>427</v>
      </c>
    </row>
    <row r="31" spans="1:3" ht="35.25" customHeight="1" x14ac:dyDescent="0.2">
      <c r="A31" s="940" t="s">
        <v>428</v>
      </c>
      <c r="B31" s="940"/>
      <c r="C31" s="940"/>
    </row>
    <row r="32" spans="1:3" ht="63" x14ac:dyDescent="0.2">
      <c r="A32" s="19">
        <v>952</v>
      </c>
      <c r="B32" s="19" t="s">
        <v>429</v>
      </c>
      <c r="C32" s="19" t="s">
        <v>430</v>
      </c>
    </row>
    <row r="33" spans="1:3" ht="94.5" x14ac:dyDescent="0.2">
      <c r="A33" s="19">
        <v>952</v>
      </c>
      <c r="B33" s="19" t="s">
        <v>431</v>
      </c>
      <c r="C33" s="19" t="s">
        <v>432</v>
      </c>
    </row>
    <row r="34" spans="1:3" ht="94.5" x14ac:dyDescent="0.2">
      <c r="A34" s="19">
        <v>952</v>
      </c>
      <c r="B34" s="19" t="s">
        <v>433</v>
      </c>
      <c r="C34" s="19" t="s">
        <v>434</v>
      </c>
    </row>
    <row r="35" spans="1:3" ht="78.75" x14ac:dyDescent="0.2">
      <c r="A35" s="19">
        <v>952</v>
      </c>
      <c r="B35" s="19" t="s">
        <v>435</v>
      </c>
      <c r="C35" s="19" t="s">
        <v>436</v>
      </c>
    </row>
    <row r="36" spans="1:3" ht="47.25" x14ac:dyDescent="0.2">
      <c r="A36" s="19">
        <v>952</v>
      </c>
      <c r="B36" s="19" t="s">
        <v>437</v>
      </c>
      <c r="C36" s="19" t="s">
        <v>438</v>
      </c>
    </row>
    <row r="37" spans="1:3" ht="63" x14ac:dyDescent="0.2">
      <c r="A37" s="19">
        <v>952</v>
      </c>
      <c r="B37" s="19" t="s">
        <v>439</v>
      </c>
      <c r="C37" s="19" t="s">
        <v>440</v>
      </c>
    </row>
    <row r="38" spans="1:3" ht="94.5" x14ac:dyDescent="0.2">
      <c r="A38" s="19">
        <v>952</v>
      </c>
      <c r="B38" s="19" t="s">
        <v>441</v>
      </c>
      <c r="C38" s="19" t="s">
        <v>442</v>
      </c>
    </row>
    <row r="39" spans="1:3" ht="31.5" x14ac:dyDescent="0.2">
      <c r="A39" s="19">
        <v>952</v>
      </c>
      <c r="B39" s="19" t="s">
        <v>443</v>
      </c>
      <c r="C39" s="19" t="s">
        <v>444</v>
      </c>
    </row>
    <row r="40" spans="1:3" ht="110.25" x14ac:dyDescent="0.2">
      <c r="A40" s="19">
        <v>952</v>
      </c>
      <c r="B40" s="19" t="s">
        <v>445</v>
      </c>
      <c r="C40" s="19" t="s">
        <v>446</v>
      </c>
    </row>
    <row r="41" spans="1:3" ht="110.25" x14ac:dyDescent="0.2">
      <c r="A41" s="19">
        <v>952</v>
      </c>
      <c r="B41" s="19" t="s">
        <v>447</v>
      </c>
      <c r="C41" s="19" t="s">
        <v>448</v>
      </c>
    </row>
    <row r="42" spans="1:3" ht="31.5" x14ac:dyDescent="0.2">
      <c r="A42" s="19">
        <v>952</v>
      </c>
      <c r="B42" s="19" t="s">
        <v>449</v>
      </c>
      <c r="C42" s="19" t="s">
        <v>450</v>
      </c>
    </row>
    <row r="43" spans="1:3" ht="47.25" x14ac:dyDescent="0.2">
      <c r="A43" s="19">
        <v>952</v>
      </c>
      <c r="B43" s="19" t="s">
        <v>451</v>
      </c>
      <c r="C43" s="19" t="s">
        <v>452</v>
      </c>
    </row>
    <row r="44" spans="1:3" ht="63" x14ac:dyDescent="0.2">
      <c r="A44" s="19">
        <v>952</v>
      </c>
      <c r="B44" s="19" t="s">
        <v>453</v>
      </c>
      <c r="C44" s="19" t="s">
        <v>76</v>
      </c>
    </row>
    <row r="45" spans="1:3" ht="78.75" x14ac:dyDescent="0.2">
      <c r="A45" s="111">
        <v>952</v>
      </c>
      <c r="B45" s="19" t="s">
        <v>390</v>
      </c>
      <c r="C45" s="19" t="s">
        <v>391</v>
      </c>
    </row>
    <row r="46" spans="1:3" ht="63" x14ac:dyDescent="0.2">
      <c r="A46" s="111">
        <v>952</v>
      </c>
      <c r="B46" s="19" t="s">
        <v>392</v>
      </c>
      <c r="C46" s="19" t="s">
        <v>393</v>
      </c>
    </row>
    <row r="47" spans="1:3" ht="47.25" x14ac:dyDescent="0.2">
      <c r="A47" s="111">
        <v>952</v>
      </c>
      <c r="B47" s="19" t="s">
        <v>394</v>
      </c>
      <c r="C47" s="19" t="s">
        <v>395</v>
      </c>
    </row>
    <row r="48" spans="1:3" ht="31.5" x14ac:dyDescent="0.2">
      <c r="A48" s="111">
        <v>952</v>
      </c>
      <c r="B48" s="110" t="s">
        <v>396</v>
      </c>
      <c r="C48" s="19" t="s">
        <v>397</v>
      </c>
    </row>
    <row r="49" spans="1:3" ht="31.5" x14ac:dyDescent="0.2">
      <c r="A49" s="111">
        <v>952</v>
      </c>
      <c r="B49" s="19" t="s">
        <v>398</v>
      </c>
      <c r="C49" s="19" t="s">
        <v>399</v>
      </c>
    </row>
    <row r="50" spans="1:3" ht="47.25" x14ac:dyDescent="0.2">
      <c r="A50" s="111">
        <v>952</v>
      </c>
      <c r="B50" s="19" t="s">
        <v>400</v>
      </c>
      <c r="C50" s="19" t="s">
        <v>401</v>
      </c>
    </row>
    <row r="51" spans="1:3" ht="31.5" x14ac:dyDescent="0.2">
      <c r="A51" s="111">
        <v>952</v>
      </c>
      <c r="B51" s="19" t="s">
        <v>402</v>
      </c>
      <c r="C51" s="19" t="s">
        <v>403</v>
      </c>
    </row>
    <row r="52" spans="1:3" ht="63" x14ac:dyDescent="0.2">
      <c r="A52" s="111">
        <v>952</v>
      </c>
      <c r="B52" s="19" t="s">
        <v>404</v>
      </c>
      <c r="C52" s="19" t="s">
        <v>405</v>
      </c>
    </row>
    <row r="53" spans="1:3" ht="47.25" x14ac:dyDescent="0.2">
      <c r="A53" s="19">
        <v>952</v>
      </c>
      <c r="B53" s="19" t="s">
        <v>454</v>
      </c>
      <c r="C53" s="19" t="s">
        <v>455</v>
      </c>
    </row>
    <row r="54" spans="1:3" ht="15.75" x14ac:dyDescent="0.2">
      <c r="A54" s="112">
        <v>952</v>
      </c>
      <c r="B54" s="19" t="s">
        <v>416</v>
      </c>
      <c r="C54" s="31" t="s">
        <v>417</v>
      </c>
    </row>
    <row r="55" spans="1:3" ht="15.75" x14ac:dyDescent="0.2">
      <c r="A55" s="941" t="s">
        <v>456</v>
      </c>
      <c r="B55" s="942"/>
      <c r="C55" s="943"/>
    </row>
    <row r="56" spans="1:3" ht="47.25" x14ac:dyDescent="0.2">
      <c r="A56" s="15">
        <v>953</v>
      </c>
      <c r="B56" s="110" t="s">
        <v>387</v>
      </c>
      <c r="C56" s="19" t="s">
        <v>65</v>
      </c>
    </row>
    <row r="57" spans="1:3" ht="31.5" x14ac:dyDescent="0.2">
      <c r="A57" s="112">
        <v>953</v>
      </c>
      <c r="B57" s="110" t="s">
        <v>388</v>
      </c>
      <c r="C57" s="19" t="s">
        <v>389</v>
      </c>
    </row>
    <row r="58" spans="1:3" ht="78.75" x14ac:dyDescent="0.2">
      <c r="A58" s="111">
        <v>953</v>
      </c>
      <c r="B58" s="19" t="s">
        <v>390</v>
      </c>
      <c r="C58" s="19" t="s">
        <v>391</v>
      </c>
    </row>
    <row r="59" spans="1:3" ht="63" x14ac:dyDescent="0.2">
      <c r="A59" s="111">
        <v>953</v>
      </c>
      <c r="B59" s="19" t="s">
        <v>392</v>
      </c>
      <c r="C59" s="19" t="s">
        <v>393</v>
      </c>
    </row>
    <row r="60" spans="1:3" ht="47.25" x14ac:dyDescent="0.2">
      <c r="A60" s="111">
        <v>953</v>
      </c>
      <c r="B60" s="19" t="s">
        <v>394</v>
      </c>
      <c r="C60" s="19" t="s">
        <v>395</v>
      </c>
    </row>
    <row r="61" spans="1:3" ht="31.5" x14ac:dyDescent="0.2">
      <c r="A61" s="111">
        <v>953</v>
      </c>
      <c r="B61" s="110" t="s">
        <v>396</v>
      </c>
      <c r="C61" s="19" t="s">
        <v>397</v>
      </c>
    </row>
    <row r="62" spans="1:3" ht="31.5" x14ac:dyDescent="0.2">
      <c r="A62" s="111">
        <v>953</v>
      </c>
      <c r="B62" s="19" t="s">
        <v>398</v>
      </c>
      <c r="C62" s="19" t="s">
        <v>399</v>
      </c>
    </row>
    <row r="63" spans="1:3" ht="47.25" x14ac:dyDescent="0.2">
      <c r="A63" s="111">
        <v>953</v>
      </c>
      <c r="B63" s="19" t="s">
        <v>400</v>
      </c>
      <c r="C63" s="19" t="s">
        <v>401</v>
      </c>
    </row>
    <row r="64" spans="1:3" ht="31.5" x14ac:dyDescent="0.2">
      <c r="A64" s="111">
        <v>953</v>
      </c>
      <c r="B64" s="19" t="s">
        <v>402</v>
      </c>
      <c r="C64" s="19" t="s">
        <v>403</v>
      </c>
    </row>
    <row r="65" spans="1:3" ht="63" x14ac:dyDescent="0.2">
      <c r="A65" s="111">
        <v>953</v>
      </c>
      <c r="B65" s="19" t="s">
        <v>404</v>
      </c>
      <c r="C65" s="19" t="s">
        <v>405</v>
      </c>
    </row>
    <row r="66" spans="1:3" ht="31.5" x14ac:dyDescent="0.2">
      <c r="A66" s="111">
        <v>953</v>
      </c>
      <c r="B66" s="19" t="s">
        <v>457</v>
      </c>
      <c r="C66" s="19" t="s">
        <v>458</v>
      </c>
    </row>
    <row r="67" spans="1:3" ht="47.25" x14ac:dyDescent="0.2">
      <c r="A67" s="111">
        <v>953</v>
      </c>
      <c r="B67" s="19" t="s">
        <v>408</v>
      </c>
      <c r="C67" s="19" t="s">
        <v>409</v>
      </c>
    </row>
    <row r="68" spans="1:3" ht="63" x14ac:dyDescent="0.2">
      <c r="A68" s="111">
        <v>953</v>
      </c>
      <c r="B68" s="19" t="s">
        <v>459</v>
      </c>
      <c r="C68" s="19" t="s">
        <v>460</v>
      </c>
    </row>
    <row r="69" spans="1:3" ht="31.5" x14ac:dyDescent="0.2">
      <c r="A69" s="111">
        <v>953</v>
      </c>
      <c r="B69" s="19" t="s">
        <v>461</v>
      </c>
      <c r="C69" s="19" t="s">
        <v>462</v>
      </c>
    </row>
    <row r="70" spans="1:3" ht="47.25" x14ac:dyDescent="0.2">
      <c r="A70" s="111">
        <v>953</v>
      </c>
      <c r="B70" s="19" t="s">
        <v>463</v>
      </c>
      <c r="C70" s="19" t="s">
        <v>464</v>
      </c>
    </row>
    <row r="71" spans="1:3" ht="15.75" x14ac:dyDescent="0.2">
      <c r="A71" s="111">
        <v>953</v>
      </c>
      <c r="B71" s="19" t="s">
        <v>416</v>
      </c>
      <c r="C71" s="31" t="s">
        <v>417</v>
      </c>
    </row>
    <row r="72" spans="1:3" ht="63" x14ac:dyDescent="0.2">
      <c r="A72" s="111">
        <v>953</v>
      </c>
      <c r="B72" s="19" t="s">
        <v>465</v>
      </c>
      <c r="C72" s="19" t="s">
        <v>466</v>
      </c>
    </row>
    <row r="73" spans="1:3" ht="47.25" x14ac:dyDescent="0.2">
      <c r="A73" s="111">
        <v>953</v>
      </c>
      <c r="B73" s="19" t="s">
        <v>467</v>
      </c>
      <c r="C73" s="19" t="s">
        <v>468</v>
      </c>
    </row>
    <row r="74" spans="1:3" ht="47.25" x14ac:dyDescent="0.2">
      <c r="A74" s="111">
        <v>953</v>
      </c>
      <c r="B74" s="19" t="s">
        <v>422</v>
      </c>
      <c r="C74" s="19" t="s">
        <v>423</v>
      </c>
    </row>
    <row r="75" spans="1:3" ht="63" x14ac:dyDescent="0.2">
      <c r="A75" s="111">
        <v>953</v>
      </c>
      <c r="B75" s="19" t="s">
        <v>469</v>
      </c>
      <c r="C75" s="19" t="s">
        <v>470</v>
      </c>
    </row>
    <row r="76" spans="1:3" ht="83.25" customHeight="1" x14ac:dyDescent="0.2">
      <c r="A76" s="111">
        <v>953</v>
      </c>
      <c r="B76" s="19" t="s">
        <v>471</v>
      </c>
      <c r="C76" s="19" t="s">
        <v>472</v>
      </c>
    </row>
    <row r="77" spans="1:3" ht="31.5" x14ac:dyDescent="0.2">
      <c r="A77" s="111">
        <v>953</v>
      </c>
      <c r="B77" s="19" t="s">
        <v>473</v>
      </c>
      <c r="C77" s="19" t="s">
        <v>474</v>
      </c>
    </row>
    <row r="78" spans="1:3" ht="78.75" x14ac:dyDescent="0.2">
      <c r="A78" s="111">
        <v>953</v>
      </c>
      <c r="B78" s="19" t="s">
        <v>424</v>
      </c>
      <c r="C78" s="19" t="s">
        <v>425</v>
      </c>
    </row>
    <row r="79" spans="1:3" ht="31.5" x14ac:dyDescent="0.2">
      <c r="A79" s="110">
        <v>953</v>
      </c>
      <c r="B79" s="110" t="s">
        <v>475</v>
      </c>
      <c r="C79" s="19" t="s">
        <v>427</v>
      </c>
    </row>
    <row r="80" spans="1:3" ht="35.25" customHeight="1" x14ac:dyDescent="0.2">
      <c r="A80" s="944" t="s">
        <v>476</v>
      </c>
      <c r="B80" s="945"/>
      <c r="C80" s="946"/>
    </row>
    <row r="81" spans="1:3" ht="47.25" x14ac:dyDescent="0.2">
      <c r="A81" s="111">
        <v>954</v>
      </c>
      <c r="B81" s="110" t="s">
        <v>387</v>
      </c>
      <c r="C81" s="19" t="s">
        <v>65</v>
      </c>
    </row>
    <row r="82" spans="1:3" ht="31.5" x14ac:dyDescent="0.2">
      <c r="A82" s="111">
        <v>954</v>
      </c>
      <c r="B82" s="110" t="s">
        <v>388</v>
      </c>
      <c r="C82" s="19" t="s">
        <v>389</v>
      </c>
    </row>
    <row r="83" spans="1:3" ht="78.75" x14ac:dyDescent="0.2">
      <c r="A83" s="111">
        <v>954</v>
      </c>
      <c r="B83" s="19" t="s">
        <v>390</v>
      </c>
      <c r="C83" s="19" t="s">
        <v>391</v>
      </c>
    </row>
    <row r="84" spans="1:3" ht="63" x14ac:dyDescent="0.2">
      <c r="A84" s="111">
        <v>954</v>
      </c>
      <c r="B84" s="19" t="s">
        <v>392</v>
      </c>
      <c r="C84" s="19" t="s">
        <v>393</v>
      </c>
    </row>
    <row r="85" spans="1:3" ht="47.25" x14ac:dyDescent="0.2">
      <c r="A85" s="111">
        <v>954</v>
      </c>
      <c r="B85" s="19" t="s">
        <v>394</v>
      </c>
      <c r="C85" s="19" t="s">
        <v>395</v>
      </c>
    </row>
    <row r="86" spans="1:3" ht="31.5" x14ac:dyDescent="0.2">
      <c r="A86" s="111">
        <v>954</v>
      </c>
      <c r="B86" s="110" t="s">
        <v>396</v>
      </c>
      <c r="C86" s="19" t="s">
        <v>397</v>
      </c>
    </row>
    <row r="87" spans="1:3" ht="31.5" x14ac:dyDescent="0.2">
      <c r="A87" s="111">
        <v>954</v>
      </c>
      <c r="B87" s="19" t="s">
        <v>398</v>
      </c>
      <c r="C87" s="19" t="s">
        <v>399</v>
      </c>
    </row>
    <row r="88" spans="1:3" ht="47.25" x14ac:dyDescent="0.2">
      <c r="A88" s="111">
        <v>954</v>
      </c>
      <c r="B88" s="19" t="s">
        <v>400</v>
      </c>
      <c r="C88" s="19" t="s">
        <v>401</v>
      </c>
    </row>
    <row r="89" spans="1:3" ht="31.5" x14ac:dyDescent="0.2">
      <c r="A89" s="111">
        <v>954</v>
      </c>
      <c r="B89" s="19" t="s">
        <v>402</v>
      </c>
      <c r="C89" s="19" t="s">
        <v>403</v>
      </c>
    </row>
    <row r="90" spans="1:3" ht="63" x14ac:dyDescent="0.2">
      <c r="A90" s="111">
        <v>954</v>
      </c>
      <c r="B90" s="19" t="s">
        <v>404</v>
      </c>
      <c r="C90" s="19" t="s">
        <v>405</v>
      </c>
    </row>
    <row r="91" spans="1:3" ht="47.25" x14ac:dyDescent="0.2">
      <c r="A91" s="111">
        <v>954</v>
      </c>
      <c r="B91" s="19" t="s">
        <v>477</v>
      </c>
      <c r="C91" s="19" t="s">
        <v>478</v>
      </c>
    </row>
    <row r="92" spans="1:3" ht="63" x14ac:dyDescent="0.2">
      <c r="A92" s="111">
        <v>954</v>
      </c>
      <c r="B92" s="19" t="s">
        <v>479</v>
      </c>
      <c r="C92" s="19" t="s">
        <v>480</v>
      </c>
    </row>
    <row r="93" spans="1:3" ht="109.5" customHeight="1" x14ac:dyDescent="0.2">
      <c r="A93" s="111">
        <v>954</v>
      </c>
      <c r="B93" s="19" t="s">
        <v>481</v>
      </c>
      <c r="C93" s="19" t="s">
        <v>482</v>
      </c>
    </row>
    <row r="94" spans="1:3" ht="63" x14ac:dyDescent="0.2">
      <c r="A94" s="111">
        <v>954</v>
      </c>
      <c r="B94" s="19" t="s">
        <v>483</v>
      </c>
      <c r="C94" s="19" t="s">
        <v>484</v>
      </c>
    </row>
    <row r="95" spans="1:3" ht="47.25" x14ac:dyDescent="0.2">
      <c r="A95" s="111">
        <v>954</v>
      </c>
      <c r="B95" s="19" t="s">
        <v>485</v>
      </c>
      <c r="C95" s="19" t="s">
        <v>486</v>
      </c>
    </row>
    <row r="96" spans="1:3" ht="47.25" x14ac:dyDescent="0.2">
      <c r="A96" s="111">
        <v>954</v>
      </c>
      <c r="B96" s="19" t="s">
        <v>422</v>
      </c>
      <c r="C96" s="19" t="s">
        <v>423</v>
      </c>
    </row>
    <row r="97" spans="1:3" ht="94.5" x14ac:dyDescent="0.2">
      <c r="A97" s="111">
        <v>954</v>
      </c>
      <c r="B97" s="19" t="s">
        <v>487</v>
      </c>
      <c r="C97" s="19" t="s">
        <v>488</v>
      </c>
    </row>
    <row r="98" spans="1:3" ht="78.75" x14ac:dyDescent="0.2">
      <c r="A98" s="111">
        <v>954</v>
      </c>
      <c r="B98" s="19" t="s">
        <v>489</v>
      </c>
      <c r="C98" s="19" t="s">
        <v>490</v>
      </c>
    </row>
    <row r="99" spans="1:3" ht="31.5" x14ac:dyDescent="0.2">
      <c r="A99" s="111">
        <v>954</v>
      </c>
      <c r="B99" s="110" t="s">
        <v>475</v>
      </c>
      <c r="C99" s="19" t="s">
        <v>427</v>
      </c>
    </row>
    <row r="100" spans="1:3" ht="47.25" x14ac:dyDescent="0.2">
      <c r="A100" s="111">
        <v>954</v>
      </c>
      <c r="B100" s="19" t="s">
        <v>491</v>
      </c>
      <c r="C100" s="19" t="s">
        <v>492</v>
      </c>
    </row>
    <row r="101" spans="1:3" ht="15.75" x14ac:dyDescent="0.2">
      <c r="A101" s="940" t="s">
        <v>493</v>
      </c>
      <c r="B101" s="940"/>
      <c r="C101" s="940"/>
    </row>
    <row r="102" spans="1:3" ht="31.5" x14ac:dyDescent="0.2">
      <c r="A102" s="19">
        <v>955</v>
      </c>
      <c r="B102" s="110" t="s">
        <v>494</v>
      </c>
      <c r="C102" s="19" t="s">
        <v>495</v>
      </c>
    </row>
    <row r="103" spans="1:3" ht="47.25" x14ac:dyDescent="0.2">
      <c r="A103" s="19">
        <v>955</v>
      </c>
      <c r="B103" s="110" t="s">
        <v>387</v>
      </c>
      <c r="C103" s="19" t="s">
        <v>65</v>
      </c>
    </row>
    <row r="104" spans="1:3" ht="31.5" x14ac:dyDescent="0.2">
      <c r="A104" s="19">
        <v>955</v>
      </c>
      <c r="B104" s="110" t="s">
        <v>388</v>
      </c>
      <c r="C104" s="19" t="s">
        <v>389</v>
      </c>
    </row>
    <row r="105" spans="1:3" ht="47.25" x14ac:dyDescent="0.2">
      <c r="A105" s="19">
        <v>955</v>
      </c>
      <c r="B105" s="110" t="s">
        <v>496</v>
      </c>
      <c r="C105" s="19" t="s">
        <v>497</v>
      </c>
    </row>
    <row r="106" spans="1:3" ht="78.75" x14ac:dyDescent="0.2">
      <c r="A106" s="111">
        <v>955</v>
      </c>
      <c r="B106" s="19" t="s">
        <v>390</v>
      </c>
      <c r="C106" s="19" t="s">
        <v>391</v>
      </c>
    </row>
    <row r="107" spans="1:3" ht="63" x14ac:dyDescent="0.2">
      <c r="A107" s="111">
        <v>955</v>
      </c>
      <c r="B107" s="19" t="s">
        <v>392</v>
      </c>
      <c r="C107" s="19" t="s">
        <v>393</v>
      </c>
    </row>
    <row r="108" spans="1:3" ht="63" x14ac:dyDescent="0.2">
      <c r="A108" s="19">
        <v>955</v>
      </c>
      <c r="B108" s="19" t="s">
        <v>498</v>
      </c>
      <c r="C108" s="19" t="s">
        <v>499</v>
      </c>
    </row>
    <row r="109" spans="1:3" ht="47.25" x14ac:dyDescent="0.2">
      <c r="A109" s="111">
        <v>955</v>
      </c>
      <c r="B109" s="19" t="s">
        <v>394</v>
      </c>
      <c r="C109" s="19" t="s">
        <v>395</v>
      </c>
    </row>
    <row r="110" spans="1:3" ht="31.5" x14ac:dyDescent="0.2">
      <c r="A110" s="19">
        <v>955</v>
      </c>
      <c r="B110" s="110" t="s">
        <v>396</v>
      </c>
      <c r="C110" s="19" t="s">
        <v>397</v>
      </c>
    </row>
    <row r="111" spans="1:3" ht="31.5" x14ac:dyDescent="0.2">
      <c r="A111" s="111">
        <v>955</v>
      </c>
      <c r="B111" s="19" t="s">
        <v>398</v>
      </c>
      <c r="C111" s="19" t="s">
        <v>399</v>
      </c>
    </row>
    <row r="112" spans="1:3" ht="63" x14ac:dyDescent="0.2">
      <c r="A112" s="19">
        <v>955</v>
      </c>
      <c r="B112" s="19" t="s">
        <v>500</v>
      </c>
      <c r="C112" s="19" t="s">
        <v>501</v>
      </c>
    </row>
    <row r="113" spans="1:3" ht="31.5" x14ac:dyDescent="0.2">
      <c r="A113" s="19">
        <v>955</v>
      </c>
      <c r="B113" s="19" t="s">
        <v>402</v>
      </c>
      <c r="C113" s="19" t="s">
        <v>403</v>
      </c>
    </row>
    <row r="114" spans="1:3" ht="63" x14ac:dyDescent="0.2">
      <c r="A114" s="19">
        <v>955</v>
      </c>
      <c r="B114" s="19" t="s">
        <v>404</v>
      </c>
      <c r="C114" s="19" t="s">
        <v>405</v>
      </c>
    </row>
    <row r="115" spans="1:3" ht="31.5" x14ac:dyDescent="0.2">
      <c r="A115" s="19">
        <v>955</v>
      </c>
      <c r="B115" s="19" t="s">
        <v>502</v>
      </c>
      <c r="C115" s="19" t="s">
        <v>503</v>
      </c>
    </row>
    <row r="116" spans="1:3" ht="47.25" x14ac:dyDescent="0.2">
      <c r="A116" s="19">
        <v>955</v>
      </c>
      <c r="B116" s="19" t="s">
        <v>504</v>
      </c>
      <c r="C116" s="19" t="s">
        <v>505</v>
      </c>
    </row>
    <row r="117" spans="1:3" ht="15.75" x14ac:dyDescent="0.2">
      <c r="A117" s="19">
        <v>955</v>
      </c>
      <c r="B117" s="19" t="s">
        <v>416</v>
      </c>
      <c r="C117" s="31" t="s">
        <v>417</v>
      </c>
    </row>
    <row r="118" spans="1:3" ht="47.25" x14ac:dyDescent="0.2">
      <c r="A118" s="19">
        <v>955</v>
      </c>
      <c r="B118" s="19" t="s">
        <v>506</v>
      </c>
      <c r="C118" s="19" t="s">
        <v>507</v>
      </c>
    </row>
    <row r="119" spans="1:3" ht="47.25" x14ac:dyDescent="0.2">
      <c r="A119" s="19">
        <v>955</v>
      </c>
      <c r="B119" s="19" t="s">
        <v>422</v>
      </c>
      <c r="C119" s="19" t="s">
        <v>508</v>
      </c>
    </row>
    <row r="120" spans="1:3" ht="63" x14ac:dyDescent="0.2">
      <c r="A120" s="19">
        <v>955</v>
      </c>
      <c r="B120" s="19" t="s">
        <v>509</v>
      </c>
      <c r="C120" s="19" t="s">
        <v>142</v>
      </c>
    </row>
    <row r="121" spans="1:3" ht="78.75" x14ac:dyDescent="0.2">
      <c r="A121" s="19">
        <v>955</v>
      </c>
      <c r="B121" s="19" t="s">
        <v>424</v>
      </c>
      <c r="C121" s="19" t="s">
        <v>425</v>
      </c>
    </row>
    <row r="122" spans="1:3" ht="63" x14ac:dyDescent="0.2">
      <c r="A122" s="19">
        <v>955</v>
      </c>
      <c r="B122" s="19" t="s">
        <v>510</v>
      </c>
      <c r="C122" s="19" t="s">
        <v>511</v>
      </c>
    </row>
    <row r="123" spans="1:3" ht="31.5" x14ac:dyDescent="0.2">
      <c r="A123" s="19">
        <v>955</v>
      </c>
      <c r="B123" s="19" t="s">
        <v>475</v>
      </c>
      <c r="C123" s="19" t="s">
        <v>427</v>
      </c>
    </row>
    <row r="124" spans="1:3" ht="110.25" x14ac:dyDescent="0.2">
      <c r="A124" s="19">
        <v>955</v>
      </c>
      <c r="B124" s="19" t="s">
        <v>512</v>
      </c>
      <c r="C124" s="19" t="s">
        <v>513</v>
      </c>
    </row>
    <row r="125" spans="1:3" ht="33.75" customHeight="1" x14ac:dyDescent="0.2">
      <c r="A125" s="931" t="s">
        <v>514</v>
      </c>
      <c r="B125" s="932"/>
      <c r="C125" s="933"/>
    </row>
    <row r="126" spans="1:3" ht="47.25" x14ac:dyDescent="0.2">
      <c r="A126" s="114">
        <v>956</v>
      </c>
      <c r="B126" s="110" t="s">
        <v>387</v>
      </c>
      <c r="C126" s="19" t="s">
        <v>65</v>
      </c>
    </row>
    <row r="127" spans="1:3" ht="31.5" x14ac:dyDescent="0.2">
      <c r="A127" s="114">
        <v>956</v>
      </c>
      <c r="B127" s="110" t="s">
        <v>388</v>
      </c>
      <c r="C127" s="19" t="s">
        <v>389</v>
      </c>
    </row>
    <row r="128" spans="1:3" ht="78.75" x14ac:dyDescent="0.2">
      <c r="A128" s="111">
        <v>956</v>
      </c>
      <c r="B128" s="19" t="s">
        <v>390</v>
      </c>
      <c r="C128" s="19" t="s">
        <v>391</v>
      </c>
    </row>
    <row r="129" spans="1:3" ht="63" x14ac:dyDescent="0.2">
      <c r="A129" s="111">
        <v>956</v>
      </c>
      <c r="B129" s="19" t="s">
        <v>392</v>
      </c>
      <c r="C129" s="19" t="s">
        <v>393</v>
      </c>
    </row>
    <row r="130" spans="1:3" ht="47.25" x14ac:dyDescent="0.2">
      <c r="A130" s="111">
        <v>956</v>
      </c>
      <c r="B130" s="19" t="s">
        <v>394</v>
      </c>
      <c r="C130" s="19" t="s">
        <v>395</v>
      </c>
    </row>
    <row r="131" spans="1:3" ht="31.5" x14ac:dyDescent="0.2">
      <c r="A131" s="111">
        <v>956</v>
      </c>
      <c r="B131" s="110" t="s">
        <v>396</v>
      </c>
      <c r="C131" s="19" t="s">
        <v>397</v>
      </c>
    </row>
    <row r="132" spans="1:3" ht="31.5" x14ac:dyDescent="0.2">
      <c r="A132" s="111">
        <v>956</v>
      </c>
      <c r="B132" s="19" t="s">
        <v>398</v>
      </c>
      <c r="C132" s="19" t="s">
        <v>399</v>
      </c>
    </row>
    <row r="133" spans="1:3" ht="47.25" x14ac:dyDescent="0.2">
      <c r="A133" s="111">
        <v>956</v>
      </c>
      <c r="B133" s="19" t="s">
        <v>400</v>
      </c>
      <c r="C133" s="19" t="s">
        <v>401</v>
      </c>
    </row>
    <row r="134" spans="1:3" ht="31.5" x14ac:dyDescent="0.2">
      <c r="A134" s="111">
        <v>956</v>
      </c>
      <c r="B134" s="19" t="s">
        <v>402</v>
      </c>
      <c r="C134" s="19" t="s">
        <v>403</v>
      </c>
    </row>
    <row r="135" spans="1:3" ht="63" x14ac:dyDescent="0.2">
      <c r="A135" s="111">
        <v>956</v>
      </c>
      <c r="B135" s="19" t="s">
        <v>404</v>
      </c>
      <c r="C135" s="19" t="s">
        <v>405</v>
      </c>
    </row>
    <row r="136" spans="1:3" ht="51.75" customHeight="1" x14ac:dyDescent="0.2">
      <c r="A136" s="111">
        <v>956</v>
      </c>
      <c r="B136" s="19" t="s">
        <v>515</v>
      </c>
      <c r="C136" s="19" t="s">
        <v>409</v>
      </c>
    </row>
    <row r="137" spans="1:3" ht="15.75" x14ac:dyDescent="0.2">
      <c r="A137" s="19">
        <v>956</v>
      </c>
      <c r="B137" s="19" t="s">
        <v>416</v>
      </c>
      <c r="C137" s="31" t="s">
        <v>417</v>
      </c>
    </row>
    <row r="138" spans="1:3" ht="78.75" x14ac:dyDescent="0.2">
      <c r="A138" s="19">
        <v>956</v>
      </c>
      <c r="B138" s="19" t="s">
        <v>424</v>
      </c>
      <c r="C138" s="31" t="s">
        <v>425</v>
      </c>
    </row>
    <row r="139" spans="1:3" ht="94.5" x14ac:dyDescent="0.2">
      <c r="A139" s="19">
        <v>956</v>
      </c>
      <c r="B139" s="19" t="s">
        <v>516</v>
      </c>
      <c r="C139" s="31" t="s">
        <v>517</v>
      </c>
    </row>
    <row r="140" spans="1:3" ht="63" x14ac:dyDescent="0.2">
      <c r="A140" s="19">
        <v>956</v>
      </c>
      <c r="B140" s="19" t="s">
        <v>518</v>
      </c>
      <c r="C140" s="31" t="s">
        <v>519</v>
      </c>
    </row>
    <row r="141" spans="1:3" ht="78.75" x14ac:dyDescent="0.2">
      <c r="A141" s="19">
        <v>956</v>
      </c>
      <c r="B141" s="19" t="s">
        <v>520</v>
      </c>
      <c r="C141" s="31" t="s">
        <v>521</v>
      </c>
    </row>
    <row r="142" spans="1:3" ht="47.25" x14ac:dyDescent="0.2">
      <c r="A142" s="111">
        <v>956</v>
      </c>
      <c r="B142" s="19" t="s">
        <v>522</v>
      </c>
      <c r="C142" s="31" t="s">
        <v>523</v>
      </c>
    </row>
    <row r="143" spans="1:3" ht="31.5" x14ac:dyDescent="0.2">
      <c r="A143" s="110">
        <v>956</v>
      </c>
      <c r="B143" s="19" t="s">
        <v>475</v>
      </c>
      <c r="C143" s="19" t="s">
        <v>427</v>
      </c>
    </row>
    <row r="144" spans="1:3" ht="35.25" customHeight="1" x14ac:dyDescent="0.25">
      <c r="A144" s="934" t="s">
        <v>524</v>
      </c>
      <c r="B144" s="935"/>
      <c r="C144" s="936"/>
    </row>
    <row r="145" spans="1:3" ht="47.25" x14ac:dyDescent="0.2">
      <c r="A145" s="112">
        <v>958</v>
      </c>
      <c r="B145" s="110" t="s">
        <v>387</v>
      </c>
      <c r="C145" s="19" t="s">
        <v>65</v>
      </c>
    </row>
    <row r="146" spans="1:3" ht="31.5" x14ac:dyDescent="0.2">
      <c r="A146" s="112">
        <v>958</v>
      </c>
      <c r="B146" s="110" t="s">
        <v>388</v>
      </c>
      <c r="C146" s="19" t="s">
        <v>389</v>
      </c>
    </row>
    <row r="147" spans="1:3" ht="78.75" x14ac:dyDescent="0.2">
      <c r="A147" s="111">
        <v>958</v>
      </c>
      <c r="B147" s="19" t="s">
        <v>390</v>
      </c>
      <c r="C147" s="19" t="s">
        <v>391</v>
      </c>
    </row>
    <row r="148" spans="1:3" ht="63" x14ac:dyDescent="0.2">
      <c r="A148" s="111">
        <v>958</v>
      </c>
      <c r="B148" s="19" t="s">
        <v>392</v>
      </c>
      <c r="C148" s="19" t="s">
        <v>393</v>
      </c>
    </row>
    <row r="149" spans="1:3" ht="110.25" x14ac:dyDescent="0.2">
      <c r="A149" s="111">
        <v>958</v>
      </c>
      <c r="B149" s="19" t="s">
        <v>525</v>
      </c>
      <c r="C149" s="19" t="s">
        <v>526</v>
      </c>
    </row>
    <row r="150" spans="1:3" ht="47.25" x14ac:dyDescent="0.2">
      <c r="A150" s="111">
        <v>958</v>
      </c>
      <c r="B150" s="19" t="s">
        <v>394</v>
      </c>
      <c r="C150" s="19" t="s">
        <v>395</v>
      </c>
    </row>
    <row r="151" spans="1:3" ht="31.5" x14ac:dyDescent="0.2">
      <c r="A151" s="111">
        <v>958</v>
      </c>
      <c r="B151" s="110" t="s">
        <v>396</v>
      </c>
      <c r="C151" s="19" t="s">
        <v>397</v>
      </c>
    </row>
    <row r="152" spans="1:3" ht="31.5" x14ac:dyDescent="0.2">
      <c r="A152" s="111">
        <v>958</v>
      </c>
      <c r="B152" s="19" t="s">
        <v>398</v>
      </c>
      <c r="C152" s="19" t="s">
        <v>399</v>
      </c>
    </row>
    <row r="153" spans="1:3" ht="47.25" x14ac:dyDescent="0.2">
      <c r="A153" s="111">
        <v>958</v>
      </c>
      <c r="B153" s="19" t="s">
        <v>400</v>
      </c>
      <c r="C153" s="19" t="s">
        <v>401</v>
      </c>
    </row>
    <row r="154" spans="1:3" ht="31.5" x14ac:dyDescent="0.2">
      <c r="A154" s="111">
        <v>958</v>
      </c>
      <c r="B154" s="19" t="s">
        <v>402</v>
      </c>
      <c r="C154" s="19" t="s">
        <v>403</v>
      </c>
    </row>
    <row r="155" spans="1:3" ht="63" x14ac:dyDescent="0.2">
      <c r="A155" s="111">
        <v>958</v>
      </c>
      <c r="B155" s="19" t="s">
        <v>404</v>
      </c>
      <c r="C155" s="19" t="s">
        <v>405</v>
      </c>
    </row>
    <row r="156" spans="1:3" ht="31.5" x14ac:dyDescent="0.2">
      <c r="A156" s="111">
        <v>958</v>
      </c>
      <c r="B156" s="19" t="s">
        <v>527</v>
      </c>
      <c r="C156" s="19" t="s">
        <v>528</v>
      </c>
    </row>
    <row r="157" spans="1:3" ht="78.75" x14ac:dyDescent="0.2">
      <c r="A157" s="111">
        <v>958</v>
      </c>
      <c r="B157" s="19" t="s">
        <v>529</v>
      </c>
      <c r="C157" s="19" t="s">
        <v>530</v>
      </c>
    </row>
    <row r="158" spans="1:3" ht="78.75" x14ac:dyDescent="0.2">
      <c r="A158" s="111">
        <v>958</v>
      </c>
      <c r="B158" s="19" t="s">
        <v>531</v>
      </c>
      <c r="C158" s="19" t="s">
        <v>532</v>
      </c>
    </row>
    <row r="159" spans="1:3" ht="31.5" x14ac:dyDescent="0.2">
      <c r="A159" s="111">
        <v>958</v>
      </c>
      <c r="B159" s="19" t="s">
        <v>457</v>
      </c>
      <c r="C159" s="19" t="s">
        <v>458</v>
      </c>
    </row>
    <row r="160" spans="1:3" ht="47.25" x14ac:dyDescent="0.2">
      <c r="A160" s="111">
        <v>958</v>
      </c>
      <c r="B160" s="19" t="s">
        <v>515</v>
      </c>
      <c r="C160" s="19" t="s">
        <v>533</v>
      </c>
    </row>
    <row r="161" spans="1:3" ht="47.25" x14ac:dyDescent="0.2">
      <c r="A161" s="111">
        <v>958</v>
      </c>
      <c r="B161" s="19" t="s">
        <v>534</v>
      </c>
      <c r="C161" s="19" t="s">
        <v>535</v>
      </c>
    </row>
    <row r="162" spans="1:3" ht="78.75" x14ac:dyDescent="0.2">
      <c r="A162" s="111">
        <v>958</v>
      </c>
      <c r="B162" s="19" t="s">
        <v>536</v>
      </c>
      <c r="C162" s="19" t="s">
        <v>537</v>
      </c>
    </row>
    <row r="163" spans="1:3" ht="47.25" x14ac:dyDescent="0.2">
      <c r="A163" s="111">
        <v>958</v>
      </c>
      <c r="B163" s="19" t="s">
        <v>538</v>
      </c>
      <c r="C163" s="19" t="s">
        <v>539</v>
      </c>
    </row>
    <row r="164" spans="1:3" ht="47.25" x14ac:dyDescent="0.2">
      <c r="A164" s="110">
        <v>958</v>
      </c>
      <c r="B164" s="110" t="s">
        <v>540</v>
      </c>
      <c r="C164" s="19" t="s">
        <v>541</v>
      </c>
    </row>
    <row r="165" spans="1:3" ht="47.25" x14ac:dyDescent="0.2">
      <c r="A165" s="110">
        <v>958</v>
      </c>
      <c r="B165" s="110" t="s">
        <v>542</v>
      </c>
      <c r="C165" s="19" t="s">
        <v>543</v>
      </c>
    </row>
    <row r="166" spans="1:3" ht="15.75" x14ac:dyDescent="0.2">
      <c r="A166" s="111">
        <v>958</v>
      </c>
      <c r="B166" s="19" t="s">
        <v>416</v>
      </c>
      <c r="C166" s="19" t="s">
        <v>417</v>
      </c>
    </row>
    <row r="167" spans="1:3" ht="78.75" x14ac:dyDescent="0.2">
      <c r="A167" s="111">
        <v>958</v>
      </c>
      <c r="B167" s="19" t="s">
        <v>544</v>
      </c>
      <c r="C167" s="19" t="s">
        <v>425</v>
      </c>
    </row>
    <row r="168" spans="1:3" ht="31.5" x14ac:dyDescent="0.2">
      <c r="A168" s="111">
        <v>958</v>
      </c>
      <c r="B168" s="19" t="s">
        <v>475</v>
      </c>
      <c r="C168" s="19" t="s">
        <v>427</v>
      </c>
    </row>
    <row r="169" spans="1:3" ht="31.5" hidden="1" x14ac:dyDescent="0.2">
      <c r="A169" s="115">
        <v>979</v>
      </c>
      <c r="B169" s="116" t="s">
        <v>527</v>
      </c>
      <c r="C169" s="31" t="s">
        <v>528</v>
      </c>
    </row>
    <row r="170" spans="1:3" ht="15.75" x14ac:dyDescent="0.25">
      <c r="A170" s="937" t="s">
        <v>545</v>
      </c>
      <c r="B170" s="938"/>
      <c r="C170" s="939"/>
    </row>
    <row r="171" spans="1:3" ht="78.75" x14ac:dyDescent="0.2">
      <c r="A171" s="110">
        <v>982</v>
      </c>
      <c r="B171" s="19" t="s">
        <v>544</v>
      </c>
      <c r="C171" s="19" t="s">
        <v>425</v>
      </c>
    </row>
  </sheetData>
  <mergeCells count="13">
    <mergeCell ref="A125:C125"/>
    <mergeCell ref="A144:C144"/>
    <mergeCell ref="A170:C170"/>
    <mergeCell ref="A8:C8"/>
    <mergeCell ref="A31:C31"/>
    <mergeCell ref="A55:C55"/>
    <mergeCell ref="A80:C80"/>
    <mergeCell ref="A101:C101"/>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election sqref="A1:C1"/>
    </sheetView>
  </sheetViews>
  <sheetFormatPr defaultRowHeight="12.75" x14ac:dyDescent="0.2"/>
  <cols>
    <col min="2" max="2" width="28.5703125" customWidth="1"/>
    <col min="3" max="3" width="47.5703125" customWidth="1"/>
    <col min="8" max="8" width="43.42578125" customWidth="1"/>
  </cols>
  <sheetData>
    <row r="1" spans="1:3" ht="15.75" x14ac:dyDescent="0.25">
      <c r="A1" s="868" t="s">
        <v>546</v>
      </c>
      <c r="B1" s="868"/>
      <c r="C1" s="868"/>
    </row>
    <row r="2" spans="1:3" ht="15.75" x14ac:dyDescent="0.25">
      <c r="A2" s="868" t="s">
        <v>1</v>
      </c>
      <c r="B2" s="868"/>
      <c r="C2" s="868"/>
    </row>
    <row r="3" spans="1:3" ht="15.75" x14ac:dyDescent="0.25">
      <c r="A3" s="868" t="s">
        <v>2</v>
      </c>
      <c r="B3" s="868"/>
      <c r="C3" s="868"/>
    </row>
    <row r="4" spans="1:3" ht="15.75" x14ac:dyDescent="0.25">
      <c r="A4" s="868" t="s">
        <v>547</v>
      </c>
      <c r="B4" s="868"/>
      <c r="C4" s="868"/>
    </row>
    <row r="5" spans="1:3" ht="15.75" x14ac:dyDescent="0.25">
      <c r="A5" s="35"/>
      <c r="B5" s="1"/>
      <c r="C5" s="1"/>
    </row>
    <row r="6" spans="1:3" ht="39" customHeight="1" x14ac:dyDescent="0.25">
      <c r="A6" s="879" t="s">
        <v>548</v>
      </c>
      <c r="B6" s="879"/>
      <c r="C6" s="879"/>
    </row>
    <row r="7" spans="1:3" ht="18.75" x14ac:dyDescent="0.3">
      <c r="A7" s="947"/>
      <c r="B7" s="947"/>
      <c r="C7" s="947"/>
    </row>
    <row r="8" spans="1:3" ht="15.75" x14ac:dyDescent="0.2">
      <c r="A8" s="940" t="s">
        <v>493</v>
      </c>
      <c r="B8" s="940"/>
      <c r="C8" s="940"/>
    </row>
    <row r="9" spans="1:3" ht="47.25" x14ac:dyDescent="0.2">
      <c r="A9" s="116">
        <v>955</v>
      </c>
      <c r="B9" s="116" t="s">
        <v>549</v>
      </c>
      <c r="C9" s="118" t="s">
        <v>343</v>
      </c>
    </row>
    <row r="10" spans="1:3" ht="47.25" x14ac:dyDescent="0.2">
      <c r="A10" s="116">
        <v>955</v>
      </c>
      <c r="B10" s="116" t="s">
        <v>550</v>
      </c>
      <c r="C10" s="118" t="s">
        <v>344</v>
      </c>
    </row>
    <row r="11" spans="1:3" ht="63" x14ac:dyDescent="0.2">
      <c r="A11" s="116">
        <v>955</v>
      </c>
      <c r="B11" s="116" t="s">
        <v>551</v>
      </c>
      <c r="C11" s="118" t="s">
        <v>552</v>
      </c>
    </row>
    <row r="12" spans="1:3" ht="63" x14ac:dyDescent="0.2">
      <c r="A12" s="116">
        <v>955</v>
      </c>
      <c r="B12" s="116" t="s">
        <v>553</v>
      </c>
      <c r="C12" s="118" t="s">
        <v>554</v>
      </c>
    </row>
    <row r="13" spans="1:3" ht="31.5" x14ac:dyDescent="0.2">
      <c r="A13" s="116">
        <v>955</v>
      </c>
      <c r="B13" s="116" t="s">
        <v>555</v>
      </c>
      <c r="C13" s="118" t="s">
        <v>348</v>
      </c>
    </row>
    <row r="14" spans="1:3" ht="31.5" x14ac:dyDescent="0.2">
      <c r="A14" s="116">
        <v>955</v>
      </c>
      <c r="B14" s="116" t="s">
        <v>556</v>
      </c>
      <c r="C14" s="118" t="s">
        <v>349</v>
      </c>
    </row>
    <row r="15" spans="1:3" ht="130.5" customHeight="1" x14ac:dyDescent="0.2">
      <c r="A15" s="116">
        <v>955</v>
      </c>
      <c r="B15" s="116" t="s">
        <v>557</v>
      </c>
      <c r="C15" s="118" t="s">
        <v>558</v>
      </c>
    </row>
    <row r="16" spans="1:3" ht="63" x14ac:dyDescent="0.2">
      <c r="A16" s="116">
        <v>955</v>
      </c>
      <c r="B16" s="116" t="s">
        <v>559</v>
      </c>
      <c r="C16" s="118" t="s">
        <v>560</v>
      </c>
    </row>
    <row r="17" spans="1:3" ht="78.75" x14ac:dyDescent="0.2">
      <c r="A17" s="116">
        <v>955</v>
      </c>
      <c r="B17" s="116" t="s">
        <v>561</v>
      </c>
      <c r="C17" s="118" t="s">
        <v>562</v>
      </c>
    </row>
    <row r="18" spans="1:3" ht="63" x14ac:dyDescent="0.25">
      <c r="A18" s="119">
        <v>955</v>
      </c>
      <c r="B18" s="119" t="s">
        <v>563</v>
      </c>
      <c r="C18" s="120" t="s">
        <v>564</v>
      </c>
    </row>
    <row r="19" spans="1:3" ht="63" x14ac:dyDescent="0.25">
      <c r="A19" s="119">
        <v>955</v>
      </c>
      <c r="B19" s="119" t="s">
        <v>565</v>
      </c>
      <c r="C19" s="120" t="s">
        <v>566</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59</vt:i4>
      </vt:variant>
      <vt:variant>
        <vt:lpstr>Именованные диапазоны</vt:lpstr>
      </vt:variant>
      <vt:variant>
        <vt:i4>63</vt:i4>
      </vt:variant>
    </vt:vector>
  </HeadingPairs>
  <TitlesOfParts>
    <vt:vector size="122"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Пр12_</vt:lpstr>
      <vt:lpstr>Пр_15</vt:lpstr>
      <vt:lpstr>Пр3</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Пр17</vt:lpstr>
      <vt:lpstr>Пр.14</vt:lpstr>
      <vt:lpstr>Пр.18</vt:lpstr>
      <vt:lpstr>Пр19</vt:lpstr>
      <vt:lpstr>Пр.21</vt:lpstr>
      <vt:lpstr>Пр.19</vt:lpstr>
      <vt:lpstr>Пр.20</vt:lpstr>
      <vt:lpstr>Пр21</vt:lpstr>
      <vt:lpstr>КФСР</vt:lpstr>
      <vt:lpstr>Пр15</vt:lpstr>
      <vt:lpstr>Пр16</vt:lpstr>
      <vt:lpstr>Пр.17</vt:lpstr>
      <vt:lpstr>Программа</vt:lpstr>
      <vt:lpstr>Пр.-18</vt:lpstr>
      <vt:lpstr>Пр.-21</vt:lpstr>
      <vt:lpstr>Пр. 22</vt:lpstr>
      <vt:lpstr>Направление</vt:lpstr>
      <vt:lpstr>Лист6</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 22'!Область_печати</vt:lpstr>
      <vt:lpstr>Пр.13!Область_печати</vt:lpstr>
      <vt:lpstr>Пр.14!Область_печати</vt:lpstr>
      <vt:lpstr>Пр.18!Область_печати</vt:lpstr>
      <vt:lpstr>'Пр.-21'!Область_печати</vt:lpstr>
      <vt:lpstr>Пр_15!Область_печати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Пр2!Область_печати</vt:lpstr>
      <vt:lpstr>Пр21!Область_печати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Администратор</cp:lastModifiedBy>
  <cp:lastPrinted>2018-12-20T07:54:48Z</cp:lastPrinted>
  <dcterms:created xsi:type="dcterms:W3CDTF">2016-11-11T16:27:02Z</dcterms:created>
  <dcterms:modified xsi:type="dcterms:W3CDTF">2018-12-20T07:56:51Z</dcterms:modified>
</cp:coreProperties>
</file>