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tabRatio="730" activeTab="7"/>
  </bookViews>
  <sheets>
    <sheet name="Пр1" sheetId="57" r:id="rId1"/>
    <sheet name="Пр2" sheetId="1" r:id="rId2"/>
    <sheet name="Пр3" sheetId="3" r:id="rId3"/>
    <sheet name="Пр4" sheetId="5" r:id="rId4"/>
    <sheet name="Пр5" sheetId="7" r:id="rId5"/>
    <sheet name="Пр6" sheetId="14" r:id="rId6"/>
    <sheet name="Пр7" sheetId="75" r:id="rId7"/>
    <sheet name="Пр8" sheetId="49" r:id="rId8"/>
    <sheet name="КВСР" sheetId="31" state="hidden" r:id="rId9"/>
    <sheet name="КФСР" sheetId="51" state="hidden" r:id="rId10"/>
    <sheet name="Программа" sheetId="53" state="hidden" r:id="rId11"/>
    <sheet name="Направление" sheetId="52" state="hidden" r:id="rId12"/>
    <sheet name="КВР" sheetId="33" state="hidden" r:id="rId13"/>
  </sheets>
  <externalReferences>
    <externalReference r:id="rId14"/>
    <externalReference r:id="rId15"/>
  </externalReferences>
  <definedNames>
    <definedName name="_GoBack" localSheetId="4">Пр5!$A$38</definedName>
    <definedName name="_xlnm._FilterDatabase" localSheetId="8">КВСР!$A$2:$B$1166</definedName>
    <definedName name="_xlnm._FilterDatabase" localSheetId="9">КФСР!$A$1400:$B$1478</definedName>
    <definedName name="_xlnm._FilterDatabase" localSheetId="1" hidden="1">Пр2!$A$8:$K$89</definedName>
    <definedName name="_xlnm._FilterDatabase" localSheetId="3" hidden="1">Пр4!$A$9:$E$23</definedName>
    <definedName name="_xlnm._FilterDatabase" localSheetId="5" hidden="1">Пр6!$F$1:$F$263</definedName>
    <definedName name="_xlnm._FilterDatabase" localSheetId="6" hidden="1">Пр7!$F$1:$F$126</definedName>
    <definedName name="_xlnm._FilterDatabase" localSheetId="7" hidden="1">Пр8!$F$1:$F$113</definedName>
    <definedName name="Z_66DBF0AC_E9A0_482F_9E41_1928B6CA83DC_.wvu.Cols" localSheetId="2">Пр3!#REF!</definedName>
    <definedName name="Z_66DBF0AC_E9A0_482F_9E41_1928B6CA83DC_.wvu.Cols" localSheetId="3">Пр4!#REF!</definedName>
    <definedName name="Z_66DBF0AC_E9A0_482F_9E41_1928B6CA83DC_.wvu.FilterData" localSheetId="5">Пр6!$A$9:$F$262</definedName>
    <definedName name="Z_66DBF0AC_E9A0_482F_9E41_1928B6CA83DC_.wvu.Rows" localSheetId="3">Пр4!#REF!,Пр4!#REF!</definedName>
    <definedName name="Z_91923F83_3A6B_4204_9891_178562AB34F1_.wvu.Cols" localSheetId="2">Пр3!#REF!</definedName>
    <definedName name="Z_91923F83_3A6B_4204_9891_178562AB34F1_.wvu.Cols" localSheetId="3">Пр4!#REF!</definedName>
    <definedName name="Z_91923F83_3A6B_4204_9891_178562AB34F1_.wvu.FilterData" localSheetId="5">Пр6!$A$9:$F$262</definedName>
    <definedName name="Z_91923F83_3A6B_4204_9891_178562AB34F1_.wvu.PrintArea" localSheetId="1">Пр2!$A$1:$I$89</definedName>
    <definedName name="Z_91923F83_3A6B_4204_9891_178562AB34F1_.wvu.PrintArea" localSheetId="2">Пр3!$A$1:$B$117</definedName>
    <definedName name="Z_91923F83_3A6B_4204_9891_178562AB34F1_.wvu.PrintArea" localSheetId="5">Пр6!$A$1:$F$262</definedName>
    <definedName name="Z_91923F83_3A6B_4204_9891_178562AB34F1_.wvu.Rows" localSheetId="2">Пр3!$23:$23</definedName>
    <definedName name="Z_91923F83_3A6B_4204_9891_178562AB34F1_.wvu.Rows" localSheetId="3">Пр4!#REF!,Пр4!#REF!</definedName>
    <definedName name="Z_A5E41FC9_89B1_40D2_B587_57BC4C5E4715_.wvu.Cols" localSheetId="2">Пр3!#REF!</definedName>
    <definedName name="Z_A5E41FC9_89B1_40D2_B587_57BC4C5E4715_.wvu.Cols" localSheetId="3">Пр4!#REF!</definedName>
    <definedName name="Z_A5E41FC9_89B1_40D2_B587_57BC4C5E4715_.wvu.FilterData" localSheetId="5">Пр6!$A$9:$F$262</definedName>
    <definedName name="Z_A5E41FC9_89B1_40D2_B587_57BC4C5E4715_.wvu.PrintArea" localSheetId="1">Пр2!$A$1:$I$89</definedName>
    <definedName name="Z_A5E41FC9_89B1_40D2_B587_57BC4C5E4715_.wvu.PrintArea" localSheetId="2">Пр3!$A$1:$B$117</definedName>
    <definedName name="Z_A5E41FC9_89B1_40D2_B587_57BC4C5E4715_.wvu.PrintArea" localSheetId="5">Пр6!$A$1:$F$262</definedName>
    <definedName name="Z_A5E41FC9_89B1_40D2_B587_57BC4C5E4715_.wvu.Rows" localSheetId="2">Пр3!$23:$23</definedName>
    <definedName name="Z_A5E41FC9_89B1_40D2_B587_57BC4C5E4715_.wvu.Rows" localSheetId="3">Пр4!#REF!,Пр4!#REF!</definedName>
    <definedName name="Z_B3311466_F005_49F1_A579_3E6CECE305A8_.wvu.Cols" localSheetId="2">Пр3!#REF!</definedName>
    <definedName name="Z_B3311466_F005_49F1_A579_3E6CECE305A8_.wvu.Cols" localSheetId="3">Пр4!#REF!</definedName>
    <definedName name="Z_B3311466_F005_49F1_A579_3E6CECE305A8_.wvu.FilterData" localSheetId="5">Пр6!$A$9:$F$262</definedName>
    <definedName name="Z_B3311466_F005_49F1_A579_3E6CECE305A8_.wvu.PrintArea" localSheetId="1">Пр2!$A$1:$I$89</definedName>
    <definedName name="Z_B3311466_F005_49F1_A579_3E6CECE305A8_.wvu.PrintArea" localSheetId="2">Пр3!$A$1:$B$117</definedName>
    <definedName name="Z_B3311466_F005_49F1_A579_3E6CECE305A8_.wvu.PrintArea" localSheetId="5">Пр6!$A$1:$F$262</definedName>
    <definedName name="Z_B3311466_F005_49F1_A579_3E6CECE305A8_.wvu.Rows" localSheetId="2">Пр3!$23:$23</definedName>
    <definedName name="Z_B3311466_F005_49F1_A579_3E6CECE305A8_.wvu.Rows" localSheetId="3">Пр4!#REF!,Пр4!#REF!</definedName>
    <definedName name="Z_E51CBA0A_8A1C_44BF_813B_86B1F7C678D3_.wvu.FilterData" localSheetId="5">Пр6!$A$9:$F$262</definedName>
    <definedName name="Z_E5662E33_D4B0_43EA_9B06_C8DA9DFDBEF6_.wvu.Cols" localSheetId="2">Пр3!#REF!</definedName>
    <definedName name="Z_E5662E33_D4B0_43EA_9B06_C8DA9DFDBEF6_.wvu.Cols" localSheetId="3">Пр4!#REF!</definedName>
    <definedName name="Z_E5662E33_D4B0_43EA_9B06_C8DA9DFDBEF6_.wvu.FilterData" localSheetId="5">Пр6!$A$9:$F$262</definedName>
    <definedName name="Z_E5662E33_D4B0_43EA_9B06_C8DA9DFDBEF6_.wvu.PrintArea" localSheetId="1">Пр2!$A$1:$I$89</definedName>
    <definedName name="Z_E5662E33_D4B0_43EA_9B06_C8DA9DFDBEF6_.wvu.PrintArea" localSheetId="2">Пр3!$A$1:$B$117</definedName>
    <definedName name="Z_E5662E33_D4B0_43EA_9B06_C8DA9DFDBEF6_.wvu.PrintArea" localSheetId="3">Пр4!$A$1:$B$22</definedName>
    <definedName name="Z_E5662E33_D4B0_43EA_9B06_C8DA9DFDBEF6_.wvu.PrintArea" localSheetId="5">Пр6!$A$1:$F$262</definedName>
    <definedName name="Z_E5662E33_D4B0_43EA_9B06_C8DA9DFDBEF6_.wvu.Rows" localSheetId="2">Пр3!$23:$23</definedName>
    <definedName name="Z_E5662E33_D4B0_43EA_9B06_C8DA9DFDBEF6_.wvu.Rows" localSheetId="3">Пр4!#REF!,Пр4!#REF!</definedName>
    <definedName name="Z_F3607253_7816_4CF7_9CFD_2ADFFAD916F8_.wvu.Cols" localSheetId="2">Пр3!#REF!</definedName>
    <definedName name="Z_F3607253_7816_4CF7_9CFD_2ADFFAD916F8_.wvu.Cols" localSheetId="3">Пр4!#REF!</definedName>
    <definedName name="Z_F3607253_7816_4CF7_9CFD_2ADFFAD916F8_.wvu.FilterData" localSheetId="5">Пр6!$A$9:$F$262</definedName>
    <definedName name="Z_F3607253_7816_4CF7_9CFD_2ADFFAD916F8_.wvu.PrintArea" localSheetId="1">Пр2!$A$1:$I$89</definedName>
    <definedName name="Z_F3607253_7816_4CF7_9CFD_2ADFFAD916F8_.wvu.PrintArea" localSheetId="2">Пр3!$A$1:$B$117</definedName>
    <definedName name="Z_F3607253_7816_4CF7_9CFD_2ADFFAD916F8_.wvu.PrintArea" localSheetId="5">Пр6!$A$1:$F$262</definedName>
    <definedName name="Z_F3607253_7816_4CF7_9CFD_2ADFFAD916F8_.wvu.Rows" localSheetId="2">Пр3!$23:$23</definedName>
    <definedName name="Z_F3607253_7816_4CF7_9CFD_2ADFFAD916F8_.wvu.Rows" localSheetId="3">Пр4!#REF!,Пр4!#REF!</definedName>
    <definedName name="_xlnm.Print_Titles" localSheetId="5">Пр6!$8:$9</definedName>
    <definedName name="_xlnm.Print_Area" localSheetId="12">КВР!$A$1820:$B$1930</definedName>
    <definedName name="_xlnm.Print_Area" localSheetId="8">КВСР!$A$1000:$B$1167</definedName>
    <definedName name="_xlnm.Print_Area" localSheetId="9">КФСР!$A$1:$B$1501</definedName>
    <definedName name="_xlnm.Print_Area" localSheetId="0">Пр1!$A$1:$D$25</definedName>
    <definedName name="_xlnm.Print_Area" localSheetId="1">Пр2!$A$1:$K$89</definedName>
    <definedName name="_xlnm.Print_Area" localSheetId="2">Пр3!$A$1:$E$119</definedName>
    <definedName name="_xlnm.Print_Area" localSheetId="3">Пр4!$A$1:$E$23</definedName>
    <definedName name="_xlnm.Print_Area" localSheetId="4">Пр5!$A$1:$E$35</definedName>
    <definedName name="_xlnm.Print_Area" localSheetId="5">Пр6!$A$1:$I$263</definedName>
    <definedName name="_xlnm.Print_Area" localSheetId="6">Пр7!$A$1:$F$55</definedName>
    <definedName name="_xlnm.Print_Area" localSheetId="7">Пр8!$B$1:$F$113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7" l="1"/>
  <c r="B30" i="7" s="1"/>
  <c r="B19" i="7"/>
  <c r="B17" i="7" s="1"/>
  <c r="B14" i="7"/>
  <c r="B22" i="7" l="1"/>
  <c r="B20" i="7"/>
  <c r="B23" i="7" s="1"/>
  <c r="E11" i="5" l="1"/>
  <c r="E12" i="5"/>
  <c r="E13" i="5"/>
  <c r="E14" i="5"/>
  <c r="E15" i="5"/>
  <c r="E16" i="5"/>
  <c r="E17" i="5"/>
  <c r="E18" i="5"/>
  <c r="E10" i="5"/>
  <c r="C13" i="5"/>
  <c r="C12" i="57" l="1"/>
  <c r="C13" i="57"/>
  <c r="B13" i="57"/>
  <c r="C14" i="57"/>
  <c r="B14" i="57"/>
  <c r="K10" i="1"/>
  <c r="D45" i="3"/>
  <c r="D41" i="3"/>
  <c r="D15" i="3"/>
  <c r="G153" i="14"/>
  <c r="G160" i="14"/>
  <c r="G161" i="14"/>
  <c r="G162" i="14"/>
  <c r="G174" i="14"/>
  <c r="G178" i="14"/>
  <c r="G180" i="14"/>
  <c r="G142" i="14"/>
  <c r="G144" i="14"/>
  <c r="G146" i="14"/>
  <c r="G148" i="14"/>
  <c r="G150" i="14"/>
  <c r="G129" i="14"/>
  <c r="G139" i="14"/>
  <c r="G134" i="14" s="1"/>
  <c r="G130" i="14" s="1"/>
  <c r="G137" i="14"/>
  <c r="G135" i="14"/>
  <c r="G131" i="14"/>
  <c r="G132" i="14"/>
  <c r="G184" i="14"/>
  <c r="G185" i="14"/>
  <c r="G186" i="14"/>
  <c r="G188" i="14"/>
  <c r="G189" i="14"/>
  <c r="G194" i="14"/>
  <c r="G191" i="14" s="1"/>
  <c r="G192" i="14"/>
  <c r="G198" i="14"/>
  <c r="G200" i="14"/>
  <c r="G202" i="14"/>
  <c r="G204" i="14"/>
  <c r="G206" i="14"/>
  <c r="G208" i="14"/>
  <c r="G210" i="14"/>
  <c r="G212" i="14"/>
  <c r="G211" i="14" s="1"/>
  <c r="G213" i="14"/>
  <c r="G215" i="14"/>
  <c r="G217" i="14"/>
  <c r="G219" i="14"/>
  <c r="G220" i="14"/>
  <c r="G222" i="14"/>
  <c r="G223" i="14"/>
  <c r="G224" i="14"/>
  <c r="G228" i="14"/>
  <c r="G227" i="14" s="1"/>
  <c r="G226" i="14" s="1"/>
  <c r="G230" i="14"/>
  <c r="G231" i="14"/>
  <c r="G232" i="14"/>
  <c r="G234" i="14"/>
  <c r="G235" i="14"/>
  <c r="G236" i="14"/>
  <c r="G238" i="14"/>
  <c r="G239" i="14"/>
  <c r="G240" i="14"/>
  <c r="G241" i="14"/>
  <c r="G242" i="14"/>
  <c r="G245" i="14"/>
  <c r="G246" i="14"/>
  <c r="G248" i="14"/>
  <c r="G250" i="14"/>
  <c r="G251" i="14"/>
  <c r="G252" i="14"/>
  <c r="G254" i="14"/>
  <c r="G255" i="14"/>
  <c r="G256" i="14"/>
  <c r="G258" i="14"/>
  <c r="G259" i="14"/>
  <c r="G260" i="14"/>
  <c r="G261" i="14"/>
  <c r="G111" i="14"/>
  <c r="G125" i="14"/>
  <c r="G126" i="14"/>
  <c r="G71" i="14"/>
  <c r="G72" i="14"/>
  <c r="G75" i="14"/>
  <c r="G67" i="14"/>
  <c r="G68" i="14"/>
  <c r="G69" i="14"/>
  <c r="G65" i="14"/>
  <c r="G64" i="14"/>
  <c r="G56" i="14" s="1"/>
  <c r="G57" i="14"/>
  <c r="G58" i="14"/>
  <c r="G59" i="14"/>
  <c r="G62" i="14"/>
  <c r="G60" i="14"/>
  <c r="G31" i="14"/>
  <c r="G54" i="14"/>
  <c r="G50" i="14"/>
  <c r="G48" i="14"/>
  <c r="G46" i="14"/>
  <c r="G44" i="14"/>
  <c r="G42" i="14"/>
  <c r="G40" i="14"/>
  <c r="G38" i="14"/>
  <c r="G36" i="14"/>
  <c r="G34" i="14"/>
  <c r="G32" i="14"/>
  <c r="G25" i="14"/>
  <c r="G26" i="14"/>
  <c r="G29" i="14"/>
  <c r="G28" i="14" s="1"/>
  <c r="G24" i="14" s="1"/>
  <c r="G16" i="14" s="1"/>
  <c r="G15" i="14" s="1"/>
  <c r="G17" i="14"/>
  <c r="G18" i="14"/>
  <c r="G19" i="14"/>
  <c r="G11" i="14"/>
  <c r="G12" i="14"/>
  <c r="G13" i="14"/>
  <c r="H195" i="14"/>
  <c r="H85" i="14"/>
  <c r="H243" i="14"/>
  <c r="B21" i="57"/>
  <c r="B20" i="57"/>
  <c r="A28" i="57"/>
  <c r="A21" i="57"/>
  <c r="A20" i="57"/>
  <c r="G197" i="14" l="1"/>
  <c r="G196" i="14" s="1"/>
  <c r="G183" i="14" s="1"/>
  <c r="G182" i="14" s="1"/>
  <c r="B12" i="57"/>
  <c r="G171" i="14"/>
  <c r="G152" i="14" s="1"/>
  <c r="G141" i="14"/>
  <c r="G128" i="14" s="1"/>
  <c r="B18" i="57"/>
  <c r="D13" i="57"/>
  <c r="D14" i="57"/>
  <c r="A27" i="57" l="1"/>
  <c r="A29" i="57" s="1"/>
  <c r="D12" i="57"/>
  <c r="K82" i="1" l="1"/>
  <c r="K81" i="1" s="1"/>
  <c r="K80" i="1" s="1"/>
  <c r="J82" i="1"/>
  <c r="J81" i="1" s="1"/>
  <c r="K78" i="1"/>
  <c r="K76" i="1" s="1"/>
  <c r="J71" i="1"/>
  <c r="J69" i="1"/>
  <c r="K56" i="1"/>
  <c r="K52" i="1"/>
  <c r="K49" i="1" s="1"/>
  <c r="J52" i="1"/>
  <c r="J49" i="1" s="1"/>
  <c r="K41" i="1"/>
  <c r="J41" i="1"/>
  <c r="K20" i="1" l="1"/>
  <c r="J20" i="1"/>
  <c r="D13" i="5" l="1"/>
  <c r="C22" i="5"/>
  <c r="I207" i="14"/>
  <c r="H206" i="14"/>
  <c r="I206" i="14" s="1"/>
  <c r="A206" i="14"/>
  <c r="A207" i="14"/>
  <c r="J45" i="1" l="1"/>
  <c r="J44" i="1" s="1"/>
  <c r="J39" i="1"/>
  <c r="J38" i="1" s="1"/>
  <c r="J35" i="1"/>
  <c r="J33" i="1"/>
  <c r="J30" i="1"/>
  <c r="J27" i="1"/>
  <c r="J23" i="1"/>
  <c r="J17" i="1"/>
  <c r="J15" i="1"/>
  <c r="J13" i="1"/>
  <c r="J11" i="1"/>
  <c r="K72" i="1"/>
  <c r="J56" i="1"/>
  <c r="J58" i="1"/>
  <c r="J60" i="1"/>
  <c r="J62" i="1"/>
  <c r="J64" i="1"/>
  <c r="J66" i="1"/>
  <c r="J68" i="1"/>
  <c r="J70" i="1"/>
  <c r="J72" i="1"/>
  <c r="J78" i="1"/>
  <c r="J76" i="1" s="1"/>
  <c r="J80" i="1"/>
  <c r="J22" i="1" l="1"/>
  <c r="J32" i="1"/>
  <c r="J55" i="1"/>
  <c r="J48" i="1" s="1"/>
  <c r="J47" i="1" l="1"/>
  <c r="B15" i="57" s="1"/>
  <c r="B10" i="57" s="1"/>
  <c r="B23" i="57" s="1"/>
  <c r="B17" i="57"/>
  <c r="J10" i="1"/>
  <c r="J89" i="1" s="1"/>
  <c r="C21" i="5" s="1"/>
  <c r="A31" i="57" l="1"/>
  <c r="A30" i="57"/>
  <c r="K27" i="1"/>
  <c r="K58" i="1" l="1"/>
  <c r="K60" i="1"/>
  <c r="K62" i="1"/>
  <c r="K64" i="1"/>
  <c r="K66" i="1"/>
  <c r="K68" i="1"/>
  <c r="K35" i="1"/>
  <c r="K33" i="1"/>
  <c r="K30" i="1"/>
  <c r="K23" i="1"/>
  <c r="K11" i="1"/>
  <c r="K70" i="1" l="1"/>
  <c r="K55" i="1" l="1"/>
  <c r="H173" i="14" l="1"/>
  <c r="B110" i="49" l="1"/>
  <c r="D18" i="49"/>
  <c r="B18" i="49"/>
  <c r="I212" i="14"/>
  <c r="I211" i="14" s="1"/>
  <c r="A212" i="14"/>
  <c r="A211" i="14"/>
  <c r="H215" i="14"/>
  <c r="I216" i="14"/>
  <c r="I215" i="14" s="1"/>
  <c r="A215" i="14"/>
  <c r="A216" i="14"/>
  <c r="I214" i="14"/>
  <c r="I213" i="14" s="1"/>
  <c r="A214" i="14"/>
  <c r="H213" i="14"/>
  <c r="E18" i="49" s="1"/>
  <c r="A213" i="14"/>
  <c r="F18" i="49" l="1"/>
  <c r="H211" i="14"/>
  <c r="I173" i="14"/>
  <c r="I172" i="14" s="1"/>
  <c r="A173" i="14"/>
  <c r="H172" i="14"/>
  <c r="A172" i="14"/>
  <c r="H135" i="14" l="1"/>
  <c r="K45" i="1" l="1"/>
  <c r="K44" i="1" s="1"/>
  <c r="K39" i="1"/>
  <c r="K38" i="1" s="1"/>
  <c r="D110" i="49" l="1"/>
  <c r="A105" i="14"/>
  <c r="I106" i="14"/>
  <c r="I105" i="14" s="1"/>
  <c r="A106" i="14"/>
  <c r="H105" i="14"/>
  <c r="E110" i="49" s="1"/>
  <c r="F110" i="49" l="1"/>
  <c r="K48" i="1"/>
  <c r="C17" i="57" s="1"/>
  <c r="D17" i="57" s="1"/>
  <c r="H96" i="14"/>
  <c r="K47" i="1" l="1"/>
  <c r="C15" i="57" s="1"/>
  <c r="C10" i="57" l="1"/>
  <c r="D10" i="57" s="1"/>
  <c r="D15" i="57"/>
  <c r="D40" i="75"/>
  <c r="B40" i="75"/>
  <c r="D112" i="49" l="1"/>
  <c r="D111" i="49"/>
  <c r="F109" i="49"/>
  <c r="E109" i="49"/>
  <c r="D109" i="49"/>
  <c r="F108" i="49"/>
  <c r="E108" i="49"/>
  <c r="D108" i="49"/>
  <c r="F107" i="49"/>
  <c r="E107" i="49"/>
  <c r="D107" i="49"/>
  <c r="D106" i="49"/>
  <c r="D105" i="49"/>
  <c r="F104" i="49"/>
  <c r="E104" i="49"/>
  <c r="D104" i="49"/>
  <c r="D103" i="49"/>
  <c r="D102" i="49"/>
  <c r="F101" i="49"/>
  <c r="E101" i="49"/>
  <c r="D101" i="49"/>
  <c r="F100" i="49"/>
  <c r="E100" i="49"/>
  <c r="D100" i="49"/>
  <c r="D99" i="49"/>
  <c r="D98" i="49"/>
  <c r="F97" i="49"/>
  <c r="E97" i="49"/>
  <c r="D97" i="49"/>
  <c r="D96" i="49"/>
  <c r="D95" i="49"/>
  <c r="D94" i="49"/>
  <c r="D93" i="49"/>
  <c r="D92" i="49"/>
  <c r="D91" i="49"/>
  <c r="F90" i="49"/>
  <c r="E90" i="49"/>
  <c r="D90" i="49"/>
  <c r="F89" i="49"/>
  <c r="E89" i="49"/>
  <c r="D89" i="49"/>
  <c r="F88" i="49"/>
  <c r="E88" i="49"/>
  <c r="D88" i="49"/>
  <c r="F87" i="49"/>
  <c r="E87" i="49"/>
  <c r="D87" i="49"/>
  <c r="F86" i="49"/>
  <c r="E86" i="49"/>
  <c r="D86" i="49"/>
  <c r="D85" i="49"/>
  <c r="D84" i="49"/>
  <c r="F83" i="49"/>
  <c r="E83" i="49"/>
  <c r="D83" i="49"/>
  <c r="F82" i="49"/>
  <c r="E82" i="49"/>
  <c r="D82" i="49"/>
  <c r="F81" i="49"/>
  <c r="E81" i="49"/>
  <c r="D81" i="49"/>
  <c r="F80" i="49"/>
  <c r="E80" i="49"/>
  <c r="D80" i="49"/>
  <c r="F79" i="49"/>
  <c r="E79" i="49"/>
  <c r="D79" i="49"/>
  <c r="F78" i="49"/>
  <c r="E78" i="49"/>
  <c r="D78" i="49"/>
  <c r="D77" i="49"/>
  <c r="F76" i="49"/>
  <c r="E76" i="49"/>
  <c r="D76" i="49"/>
  <c r="F75" i="49"/>
  <c r="E75" i="49"/>
  <c r="D75" i="49"/>
  <c r="F74" i="49"/>
  <c r="E74" i="49"/>
  <c r="D74" i="49"/>
  <c r="F73" i="49"/>
  <c r="E73" i="49"/>
  <c r="D73" i="49"/>
  <c r="D72" i="49"/>
  <c r="D71" i="49"/>
  <c r="F70" i="49"/>
  <c r="E70" i="49"/>
  <c r="D70" i="49"/>
  <c r="D69" i="49"/>
  <c r="F68" i="49"/>
  <c r="E68" i="49"/>
  <c r="D68" i="49"/>
  <c r="D67" i="49"/>
  <c r="D64" i="49"/>
  <c r="F63" i="49"/>
  <c r="E63" i="49"/>
  <c r="D63" i="49"/>
  <c r="F62" i="49"/>
  <c r="E62" i="49"/>
  <c r="D62" i="49"/>
  <c r="D61" i="49"/>
  <c r="D60" i="49"/>
  <c r="D59" i="49"/>
  <c r="D54" i="49"/>
  <c r="D53" i="49"/>
  <c r="F52" i="49"/>
  <c r="E52" i="49"/>
  <c r="D52" i="49"/>
  <c r="F51" i="49"/>
  <c r="E51" i="49"/>
  <c r="D51" i="49"/>
  <c r="F50" i="49"/>
  <c r="E50" i="49"/>
  <c r="D50" i="49"/>
  <c r="F49" i="49"/>
  <c r="E49" i="49"/>
  <c r="D49" i="49"/>
  <c r="D48" i="49"/>
  <c r="F47" i="49"/>
  <c r="E47" i="49"/>
  <c r="D47" i="49"/>
  <c r="F46" i="49"/>
  <c r="E46" i="49"/>
  <c r="D46" i="49"/>
  <c r="D45" i="49"/>
  <c r="D44" i="49"/>
  <c r="D43" i="49"/>
  <c r="D42" i="49"/>
  <c r="D41" i="49"/>
  <c r="D40" i="49"/>
  <c r="D39" i="49"/>
  <c r="F38" i="49"/>
  <c r="E38" i="49"/>
  <c r="D38" i="49"/>
  <c r="F37" i="49"/>
  <c r="E37" i="49"/>
  <c r="D37" i="49"/>
  <c r="F36" i="49"/>
  <c r="E36" i="49"/>
  <c r="D36" i="49"/>
  <c r="D35" i="49"/>
  <c r="D34" i="49"/>
  <c r="F33" i="49"/>
  <c r="E33" i="49"/>
  <c r="D33" i="49"/>
  <c r="F32" i="49"/>
  <c r="E32" i="49"/>
  <c r="D32" i="49"/>
  <c r="F31" i="49"/>
  <c r="E31" i="49"/>
  <c r="D31" i="49"/>
  <c r="F30" i="49"/>
  <c r="E30" i="49"/>
  <c r="D30" i="49"/>
  <c r="F29" i="49"/>
  <c r="E29" i="49"/>
  <c r="D29" i="49"/>
  <c r="F28" i="49"/>
  <c r="E28" i="49"/>
  <c r="D28" i="49"/>
  <c r="D27" i="49"/>
  <c r="D26" i="49"/>
  <c r="F25" i="49"/>
  <c r="E25" i="49"/>
  <c r="D25" i="49"/>
  <c r="D24" i="49"/>
  <c r="F23" i="49"/>
  <c r="E23" i="49"/>
  <c r="D23" i="49"/>
  <c r="D22" i="49"/>
  <c r="F21" i="49"/>
  <c r="E21" i="49"/>
  <c r="D21" i="49"/>
  <c r="D20" i="49"/>
  <c r="D19" i="49"/>
  <c r="D16" i="49"/>
  <c r="D13" i="49"/>
  <c r="I218" i="14" l="1"/>
  <c r="I217" i="14" s="1"/>
  <c r="I210" i="14" s="1"/>
  <c r="I193" i="14"/>
  <c r="I192" i="14" s="1"/>
  <c r="I190" i="14"/>
  <c r="I189" i="14" s="1"/>
  <c r="I108" i="14"/>
  <c r="I107" i="14" s="1"/>
  <c r="I30" i="14"/>
  <c r="I29" i="14" s="1"/>
  <c r="I28" i="14" s="1"/>
  <c r="I188" i="14" l="1"/>
  <c r="D52" i="75" l="1"/>
  <c r="B52" i="75"/>
  <c r="D51" i="75"/>
  <c r="B51" i="75"/>
  <c r="A188" i="14" l="1"/>
  <c r="H217" i="14" l="1"/>
  <c r="H210" i="14" s="1"/>
  <c r="A210" i="14"/>
  <c r="A217" i="14"/>
  <c r="A218" i="14"/>
  <c r="H189" i="14"/>
  <c r="H192" i="14"/>
  <c r="E98" i="49" s="1"/>
  <c r="F98" i="49" s="1"/>
  <c r="H188" i="14" l="1"/>
  <c r="E95" i="49"/>
  <c r="F95" i="49" s="1"/>
  <c r="E112" i="49"/>
  <c r="F112" i="49" s="1"/>
  <c r="A192" i="14"/>
  <c r="A193" i="14"/>
  <c r="A189" i="14"/>
  <c r="A190" i="14"/>
  <c r="H109" i="14" l="1"/>
  <c r="A109" i="14"/>
  <c r="K17" i="1" l="1"/>
  <c r="K15" i="1"/>
  <c r="K13" i="1"/>
  <c r="K32" i="1" l="1"/>
  <c r="K22" i="1"/>
  <c r="K89" i="1" l="1"/>
  <c r="D21" i="5" l="1"/>
  <c r="E21" i="5" s="1"/>
  <c r="C119" i="3"/>
  <c r="H29" i="14" l="1"/>
  <c r="H28" i="14" s="1"/>
  <c r="E40" i="75" s="1"/>
  <c r="F40" i="75" s="1"/>
  <c r="A28" i="14"/>
  <c r="A29" i="14"/>
  <c r="A30" i="14"/>
  <c r="H81" i="14" l="1"/>
  <c r="I147" i="14"/>
  <c r="I143" i="14"/>
  <c r="I140" i="14"/>
  <c r="I136" i="14"/>
  <c r="I133" i="14"/>
  <c r="I127" i="14"/>
  <c r="I102" i="14"/>
  <c r="I100" i="14"/>
  <c r="I97" i="14"/>
  <c r="I95" i="14"/>
  <c r="I93" i="14"/>
  <c r="I91" i="14"/>
  <c r="I89" i="14"/>
  <c r="I85" i="14"/>
  <c r="I82" i="14"/>
  <c r="I76" i="14"/>
  <c r="I70" i="14"/>
  <c r="I66" i="14"/>
  <c r="I63" i="14"/>
  <c r="I61" i="14"/>
  <c r="I55" i="14"/>
  <c r="I51" i="14"/>
  <c r="I49" i="14"/>
  <c r="I47" i="14"/>
  <c r="I45" i="14"/>
  <c r="I43" i="14"/>
  <c r="I41" i="14"/>
  <c r="I39" i="14"/>
  <c r="I37" i="14"/>
  <c r="I35" i="14"/>
  <c r="I33" i="14"/>
  <c r="I23" i="14"/>
  <c r="I27" i="14"/>
  <c r="I26" i="14" s="1"/>
  <c r="I25" i="14" s="1"/>
  <c r="I24" i="14" s="1"/>
  <c r="I20" i="14"/>
  <c r="I19" i="14" s="1"/>
  <c r="I18" i="14" s="1"/>
  <c r="I14" i="14"/>
  <c r="I149" i="14"/>
  <c r="I151" i="14"/>
  <c r="I163" i="14"/>
  <c r="I170" i="14"/>
  <c r="I167" i="14"/>
  <c r="I179" i="14"/>
  <c r="I181" i="14"/>
  <c r="H180" i="14" l="1"/>
  <c r="E77" i="49" s="1"/>
  <c r="F77" i="49" s="1"/>
  <c r="I81" i="14"/>
  <c r="A110" i="14" l="1"/>
  <c r="B94" i="49" l="1"/>
  <c r="H54" i="14"/>
  <c r="E94" i="49" s="1"/>
  <c r="F94" i="49" s="1"/>
  <c r="I53" i="14"/>
  <c r="I54" i="14"/>
  <c r="A55" i="14"/>
  <c r="A54" i="14"/>
  <c r="H94" i="14" l="1"/>
  <c r="E85" i="49" s="1"/>
  <c r="F85" i="49" s="1"/>
  <c r="B83" i="49" l="1"/>
  <c r="I199" i="14" l="1"/>
  <c r="I198" i="14" s="1"/>
  <c r="F16" i="49" s="1"/>
  <c r="A199" i="14"/>
  <c r="H198" i="14"/>
  <c r="E16" i="49" s="1"/>
  <c r="A198" i="14"/>
  <c r="C55" i="3" l="1"/>
  <c r="H22" i="14"/>
  <c r="H21" i="14" s="1"/>
  <c r="I22" i="14"/>
  <c r="I21" i="14" s="1"/>
  <c r="I17" i="14" s="1"/>
  <c r="I16" i="14" s="1"/>
  <c r="A23" i="14"/>
  <c r="A21" i="14"/>
  <c r="A22" i="14"/>
  <c r="A119" i="14"/>
  <c r="I110" i="14" l="1"/>
  <c r="I109" i="14" s="1"/>
  <c r="I104" i="14" s="1"/>
  <c r="H107" i="14"/>
  <c r="A103" i="14"/>
  <c r="A104" i="14"/>
  <c r="A107" i="14"/>
  <c r="A108" i="14"/>
  <c r="H104" i="14" l="1"/>
  <c r="E52" i="75" s="1"/>
  <c r="F52" i="75" s="1"/>
  <c r="H103" i="14" l="1"/>
  <c r="E51" i="75" s="1"/>
  <c r="F51" i="75" s="1"/>
  <c r="H60" i="14"/>
  <c r="A60" i="14"/>
  <c r="A59" i="14" l="1"/>
  <c r="A61" i="14"/>
  <c r="A62" i="14"/>
  <c r="H62" i="14"/>
  <c r="H59" i="14" s="1"/>
  <c r="A63" i="14"/>
  <c r="I62" i="14" l="1"/>
  <c r="B10" i="75" l="1"/>
  <c r="D10" i="75"/>
  <c r="B11" i="75"/>
  <c r="D11" i="75"/>
  <c r="B12" i="75"/>
  <c r="D12" i="75"/>
  <c r="E12" i="75"/>
  <c r="B13" i="75"/>
  <c r="D13" i="75"/>
  <c r="E13" i="75"/>
  <c r="B14" i="75"/>
  <c r="D14" i="75"/>
  <c r="B15" i="75"/>
  <c r="D15" i="75"/>
  <c r="B16" i="75"/>
  <c r="D16" i="75"/>
  <c r="B17" i="75"/>
  <c r="D17" i="75"/>
  <c r="E17" i="75"/>
  <c r="B18" i="75"/>
  <c r="D18" i="75"/>
  <c r="B19" i="75"/>
  <c r="D19" i="75"/>
  <c r="B20" i="75"/>
  <c r="D20" i="75"/>
  <c r="B21" i="75"/>
  <c r="D21" i="75"/>
  <c r="E21" i="75"/>
  <c r="B22" i="75"/>
  <c r="D22" i="75"/>
  <c r="B23" i="75"/>
  <c r="B24" i="75"/>
  <c r="D24" i="75"/>
  <c r="E24" i="75"/>
  <c r="B25" i="75"/>
  <c r="B26" i="75"/>
  <c r="D26" i="75"/>
  <c r="E26" i="75"/>
  <c r="B27" i="75"/>
  <c r="D27" i="75"/>
  <c r="E27" i="75"/>
  <c r="B28" i="75"/>
  <c r="D28" i="75"/>
  <c r="B29" i="75"/>
  <c r="D29" i="75"/>
  <c r="B30" i="75"/>
  <c r="D30" i="75"/>
  <c r="B31" i="75"/>
  <c r="D31" i="75"/>
  <c r="B32" i="75"/>
  <c r="D32" i="75"/>
  <c r="B33" i="75"/>
  <c r="D33" i="75"/>
  <c r="B34" i="75"/>
  <c r="D34" i="75"/>
  <c r="B35" i="75"/>
  <c r="D35" i="75"/>
  <c r="B36" i="75"/>
  <c r="D36" i="75"/>
  <c r="B37" i="75"/>
  <c r="D37" i="75"/>
  <c r="B38" i="75"/>
  <c r="D38" i="75"/>
  <c r="B39" i="75"/>
  <c r="D39" i="75"/>
  <c r="B41" i="75"/>
  <c r="D41" i="75"/>
  <c r="B42" i="75"/>
  <c r="D42" i="75"/>
  <c r="B43" i="75"/>
  <c r="D43" i="75"/>
  <c r="B44" i="75"/>
  <c r="D44" i="75"/>
  <c r="B45" i="75"/>
  <c r="D45" i="75"/>
  <c r="B46" i="75"/>
  <c r="D46" i="75"/>
  <c r="B47" i="75"/>
  <c r="D47" i="75"/>
  <c r="B48" i="75"/>
  <c r="D48" i="75"/>
  <c r="B49" i="75"/>
  <c r="D49" i="75"/>
  <c r="B50" i="75"/>
  <c r="D50" i="75"/>
  <c r="B54" i="75"/>
  <c r="D54" i="75"/>
  <c r="F24" i="75" l="1"/>
  <c r="F13" i="75"/>
  <c r="F21" i="75"/>
  <c r="F26" i="75"/>
  <c r="F12" i="75"/>
  <c r="F17" i="75"/>
  <c r="E59" i="75"/>
  <c r="F27" i="75"/>
  <c r="B17" i="49"/>
  <c r="I159" i="14" l="1"/>
  <c r="I158" i="14" s="1"/>
  <c r="A159" i="14"/>
  <c r="H158" i="14"/>
  <c r="D25" i="75"/>
  <c r="A158" i="14"/>
  <c r="I157" i="14"/>
  <c r="I156" i="14" s="1"/>
  <c r="A157" i="14"/>
  <c r="H156" i="14"/>
  <c r="E17" i="49" s="1"/>
  <c r="D17" i="49"/>
  <c r="A156" i="14"/>
  <c r="A155" i="14"/>
  <c r="A154" i="14"/>
  <c r="F17" i="49" l="1"/>
  <c r="D23" i="75"/>
  <c r="H155" i="14"/>
  <c r="E25" i="75" s="1"/>
  <c r="F25" i="75" s="1"/>
  <c r="I155" i="14"/>
  <c r="I166" i="14"/>
  <c r="A167" i="14"/>
  <c r="H166" i="14"/>
  <c r="A166" i="14"/>
  <c r="A165" i="14"/>
  <c r="I165" i="14" l="1"/>
  <c r="H165" i="14"/>
  <c r="E42" i="75" s="1"/>
  <c r="F42" i="75" s="1"/>
  <c r="D53" i="75"/>
  <c r="D55" i="75" s="1"/>
  <c r="I154" i="14"/>
  <c r="H154" i="14"/>
  <c r="E23" i="75" s="1"/>
  <c r="F23" i="75" s="1"/>
  <c r="A58" i="14" l="1"/>
  <c r="I60" i="14"/>
  <c r="I59" i="14" s="1"/>
  <c r="A57" i="14"/>
  <c r="E50" i="75" l="1"/>
  <c r="F50" i="75" s="1"/>
  <c r="H139" i="14"/>
  <c r="I139" i="14"/>
  <c r="A139" i="14"/>
  <c r="A140" i="14"/>
  <c r="A131" i="14"/>
  <c r="A132" i="14"/>
  <c r="A133" i="14"/>
  <c r="H132" i="14"/>
  <c r="H131" i="14" s="1"/>
  <c r="E45" i="75" s="1"/>
  <c r="F45" i="75" s="1"/>
  <c r="I132" i="14"/>
  <c r="I131" i="14" s="1"/>
  <c r="D12" i="49"/>
  <c r="E12" i="49"/>
  <c r="D14" i="49"/>
  <c r="E14" i="49"/>
  <c r="D15" i="49"/>
  <c r="E15" i="49"/>
  <c r="D55" i="49"/>
  <c r="E55" i="49"/>
  <c r="D56" i="49"/>
  <c r="E56" i="49"/>
  <c r="D57" i="49"/>
  <c r="E57" i="49"/>
  <c r="D58" i="49"/>
  <c r="E58" i="49"/>
  <c r="D65" i="49"/>
  <c r="E65" i="49"/>
  <c r="D66" i="49"/>
  <c r="E66" i="49"/>
  <c r="E10" i="49"/>
  <c r="D10" i="49"/>
  <c r="F12" i="49"/>
  <c r="F15" i="49"/>
  <c r="F55" i="49"/>
  <c r="F56" i="49"/>
  <c r="F57" i="49"/>
  <c r="F58" i="49"/>
  <c r="F65" i="49"/>
  <c r="F66" i="49"/>
  <c r="F10" i="49"/>
  <c r="I34" i="14"/>
  <c r="H34" i="14"/>
  <c r="H19" i="14"/>
  <c r="H18" i="14" s="1"/>
  <c r="H17" i="14" s="1"/>
  <c r="F14" i="49" l="1"/>
  <c r="H58" i="14"/>
  <c r="E49" i="75" s="1"/>
  <c r="F49" i="75" s="1"/>
  <c r="H57" i="14"/>
  <c r="I58" i="14" l="1"/>
  <c r="I57" i="14"/>
  <c r="A13" i="14" l="1"/>
  <c r="H13" i="14"/>
  <c r="E54" i="49" s="1"/>
  <c r="F54" i="49" s="1"/>
  <c r="A14" i="14"/>
  <c r="A15" i="14"/>
  <c r="A16" i="14"/>
  <c r="A17" i="14"/>
  <c r="A18" i="14"/>
  <c r="A19" i="14"/>
  <c r="A20" i="14"/>
  <c r="I13" i="14" l="1"/>
  <c r="A34" i="14" l="1"/>
  <c r="A35" i="14"/>
  <c r="H224" i="14" l="1"/>
  <c r="E41" i="49" s="1"/>
  <c r="F41" i="49" s="1"/>
  <c r="I225" i="14"/>
  <c r="I224" i="14" s="1"/>
  <c r="I138" i="14"/>
  <c r="I137" i="14" s="1"/>
  <c r="I135" i="14"/>
  <c r="H137" i="14"/>
  <c r="H134" i="14" l="1"/>
  <c r="E46" i="75" s="1"/>
  <c r="F46" i="75" s="1"/>
  <c r="I134" i="14"/>
  <c r="H223" i="14"/>
  <c r="I223" i="14"/>
  <c r="H222" i="14" l="1"/>
  <c r="E47" i="75" s="1"/>
  <c r="F47" i="75" s="1"/>
  <c r="E48" i="75"/>
  <c r="F48" i="75" s="1"/>
  <c r="I222" i="14"/>
  <c r="A135" i="14" l="1"/>
  <c r="A136" i="14"/>
  <c r="A137" i="14"/>
  <c r="A138" i="14"/>
  <c r="A222" i="14" l="1"/>
  <c r="A223" i="14"/>
  <c r="A224" i="14"/>
  <c r="A225" i="14"/>
  <c r="B52" i="49" l="1"/>
  <c r="B51" i="49"/>
  <c r="B50" i="49"/>
  <c r="B49" i="49"/>
  <c r="B48" i="49"/>
  <c r="B47" i="49"/>
  <c r="B46" i="49"/>
  <c r="B45" i="49"/>
  <c r="B44" i="49"/>
  <c r="B43" i="49"/>
  <c r="B42" i="49"/>
  <c r="B41" i="49"/>
  <c r="B40" i="49"/>
  <c r="B39" i="49"/>
  <c r="B38" i="49"/>
  <c r="B37" i="49"/>
  <c r="B36" i="49"/>
  <c r="B35" i="49"/>
  <c r="B34" i="49"/>
  <c r="B33" i="49"/>
  <c r="B32" i="49"/>
  <c r="B31" i="49"/>
  <c r="B30" i="49"/>
  <c r="B29" i="49"/>
  <c r="B28" i="49"/>
  <c r="B27" i="49"/>
  <c r="B26" i="49"/>
  <c r="B25" i="49"/>
  <c r="B24" i="49"/>
  <c r="B23" i="49"/>
  <c r="B22" i="49"/>
  <c r="B21" i="49"/>
  <c r="B20" i="49"/>
  <c r="B19" i="49"/>
  <c r="B16" i="49"/>
  <c r="B15" i="49"/>
  <c r="B14" i="49"/>
  <c r="B13" i="49"/>
  <c r="B12" i="49"/>
  <c r="B11" i="49"/>
  <c r="B10" i="49"/>
  <c r="A208" i="14" l="1"/>
  <c r="H208" i="14"/>
  <c r="I209" i="14"/>
  <c r="I208" i="14" s="1"/>
  <c r="A209" i="14"/>
  <c r="E103" i="49" l="1"/>
  <c r="F103" i="49" s="1"/>
  <c r="E106" i="49"/>
  <c r="F106" i="49" s="1"/>
  <c r="H162" i="14"/>
  <c r="H252" i="14" l="1"/>
  <c r="E40" i="49" s="1"/>
  <c r="F40" i="49" s="1"/>
  <c r="I253" i="14"/>
  <c r="C104" i="3"/>
  <c r="C100" i="3"/>
  <c r="C101" i="3"/>
  <c r="C102" i="3"/>
  <c r="C105" i="3" l="1"/>
  <c r="I252" i="14"/>
  <c r="H251" i="14"/>
  <c r="H250" i="14" s="1"/>
  <c r="C103" i="3" l="1"/>
  <c r="I250" i="14"/>
  <c r="I251" i="14"/>
  <c r="H32" i="14" l="1"/>
  <c r="A250" i="14"/>
  <c r="A251" i="14"/>
  <c r="A252" i="14"/>
  <c r="A253" i="14"/>
  <c r="H52" i="14"/>
  <c r="E93" i="49" s="1"/>
  <c r="H50" i="14"/>
  <c r="E92" i="49" s="1"/>
  <c r="F92" i="49" s="1"/>
  <c r="A50" i="14"/>
  <c r="A51" i="14"/>
  <c r="A52" i="14"/>
  <c r="A53" i="14"/>
  <c r="B56" i="49"/>
  <c r="I50" i="14" l="1"/>
  <c r="I52" i="14"/>
  <c r="F93" i="49" s="1"/>
  <c r="H99" i="14"/>
  <c r="E13" i="49" s="1"/>
  <c r="F13" i="49" s="1"/>
  <c r="H101" i="14"/>
  <c r="E105" i="49" s="1"/>
  <c r="F105" i="49" s="1"/>
  <c r="A101" i="14"/>
  <c r="A100" i="14"/>
  <c r="A99" i="14"/>
  <c r="H98" i="14" l="1"/>
  <c r="E22" i="75" s="1"/>
  <c r="F22" i="75" s="1"/>
  <c r="E111" i="49" l="1"/>
  <c r="F111" i="49" s="1"/>
  <c r="A164" i="14"/>
  <c r="A168" i="14"/>
  <c r="A169" i="14"/>
  <c r="A170" i="14"/>
  <c r="I169" i="14"/>
  <c r="F96" i="49" s="1"/>
  <c r="H169" i="14"/>
  <c r="E96" i="49" s="1"/>
  <c r="I101" i="14"/>
  <c r="I99" i="14"/>
  <c r="A102" i="14"/>
  <c r="A98" i="14"/>
  <c r="I249" i="14"/>
  <c r="H248" i="14"/>
  <c r="I248" i="14" s="1"/>
  <c r="A248" i="14"/>
  <c r="A249" i="14"/>
  <c r="A232" i="14"/>
  <c r="H168" i="14" l="1"/>
  <c r="E43" i="75" s="1"/>
  <c r="F43" i="75" s="1"/>
  <c r="I168" i="14"/>
  <c r="I98" i="14"/>
  <c r="H164" i="14" l="1"/>
  <c r="E41" i="75" s="1"/>
  <c r="F41" i="75" s="1"/>
  <c r="I164" i="14"/>
  <c r="D42" i="3" l="1"/>
  <c r="D43" i="3"/>
  <c r="D44" i="3"/>
  <c r="A194" i="14"/>
  <c r="H38" i="14" l="1"/>
  <c r="A148" i="14" l="1"/>
  <c r="A149" i="14"/>
  <c r="A115" i="14"/>
  <c r="A116" i="14"/>
  <c r="A117" i="14"/>
  <c r="I117" i="14"/>
  <c r="I116" i="14" s="1"/>
  <c r="I115" i="14" s="1"/>
  <c r="H116" i="14"/>
  <c r="H115" i="14" s="1"/>
  <c r="E35" i="75" s="1"/>
  <c r="F35" i="75" s="1"/>
  <c r="H44" i="14" l="1"/>
  <c r="E67" i="49" s="1"/>
  <c r="F67" i="49" s="1"/>
  <c r="H46" i="14"/>
  <c r="E71" i="49" s="1"/>
  <c r="F71" i="49" s="1"/>
  <c r="A46" i="14" l="1"/>
  <c r="B89" i="49" l="1"/>
  <c r="B90" i="49"/>
  <c r="B55" i="49"/>
  <c r="B54" i="49" l="1"/>
  <c r="H150" i="14" l="1"/>
  <c r="E60" i="49" s="1"/>
  <c r="F60" i="49" s="1"/>
  <c r="H148" i="14" l="1"/>
  <c r="E59" i="49" s="1"/>
  <c r="F59" i="49" s="1"/>
  <c r="I148" i="14"/>
  <c r="A150" i="14"/>
  <c r="A151" i="14"/>
  <c r="A96" i="14"/>
  <c r="I150" i="14"/>
  <c r="H256" i="14"/>
  <c r="H242" i="14"/>
  <c r="H228" i="14"/>
  <c r="A83" i="14" l="1"/>
  <c r="A84" i="14"/>
  <c r="D11" i="49"/>
  <c r="D113" i="49" s="1"/>
  <c r="A97" i="14"/>
  <c r="A88" i="14"/>
  <c r="A89" i="14"/>
  <c r="I46" i="14"/>
  <c r="A47" i="14"/>
  <c r="I44" i="14"/>
  <c r="A44" i="14"/>
  <c r="A45" i="14"/>
  <c r="E102" i="49" l="1"/>
  <c r="F102" i="49" s="1"/>
  <c r="H88" i="14"/>
  <c r="I88" i="14" l="1"/>
  <c r="E11" i="49"/>
  <c r="F11" i="49" s="1"/>
  <c r="I195" i="14"/>
  <c r="I194" i="14" s="1"/>
  <c r="I191" i="14" s="1"/>
  <c r="H194" i="14"/>
  <c r="H191" i="14" s="1"/>
  <c r="A191" i="14"/>
  <c r="A195" i="14"/>
  <c r="I96" i="14" l="1"/>
  <c r="D11" i="5" l="1"/>
  <c r="D10" i="5" s="1"/>
  <c r="A27" i="14" l="1"/>
  <c r="H26" i="14"/>
  <c r="H25" i="14" s="1"/>
  <c r="A26" i="14"/>
  <c r="A25" i="14"/>
  <c r="A24" i="14"/>
  <c r="A125" i="14"/>
  <c r="A121" i="14"/>
  <c r="A122" i="14"/>
  <c r="A118" i="14"/>
  <c r="A144" i="14"/>
  <c r="A145" i="14"/>
  <c r="H144" i="14"/>
  <c r="I145" i="14"/>
  <c r="I144" i="14" s="1"/>
  <c r="E39" i="75" l="1"/>
  <c r="F39" i="75" s="1"/>
  <c r="H24" i="14"/>
  <c r="H16" i="14" s="1"/>
  <c r="H261" i="14" l="1"/>
  <c r="H260" i="14" s="1"/>
  <c r="H259" i="14" s="1"/>
  <c r="H255" i="14"/>
  <c r="H254" i="14" s="1"/>
  <c r="H246" i="14"/>
  <c r="H241" i="14"/>
  <c r="H236" i="14"/>
  <c r="E91" i="49" s="1"/>
  <c r="F91" i="49" s="1"/>
  <c r="H232" i="14"/>
  <c r="E39" i="49" s="1"/>
  <c r="F39" i="49" s="1"/>
  <c r="H227" i="14"/>
  <c r="H226" i="14" s="1"/>
  <c r="H186" i="14"/>
  <c r="H178" i="14"/>
  <c r="E69" i="49" s="1"/>
  <c r="F69" i="49" s="1"/>
  <c r="H176" i="14"/>
  <c r="E24" i="49" s="1"/>
  <c r="H174" i="14"/>
  <c r="H161" i="14"/>
  <c r="H146" i="14"/>
  <c r="E53" i="49" s="1"/>
  <c r="F53" i="49" s="1"/>
  <c r="H142" i="14"/>
  <c r="H130" i="14"/>
  <c r="H126" i="14"/>
  <c r="E45" i="49" s="1"/>
  <c r="F45" i="49" s="1"/>
  <c r="H123" i="14"/>
  <c r="H122" i="14" s="1"/>
  <c r="E38" i="75" s="1"/>
  <c r="F38" i="75" s="1"/>
  <c r="H119" i="14"/>
  <c r="H118" i="14" s="1"/>
  <c r="H92" i="14"/>
  <c r="E27" i="49" s="1"/>
  <c r="F27" i="49" s="1"/>
  <c r="H90" i="14"/>
  <c r="E26" i="49" s="1"/>
  <c r="F26" i="49" s="1"/>
  <c r="H84" i="14"/>
  <c r="E99" i="49" s="1"/>
  <c r="F99" i="49" s="1"/>
  <c r="H75" i="14"/>
  <c r="E35" i="49" s="1"/>
  <c r="F35" i="49" s="1"/>
  <c r="H73" i="14"/>
  <c r="E34" i="49" s="1"/>
  <c r="H69" i="14"/>
  <c r="E64" i="49" s="1"/>
  <c r="F64" i="49" s="1"/>
  <c r="H65" i="14"/>
  <c r="E72" i="49" s="1"/>
  <c r="F72" i="49" s="1"/>
  <c r="H48" i="14"/>
  <c r="E84" i="49" s="1"/>
  <c r="F84" i="49" s="1"/>
  <c r="H42" i="14"/>
  <c r="E20" i="49" s="1"/>
  <c r="F20" i="49" s="1"/>
  <c r="H40" i="14"/>
  <c r="E19" i="49" s="1"/>
  <c r="F19" i="49" s="1"/>
  <c r="H36" i="14"/>
  <c r="H12" i="14"/>
  <c r="H31" i="14" l="1"/>
  <c r="E22" i="49"/>
  <c r="F22" i="49" s="1"/>
  <c r="H171" i="14"/>
  <c r="H185" i="14"/>
  <c r="H184" i="14" s="1"/>
  <c r="E61" i="49"/>
  <c r="F61" i="49" s="1"/>
  <c r="H15" i="14"/>
  <c r="H129" i="14"/>
  <c r="E44" i="75"/>
  <c r="F44" i="75" s="1"/>
  <c r="H240" i="14"/>
  <c r="E28" i="75" s="1"/>
  <c r="F28" i="75" s="1"/>
  <c r="E29" i="75"/>
  <c r="F29" i="75" s="1"/>
  <c r="H11" i="14"/>
  <c r="H114" i="14"/>
  <c r="E34" i="75" s="1"/>
  <c r="F34" i="75" s="1"/>
  <c r="E36" i="75"/>
  <c r="F36" i="75" s="1"/>
  <c r="H160" i="14"/>
  <c r="E33" i="75"/>
  <c r="F33" i="75" s="1"/>
  <c r="H83" i="14"/>
  <c r="H68" i="14"/>
  <c r="H67" i="14" s="1"/>
  <c r="H231" i="14"/>
  <c r="H230" i="14" s="1"/>
  <c r="H64" i="14"/>
  <c r="H80" i="14"/>
  <c r="H125" i="14"/>
  <c r="H235" i="14"/>
  <c r="H234" i="14" s="1"/>
  <c r="H87" i="14"/>
  <c r="E20" i="75" s="1"/>
  <c r="F20" i="75" s="1"/>
  <c r="H245" i="14"/>
  <c r="H258" i="14"/>
  <c r="C21" i="57" s="1"/>
  <c r="D21" i="57" s="1"/>
  <c r="D12" i="3"/>
  <c r="H141" i="14"/>
  <c r="H121" i="14"/>
  <c r="E37" i="75" s="1"/>
  <c r="F37" i="75" s="1"/>
  <c r="H72" i="14"/>
  <c r="H71" i="14" s="1"/>
  <c r="I80" i="14" l="1"/>
  <c r="H79" i="14"/>
  <c r="H128" i="14"/>
  <c r="I128" i="14" s="1"/>
  <c r="I129" i="14"/>
  <c r="E14" i="75"/>
  <c r="F14" i="75" s="1"/>
  <c r="I83" i="14"/>
  <c r="H244" i="14"/>
  <c r="E30" i="75" s="1"/>
  <c r="F30" i="75" s="1"/>
  <c r="E31" i="75"/>
  <c r="F31" i="75" s="1"/>
  <c r="E54" i="75"/>
  <c r="F54" i="75" s="1"/>
  <c r="E11" i="75"/>
  <c r="F11" i="75" s="1"/>
  <c r="H153" i="14"/>
  <c r="H152" i="14" s="1"/>
  <c r="E32" i="75"/>
  <c r="F32" i="75" s="1"/>
  <c r="H56" i="14"/>
  <c r="D40" i="3" s="1"/>
  <c r="H86" i="14"/>
  <c r="H112" i="14"/>
  <c r="H111" i="14" s="1"/>
  <c r="H238" i="14" l="1"/>
  <c r="I79" i="14"/>
  <c r="H78" i="14"/>
  <c r="I78" i="14" s="1"/>
  <c r="E10" i="75"/>
  <c r="E19" i="75"/>
  <c r="F19" i="75" s="1"/>
  <c r="H239" i="14"/>
  <c r="F10" i="75" l="1"/>
  <c r="H77" i="14"/>
  <c r="I77" i="14" s="1"/>
  <c r="C11" i="5" l="1"/>
  <c r="C10" i="5" s="1"/>
  <c r="C18" i="5"/>
  <c r="C16" i="5"/>
  <c r="I84" i="14"/>
  <c r="I175" i="14"/>
  <c r="I174" i="14" s="1"/>
  <c r="I36" i="14"/>
  <c r="I38" i="14"/>
  <c r="I32" i="14"/>
  <c r="A32" i="14"/>
  <c r="A33" i="14"/>
  <c r="A239" i="14"/>
  <c r="A153" i="14"/>
  <c r="A129" i="14"/>
  <c r="C15" i="5" l="1"/>
  <c r="A183" i="14" l="1"/>
  <c r="A112" i="14"/>
  <c r="A78" i="14"/>
  <c r="A37" i="14"/>
  <c r="A38" i="14"/>
  <c r="A39" i="14"/>
  <c r="I124" i="14" l="1"/>
  <c r="I123" i="14" s="1"/>
  <c r="I122" i="14" s="1"/>
  <c r="A123" i="14"/>
  <c r="A124" i="14"/>
  <c r="I121" i="14" l="1"/>
  <c r="A174" i="14"/>
  <c r="A175" i="14"/>
  <c r="I120" i="14"/>
  <c r="I119" i="14" s="1"/>
  <c r="I118" i="14" s="1"/>
  <c r="I114" i="14" l="1"/>
  <c r="A120" i="14"/>
  <c r="I112" i="14" l="1"/>
  <c r="A57" i="49" l="1"/>
  <c r="A58" i="49" s="1"/>
  <c r="A59" i="49" s="1"/>
  <c r="A60" i="49" s="1"/>
  <c r="B53" i="49"/>
  <c r="I42" i="14"/>
  <c r="I75" i="14"/>
  <c r="I162" i="14"/>
  <c r="I161" i="14" s="1"/>
  <c r="I177" i="14"/>
  <c r="I176" i="14" s="1"/>
  <c r="F24" i="49" s="1"/>
  <c r="I229" i="14"/>
  <c r="I228" i="14" s="1"/>
  <c r="I227" i="14" s="1"/>
  <c r="I226" i="14" s="1"/>
  <c r="I243" i="14"/>
  <c r="I247" i="14"/>
  <c r="I246" i="14" s="1"/>
  <c r="I257" i="14"/>
  <c r="I256" i="14" s="1"/>
  <c r="I255" i="14" s="1"/>
  <c r="I254" i="14" s="1"/>
  <c r="I48" i="14"/>
  <c r="I242" i="14" l="1"/>
  <c r="I241" i="14" s="1"/>
  <c r="I240" i="14" s="1"/>
  <c r="I40" i="14"/>
  <c r="I160" i="14"/>
  <c r="I245" i="14"/>
  <c r="I69" i="14"/>
  <c r="I65" i="14"/>
  <c r="A176" i="14"/>
  <c r="A177" i="14"/>
  <c r="I31" i="14" l="1"/>
  <c r="I15" i="14" s="1"/>
  <c r="I153" i="14"/>
  <c r="I244" i="14"/>
  <c r="I64" i="14"/>
  <c r="I68" i="14"/>
  <c r="I67" i="14" s="1"/>
  <c r="I12" i="14"/>
  <c r="A226" i="14"/>
  <c r="A227" i="14"/>
  <c r="A228" i="14"/>
  <c r="A229" i="14"/>
  <c r="I238" i="14" l="1"/>
  <c r="I239" i="14"/>
  <c r="I56" i="14"/>
  <c r="I11" i="14"/>
  <c r="A48" i="14"/>
  <c r="A49" i="14"/>
  <c r="A67" i="14"/>
  <c r="A68" i="14"/>
  <c r="A69" i="14"/>
  <c r="A70" i="14"/>
  <c r="A56" i="14"/>
  <c r="A64" i="14"/>
  <c r="A65" i="14"/>
  <c r="A66" i="14"/>
  <c r="A254" i="14"/>
  <c r="A255" i="14"/>
  <c r="A256" i="14"/>
  <c r="A257" i="14"/>
  <c r="A244" i="14" l="1"/>
  <c r="A245" i="14"/>
  <c r="A246" i="14"/>
  <c r="A247" i="14"/>
  <c r="A243" i="14"/>
  <c r="A258" i="14"/>
  <c r="A259" i="14"/>
  <c r="A260" i="14"/>
  <c r="A261" i="14"/>
  <c r="A262" i="14"/>
  <c r="A240" i="14"/>
  <c r="A241" i="14"/>
  <c r="A242" i="14"/>
  <c r="A234" i="14"/>
  <c r="A235" i="14"/>
  <c r="A236" i="14"/>
  <c r="A237" i="14"/>
  <c r="A238" i="14"/>
  <c r="A11" i="14"/>
  <c r="A12" i="14"/>
  <c r="A31" i="14"/>
  <c r="A36" i="14"/>
  <c r="A40" i="14"/>
  <c r="A41" i="14"/>
  <c r="A42" i="14"/>
  <c r="A43" i="14"/>
  <c r="A231" i="14"/>
  <c r="A233" i="14"/>
  <c r="A230" i="14"/>
  <c r="A184" i="14"/>
  <c r="A182" i="14"/>
  <c r="A160" i="14"/>
  <c r="A161" i="14"/>
  <c r="A162" i="14"/>
  <c r="A163" i="14"/>
  <c r="C99" i="3" l="1"/>
  <c r="I74" i="14"/>
  <c r="I90" i="14"/>
  <c r="I92" i="14"/>
  <c r="I94" i="14"/>
  <c r="I113" i="14"/>
  <c r="I126" i="14"/>
  <c r="I130" i="14"/>
  <c r="I142" i="14"/>
  <c r="I146" i="14"/>
  <c r="I187" i="14"/>
  <c r="I186" i="14" s="1"/>
  <c r="I233" i="14"/>
  <c r="I232" i="14" s="1"/>
  <c r="I237" i="14"/>
  <c r="I236" i="14" s="1"/>
  <c r="B102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4" i="49"/>
  <c r="B85" i="49"/>
  <c r="B86" i="49"/>
  <c r="B87" i="49"/>
  <c r="B88" i="49"/>
  <c r="B91" i="49"/>
  <c r="B92" i="49"/>
  <c r="B93" i="49"/>
  <c r="B96" i="49"/>
  <c r="B97" i="49"/>
  <c r="B99" i="49"/>
  <c r="B100" i="49"/>
  <c r="B101" i="49"/>
  <c r="B103" i="49"/>
  <c r="B104" i="49"/>
  <c r="B105" i="49"/>
  <c r="B106" i="49"/>
  <c r="B107" i="49"/>
  <c r="B108" i="49"/>
  <c r="B109" i="49"/>
  <c r="B111" i="49"/>
  <c r="A185" i="14"/>
  <c r="A196" i="14"/>
  <c r="A219" i="14"/>
  <c r="A220" i="14"/>
  <c r="A221" i="14"/>
  <c r="A186" i="14"/>
  <c r="A187" i="14"/>
  <c r="A197" i="14"/>
  <c r="A200" i="14"/>
  <c r="A201" i="14"/>
  <c r="A202" i="14"/>
  <c r="A203" i="14"/>
  <c r="A204" i="14"/>
  <c r="A205" i="14"/>
  <c r="A85" i="14"/>
  <c r="I185" i="14" l="1"/>
  <c r="I184" i="14" s="1"/>
  <c r="I73" i="14"/>
  <c r="F34" i="49" s="1"/>
  <c r="I235" i="14"/>
  <c r="I234" i="14" s="1"/>
  <c r="I87" i="14"/>
  <c r="I231" i="14"/>
  <c r="I230" i="14" s="1"/>
  <c r="I125" i="14"/>
  <c r="I111" i="14" s="1"/>
  <c r="I141" i="14"/>
  <c r="A152" i="14"/>
  <c r="A171" i="14"/>
  <c r="A178" i="14"/>
  <c r="A179" i="14"/>
  <c r="A180" i="14"/>
  <c r="A181" i="14"/>
  <c r="A147" i="14"/>
  <c r="A146" i="14"/>
  <c r="A143" i="14"/>
  <c r="A142" i="14"/>
  <c r="A141" i="14"/>
  <c r="A134" i="14"/>
  <c r="A130" i="14"/>
  <c r="A128" i="14"/>
  <c r="A127" i="14"/>
  <c r="A126" i="14"/>
  <c r="A114" i="14"/>
  <c r="A113" i="14"/>
  <c r="A111" i="14"/>
  <c r="A95" i="14"/>
  <c r="A94" i="14"/>
  <c r="A93" i="14"/>
  <c r="A92" i="14"/>
  <c r="A91" i="14"/>
  <c r="A90" i="14"/>
  <c r="A87" i="14"/>
  <c r="A86" i="14"/>
  <c r="A82" i="14"/>
  <c r="A81" i="14"/>
  <c r="A80" i="14"/>
  <c r="A79" i="14"/>
  <c r="A77" i="14"/>
  <c r="A76" i="14"/>
  <c r="A75" i="14"/>
  <c r="A74" i="14"/>
  <c r="A73" i="14"/>
  <c r="A72" i="14"/>
  <c r="A71" i="14"/>
  <c r="I72" i="14" l="1"/>
  <c r="I71" i="14" s="1"/>
  <c r="I86" i="14"/>
  <c r="B58" i="49" l="1"/>
  <c r="B59" i="49"/>
  <c r="B60" i="49"/>
  <c r="B61" i="49"/>
  <c r="B57" i="49"/>
  <c r="I262" i="14" l="1"/>
  <c r="I261" i="14" s="1"/>
  <c r="I260" i="14" s="1"/>
  <c r="I259" i="14" s="1"/>
  <c r="I258" i="14" s="1"/>
  <c r="D26" i="3"/>
  <c r="D108" i="3"/>
  <c r="D15" i="5"/>
  <c r="D17" i="5"/>
  <c r="D10" i="3"/>
  <c r="D11" i="3"/>
  <c r="D16" i="3"/>
  <c r="D17" i="3"/>
  <c r="D18" i="3"/>
  <c r="D19" i="3"/>
  <c r="D21" i="3"/>
  <c r="D24" i="3"/>
  <c r="D25" i="3"/>
  <c r="D27" i="3"/>
  <c r="D28" i="3"/>
  <c r="D29" i="3"/>
  <c r="D30" i="3"/>
  <c r="D31" i="3"/>
  <c r="D32" i="3"/>
  <c r="D34" i="3"/>
  <c r="D35" i="3"/>
  <c r="D36" i="3"/>
  <c r="D37" i="3"/>
  <c r="D38" i="3"/>
  <c r="D39" i="3"/>
  <c r="D47" i="3"/>
  <c r="D49" i="3"/>
  <c r="D50" i="3"/>
  <c r="D53" i="3"/>
  <c r="D56" i="3"/>
  <c r="D57" i="3"/>
  <c r="D63" i="3"/>
  <c r="D66" i="3"/>
  <c r="D67" i="3"/>
  <c r="D68" i="3"/>
  <c r="D69" i="3"/>
  <c r="D75" i="3"/>
  <c r="D76" i="3"/>
  <c r="D77" i="3"/>
  <c r="D79" i="3"/>
  <c r="D83" i="3"/>
  <c r="D84" i="3"/>
  <c r="D87" i="3"/>
  <c r="D88" i="3"/>
  <c r="D89" i="3"/>
  <c r="D90" i="3"/>
  <c r="D91" i="3"/>
  <c r="D92" i="3"/>
  <c r="D93" i="3"/>
  <c r="D94" i="3"/>
  <c r="D95" i="3"/>
  <c r="D101" i="3"/>
  <c r="E101" i="3" s="1"/>
  <c r="D104" i="3"/>
  <c r="E104" i="3" s="1"/>
  <c r="D107" i="3"/>
  <c r="D109" i="3"/>
  <c r="D110" i="3"/>
  <c r="D113" i="3"/>
  <c r="D116" i="3"/>
  <c r="D117" i="3"/>
  <c r="D33" i="3" l="1"/>
  <c r="D60" i="3"/>
  <c r="D64" i="3"/>
  <c r="D97" i="3"/>
  <c r="D106" i="3"/>
  <c r="D112" i="3"/>
  <c r="D111" i="3" s="1"/>
  <c r="D98" i="3"/>
  <c r="D86" i="3"/>
  <c r="D23" i="3"/>
  <c r="H220" i="14" l="1"/>
  <c r="E48" i="49" s="1"/>
  <c r="F48" i="49" s="1"/>
  <c r="I180" i="14"/>
  <c r="D102" i="3"/>
  <c r="E102" i="3" s="1"/>
  <c r="D48" i="3"/>
  <c r="D85" i="3"/>
  <c r="D105" i="3"/>
  <c r="D82" i="3"/>
  <c r="D74" i="3"/>
  <c r="D103" i="3" l="1"/>
  <c r="E103" i="3" s="1"/>
  <c r="E105" i="3"/>
  <c r="H219" i="14"/>
  <c r="E18" i="75" s="1"/>
  <c r="F18" i="75" s="1"/>
  <c r="D81" i="3"/>
  <c r="I221" i="14"/>
  <c r="D70" i="3"/>
  <c r="D65" i="3" s="1"/>
  <c r="D20" i="3"/>
  <c r="D14" i="3"/>
  <c r="D100" i="3"/>
  <c r="E100" i="3" s="1"/>
  <c r="D115" i="3"/>
  <c r="D114" i="3" s="1"/>
  <c r="D13" i="3"/>
  <c r="D22" i="3"/>
  <c r="D78" i="3"/>
  <c r="D52" i="3"/>
  <c r="I178" i="14" l="1"/>
  <c r="I220" i="14"/>
  <c r="D9" i="3"/>
  <c r="D58" i="3"/>
  <c r="D72" i="3"/>
  <c r="D99" i="3"/>
  <c r="D96" i="3" l="1"/>
  <c r="E99" i="3"/>
  <c r="I171" i="14"/>
  <c r="I152" i="14" s="1"/>
  <c r="I219" i="14"/>
  <c r="D54" i="3"/>
  <c r="D73" i="3"/>
  <c r="D55" i="3"/>
  <c r="E55" i="3" s="1"/>
  <c r="D80" i="3"/>
  <c r="D51" i="3"/>
  <c r="D61" i="3"/>
  <c r="H204" i="14" l="1"/>
  <c r="E44" i="49" s="1"/>
  <c r="F44" i="49" s="1"/>
  <c r="D46" i="3"/>
  <c r="D71" i="3"/>
  <c r="I205" i="14" l="1"/>
  <c r="H202" i="14"/>
  <c r="E43" i="49" s="1"/>
  <c r="F43" i="49" s="1"/>
  <c r="I204" i="14" l="1"/>
  <c r="I203" i="14"/>
  <c r="I202" i="14" s="1"/>
  <c r="H200" i="14"/>
  <c r="H197" i="14" s="1"/>
  <c r="H196" i="14" l="1"/>
  <c r="E42" i="49"/>
  <c r="I201" i="14"/>
  <c r="A10" i="14"/>
  <c r="C117" i="3"/>
  <c r="E117" i="3" s="1"/>
  <c r="C116" i="3"/>
  <c r="E116" i="3" s="1"/>
  <c r="C113" i="3"/>
  <c r="E113" i="3" s="1"/>
  <c r="C110" i="3"/>
  <c r="E110" i="3" s="1"/>
  <c r="C109" i="3"/>
  <c r="E109" i="3" s="1"/>
  <c r="C107" i="3"/>
  <c r="E107" i="3" s="1"/>
  <c r="C95" i="3"/>
  <c r="E95" i="3" s="1"/>
  <c r="C94" i="3"/>
  <c r="E94" i="3" s="1"/>
  <c r="C93" i="3"/>
  <c r="E93" i="3" s="1"/>
  <c r="C92" i="3"/>
  <c r="E92" i="3" s="1"/>
  <c r="C91" i="3"/>
  <c r="E91" i="3" s="1"/>
  <c r="C90" i="3"/>
  <c r="E90" i="3" s="1"/>
  <c r="C89" i="3"/>
  <c r="E89" i="3" s="1"/>
  <c r="C88" i="3"/>
  <c r="E88" i="3" s="1"/>
  <c r="C87" i="3"/>
  <c r="E87" i="3" s="1"/>
  <c r="C84" i="3"/>
  <c r="E84" i="3" s="1"/>
  <c r="C83" i="3"/>
  <c r="E83" i="3" s="1"/>
  <c r="C79" i="3"/>
  <c r="E79" i="3" s="1"/>
  <c r="C77" i="3"/>
  <c r="E77" i="3" s="1"/>
  <c r="C76" i="3"/>
  <c r="E76" i="3" s="1"/>
  <c r="C75" i="3"/>
  <c r="E75" i="3" s="1"/>
  <c r="C69" i="3"/>
  <c r="E69" i="3" s="1"/>
  <c r="C68" i="3"/>
  <c r="E68" i="3" s="1"/>
  <c r="C67" i="3"/>
  <c r="E67" i="3" s="1"/>
  <c r="C66" i="3"/>
  <c r="E66" i="3" s="1"/>
  <c r="C63" i="3"/>
  <c r="E63" i="3" s="1"/>
  <c r="C57" i="3"/>
  <c r="E57" i="3" s="1"/>
  <c r="C56" i="3"/>
  <c r="E56" i="3" s="1"/>
  <c r="C53" i="3"/>
  <c r="E53" i="3" s="1"/>
  <c r="C50" i="3"/>
  <c r="E50" i="3" s="1"/>
  <c r="C49" i="3"/>
  <c r="E49" i="3" s="1"/>
  <c r="C47" i="3"/>
  <c r="E47" i="3" s="1"/>
  <c r="C45" i="3"/>
  <c r="E45" i="3" s="1"/>
  <c r="C44" i="3"/>
  <c r="E44" i="3" s="1"/>
  <c r="C43" i="3"/>
  <c r="E43" i="3" s="1"/>
  <c r="C42" i="3"/>
  <c r="E42" i="3" s="1"/>
  <c r="C41" i="3"/>
  <c r="E41" i="3" s="1"/>
  <c r="C40" i="3"/>
  <c r="E40" i="3" s="1"/>
  <c r="C39" i="3"/>
  <c r="E39" i="3" s="1"/>
  <c r="C38" i="3"/>
  <c r="E38" i="3" s="1"/>
  <c r="C37" i="3"/>
  <c r="E37" i="3" s="1"/>
  <c r="C36" i="3"/>
  <c r="E36" i="3" s="1"/>
  <c r="C35" i="3"/>
  <c r="E35" i="3" s="1"/>
  <c r="C34" i="3"/>
  <c r="E34" i="3" s="1"/>
  <c r="C32" i="3"/>
  <c r="E32" i="3" s="1"/>
  <c r="C31" i="3"/>
  <c r="E31" i="3" s="1"/>
  <c r="C30" i="3"/>
  <c r="E30" i="3" s="1"/>
  <c r="C29" i="3"/>
  <c r="E29" i="3" s="1"/>
  <c r="C28" i="3"/>
  <c r="E28" i="3" s="1"/>
  <c r="C27" i="3"/>
  <c r="E27" i="3" s="1"/>
  <c r="C25" i="3"/>
  <c r="E25" i="3" s="1"/>
  <c r="C24" i="3"/>
  <c r="E24" i="3" s="1"/>
  <c r="C21" i="3"/>
  <c r="E21" i="3" s="1"/>
  <c r="C19" i="3"/>
  <c r="E19" i="3" s="1"/>
  <c r="C18" i="3"/>
  <c r="E18" i="3" s="1"/>
  <c r="C17" i="3"/>
  <c r="E17" i="3" s="1"/>
  <c r="C16" i="3"/>
  <c r="E16" i="3" s="1"/>
  <c r="C12" i="3"/>
  <c r="E12" i="3" s="1"/>
  <c r="C10" i="3"/>
  <c r="E10" i="3" s="1"/>
  <c r="E113" i="49" l="1"/>
  <c r="F113" i="49" s="1"/>
  <c r="F42" i="49"/>
  <c r="E16" i="75"/>
  <c r="F16" i="75" s="1"/>
  <c r="E15" i="75"/>
  <c r="I200" i="14"/>
  <c r="I197" i="14" s="1"/>
  <c r="C52" i="3"/>
  <c r="E52" i="3" s="1"/>
  <c r="C33" i="3"/>
  <c r="E33" i="3" s="1"/>
  <c r="C86" i="3"/>
  <c r="E86" i="3" s="1"/>
  <c r="F15" i="75" l="1"/>
  <c r="F59" i="75"/>
  <c r="I196" i="14"/>
  <c r="E53" i="75"/>
  <c r="H183" i="14"/>
  <c r="C20" i="3"/>
  <c r="E20" i="3" s="1"/>
  <c r="C115" i="3"/>
  <c r="E115" i="3" s="1"/>
  <c r="C108" i="3"/>
  <c r="E108" i="3" s="1"/>
  <c r="C60" i="3"/>
  <c r="E60" i="3" s="1"/>
  <c r="C62" i="3"/>
  <c r="C74" i="3"/>
  <c r="E74" i="3" s="1"/>
  <c r="E55" i="75" l="1"/>
  <c r="F55" i="75" s="1"/>
  <c r="F53" i="75"/>
  <c r="F115" i="49"/>
  <c r="H182" i="14"/>
  <c r="C26" i="3"/>
  <c r="C61" i="3"/>
  <c r="E61" i="3" s="1"/>
  <c r="C98" i="3"/>
  <c r="E98" i="3" s="1"/>
  <c r="C11" i="3"/>
  <c r="E11" i="3" s="1"/>
  <c r="C13" i="3"/>
  <c r="E13" i="3" s="1"/>
  <c r="C15" i="3"/>
  <c r="E15" i="3" s="1"/>
  <c r="C112" i="3"/>
  <c r="C14" i="3"/>
  <c r="E14" i="3" s="1"/>
  <c r="C97" i="3"/>
  <c r="E97" i="3" s="1"/>
  <c r="C106" i="3"/>
  <c r="E106" i="3" s="1"/>
  <c r="C114" i="3"/>
  <c r="E114" i="3" s="1"/>
  <c r="C64" i="3"/>
  <c r="E64" i="3" s="1"/>
  <c r="C70" i="3"/>
  <c r="E70" i="3" s="1"/>
  <c r="C23" i="3" l="1"/>
  <c r="E23" i="3" s="1"/>
  <c r="E26" i="3"/>
  <c r="C111" i="3"/>
  <c r="E111" i="3" s="1"/>
  <c r="E112" i="3"/>
  <c r="I183" i="14"/>
  <c r="I182" i="14"/>
  <c r="H10" i="14"/>
  <c r="C20" i="57" s="1"/>
  <c r="C73" i="3"/>
  <c r="E73" i="3" s="1"/>
  <c r="C22" i="3"/>
  <c r="C48" i="3"/>
  <c r="E48" i="3" s="1"/>
  <c r="C58" i="3"/>
  <c r="E58" i="3" s="1"/>
  <c r="C54" i="3"/>
  <c r="E54" i="3" s="1"/>
  <c r="C80" i="3"/>
  <c r="E80" i="3" s="1"/>
  <c r="C85" i="3"/>
  <c r="E85" i="3" s="1"/>
  <c r="C82" i="3"/>
  <c r="E82" i="3" s="1"/>
  <c r="C65" i="3"/>
  <c r="E65" i="3" l="1"/>
  <c r="C9" i="3"/>
  <c r="E9" i="3" s="1"/>
  <c r="E22" i="3"/>
  <c r="C18" i="57"/>
  <c r="D20" i="57"/>
  <c r="H263" i="14"/>
  <c r="D119" i="3" s="1"/>
  <c r="D62" i="3"/>
  <c r="C51" i="3"/>
  <c r="E51" i="3" s="1"/>
  <c r="C72" i="3"/>
  <c r="E72" i="3" s="1"/>
  <c r="C78" i="3"/>
  <c r="E78" i="3" s="1"/>
  <c r="C59" i="3"/>
  <c r="D59" i="3" l="1"/>
  <c r="D118" i="3" s="1"/>
  <c r="E62" i="3"/>
  <c r="D18" i="57"/>
  <c r="C23" i="57"/>
  <c r="D22" i="5"/>
  <c r="E22" i="5" s="1"/>
  <c r="C71" i="3"/>
  <c r="E71" i="3" s="1"/>
  <c r="C81" i="3"/>
  <c r="E81" i="3" s="1"/>
  <c r="C96" i="3"/>
  <c r="E96" i="3" s="1"/>
  <c r="C46" i="3"/>
  <c r="E46" i="3" s="1"/>
  <c r="C118" i="3" l="1"/>
  <c r="E118" i="3" s="1"/>
  <c r="E59" i="3"/>
  <c r="D20" i="5" l="1"/>
  <c r="D23" i="5" l="1"/>
  <c r="D19" i="5"/>
  <c r="E19" i="5" s="1"/>
  <c r="I103" i="14" l="1"/>
  <c r="I10" i="14" l="1"/>
  <c r="C20" i="5" l="1"/>
  <c r="I263" i="14"/>
  <c r="C23" i="5" l="1"/>
  <c r="E23" i="5" s="1"/>
  <c r="E20" i="5"/>
</calcChain>
</file>

<file path=xl/sharedStrings.xml><?xml version="1.0" encoding="utf-8"?>
<sst xmlns="http://schemas.openxmlformats.org/spreadsheetml/2006/main" count="1782" uniqueCount="926">
  <si>
    <t>Приложение 1</t>
  </si>
  <si>
    <t>Код бюджетной классификации РФ</t>
  </si>
  <si>
    <t>Название дохода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</si>
  <si>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</si>
  <si>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</si>
  <si>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</si>
  <si>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</si>
  <si>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</si>
  <si>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</si>
  <si>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</si>
  <si>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</si>
  <si>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</si>
  <si>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</si>
  <si>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</si>
  <si>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</si>
  <si>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</si>
  <si>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</si>
  <si>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</si>
  <si>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</si>
  <si>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</si>
  <si>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</si>
  <si>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</si>
  <si>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</si>
  <si>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</si>
  <si>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</si>
  <si>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</si>
  <si>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</si>
  <si>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сельскохозяйственный налог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</si>
  <si>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</si>
  <si>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</si>
  <si>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</si>
  <si>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</si>
  <si>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050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</si>
  <si>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</si>
  <si>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</si>
  <si>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</si>
  <si>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13</t>
  </si>
  <si>
    <t>130</t>
  </si>
  <si>
    <t>14</t>
  </si>
  <si>
    <t>Доходы от продажи материальных и нематериальных активов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</si>
  <si>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</si>
  <si>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</si>
  <si>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</si>
  <si>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10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</si>
  <si>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</si>
  <si>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</si>
  <si>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</si>
  <si>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</si>
  <si>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</si>
  <si>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</si>
  <si>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</si>
  <si>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955</t>
  </si>
  <si>
    <t>001</t>
  </si>
  <si>
    <t xml:space="preserve">Межбюджетные трансферты на обеспечение мероприятий по строительству и реконструкции объектов теплоснабжения 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</si>
  <si>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</si>
  <si>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Межбюджетные трансферты на обеспечение мероприятий в сфере ипотечного жилищного кредитования</t>
  </si>
  <si>
    <t>Межбюджетные трансферты на обеспечение мероприятий по  предупреждению и ликвидации последствий чрезвычайных ситуаций в границах поселения</t>
  </si>
  <si>
    <t>Межбюджетные трансферты на обеспечение   первичных мер пожарной безопасности в границах населенных пунктов поселения</t>
  </si>
  <si>
    <t>Межбюджетные трансферты на обеспечение мероприятий по уличному освещению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</si>
  <si>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</si>
  <si>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Межбюджетные трансферты на обеспечение мероприятий для развития субъектов малого и среднего предпринимательства</t>
  </si>
  <si>
    <t>ИТОГО</t>
  </si>
  <si>
    <t>Приложение 2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</si>
  <si>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</si>
  <si>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</si>
  <si>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</si>
  <si>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</si>
  <si>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</si>
  <si>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</si>
  <si>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</si>
  <si>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</si>
  <si>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</si>
  <si>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</si>
  <si>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</si>
  <si>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</si>
  <si>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</si>
  <si>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</si>
  <si>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</si>
  <si>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</si>
  <si>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</si>
  <si>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</si>
  <si>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</si>
  <si>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</si>
  <si>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</si>
  <si>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</si>
  <si>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</si>
  <si>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</si>
  <si>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</si>
  <si>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</si>
  <si>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</si>
  <si>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</si>
  <si>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</si>
  <si>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</si>
  <si>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</si>
  <si>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</si>
  <si>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</si>
  <si>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</si>
  <si>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</si>
  <si>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</si>
  <si>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</si>
  <si>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</si>
  <si>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</si>
  <si>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</si>
  <si>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</si>
  <si>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</si>
  <si>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</si>
  <si>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</si>
  <si>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</si>
  <si>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</si>
  <si>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</si>
  <si>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</si>
  <si>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</si>
  <si>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</si>
  <si>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</si>
  <si>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</si>
  <si>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</si>
  <si>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</si>
  <si>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</si>
  <si>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</si>
  <si>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</si>
  <si>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</si>
  <si>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</si>
  <si>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</si>
  <si>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</si>
  <si>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</si>
  <si>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</si>
  <si>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</si>
  <si>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</si>
  <si>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</si>
  <si>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</si>
  <si>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</si>
  <si>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</si>
  <si>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</si>
  <si>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</si>
  <si>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</si>
  <si>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</si>
  <si>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</si>
  <si>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</si>
  <si>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</si>
  <si>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</si>
  <si>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</si>
  <si>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</si>
  <si>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</si>
  <si>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</si>
  <si>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</si>
  <si>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</si>
  <si>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</si>
  <si>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</si>
  <si>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</si>
  <si>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</si>
  <si>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</si>
  <si>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</si>
  <si>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</si>
  <si>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</si>
  <si>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</si>
  <si>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</si>
  <si>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</si>
  <si>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</si>
  <si>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</si>
  <si>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</si>
  <si>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</si>
  <si>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</si>
  <si>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</si>
  <si>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</si>
  <si>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</si>
  <si>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</si>
  <si>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</si>
  <si>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</si>
  <si>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</si>
  <si>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</si>
  <si>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Приложение 4</t>
  </si>
  <si>
    <t>Приложение 5</t>
  </si>
  <si>
    <t>Название</t>
  </si>
  <si>
    <t>000 01 02 00 00 00 0000 000</t>
  </si>
  <si>
    <t>Кредиты кредитных организаций в валюте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</si>
  <si>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</si>
  <si>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</si>
  <si>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</si>
  <si>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Итого источников внутреннего финансирования</t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</si>
  <si>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</si>
  <si>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</si>
  <si>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</si>
  <si>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</si>
  <si>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t xml:space="preserve">        Погашение</t>
  </si>
  <si>
    <t>5. Предельный объем предоставляемых муниципальных гарантий</t>
  </si>
  <si>
    <t>Прочие неналоговые доходы бюджетов городских поселений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</si>
  <si>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</si>
  <si>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</si>
  <si>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</si>
  <si>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</si>
  <si>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</si>
  <si>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</si>
  <si>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</si>
  <si>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</si>
  <si>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Иные бюджетные ассигнования</t>
  </si>
  <si>
    <t>Социальное обеспечение и иные выплаты населению</t>
  </si>
  <si>
    <t>Департамент муниципального имущества Администрации ТМР</t>
  </si>
  <si>
    <t>Департамент образования Администрации ТМР</t>
  </si>
  <si>
    <t>02.0.00</t>
  </si>
  <si>
    <t>Предоставление субсидий бюджетным, автономным учреждениям и иным некоммерческим организациям</t>
  </si>
  <si>
    <t>03.0.00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</si>
  <si>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</si>
  <si>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01.0.00</t>
  </si>
  <si>
    <t>Департамент труда и соц. развития Администрации ТМР</t>
  </si>
  <si>
    <t>Департамент финансов администрации ТМР</t>
  </si>
  <si>
    <t xml:space="preserve"> Межбюджетные трансферты</t>
  </si>
  <si>
    <t>Обслуживание государственного долга Российской Федерации</t>
  </si>
  <si>
    <t>Департамент культуры, туризма и молодежной политики Администрации ТМР</t>
  </si>
  <si>
    <t>04.0.00</t>
  </si>
  <si>
    <t>04.0.01</t>
  </si>
  <si>
    <t>Департамент ЖКХ и строительства Администрации ТМР</t>
  </si>
  <si>
    <t>05.0.00</t>
  </si>
  <si>
    <t>06.0.00</t>
  </si>
  <si>
    <t>06.0.01</t>
  </si>
  <si>
    <t>07.0.00</t>
  </si>
  <si>
    <t>МУ Контрольно-счетная палата ТМР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</si>
  <si>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</si>
  <si>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</si>
  <si>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</si>
  <si>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</si>
  <si>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</si>
  <si>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</si>
  <si>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5</t>
  </si>
  <si>
    <t>5.1</t>
  </si>
  <si>
    <t>5.2</t>
  </si>
  <si>
    <t>5.3</t>
  </si>
  <si>
    <t>40.9</t>
  </si>
  <si>
    <t>Всего</t>
  </si>
  <si>
    <t>15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</si>
  <si>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</si>
  <si>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</si>
  <si>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</si>
  <si>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</si>
  <si>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</si>
  <si>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</si>
  <si>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</si>
  <si>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</si>
  <si>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</si>
  <si>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</si>
  <si>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</si>
  <si>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</si>
  <si>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</si>
  <si>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</si>
  <si>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</si>
  <si>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</si>
  <si>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</si>
  <si>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</si>
  <si>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</si>
  <si>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</si>
  <si>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</si>
  <si>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</si>
  <si>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</si>
  <si>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</si>
  <si>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</si>
  <si>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</si>
  <si>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</si>
  <si>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</si>
  <si>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</si>
  <si>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</si>
  <si>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</si>
  <si>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</si>
  <si>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</si>
  <si>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</si>
  <si>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</si>
  <si>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</si>
  <si>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</si>
  <si>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</si>
  <si>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</si>
  <si>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</si>
  <si>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</si>
  <si>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</si>
  <si>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</si>
  <si>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</si>
  <si>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</si>
  <si>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</si>
  <si>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</si>
  <si>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</si>
  <si>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</si>
  <si>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</si>
  <si>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</si>
  <si>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</si>
  <si>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</si>
  <si>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</si>
  <si>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</si>
  <si>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</si>
  <si>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</si>
  <si>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</si>
  <si>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</si>
  <si>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</si>
  <si>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</si>
  <si>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</si>
  <si>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</si>
  <si>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</si>
  <si>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</si>
  <si>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</si>
  <si>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</si>
  <si>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</si>
  <si>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</si>
  <si>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</si>
  <si>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</si>
  <si>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</si>
  <si>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</si>
  <si>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</si>
  <si>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</si>
  <si>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</si>
  <si>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</si>
  <si>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</si>
  <si>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</si>
  <si>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</si>
  <si>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</si>
  <si>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</si>
  <si>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</si>
  <si>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</si>
  <si>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</si>
  <si>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</si>
  <si>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</si>
  <si>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</si>
  <si>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</si>
  <si>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</si>
  <si>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</si>
  <si>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</si>
  <si>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</si>
  <si>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</si>
  <si>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</si>
  <si>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</si>
  <si>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</si>
  <si>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</si>
  <si>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</si>
  <si>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</si>
  <si>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</si>
  <si>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</si>
  <si>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</si>
  <si>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</si>
  <si>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</si>
  <si>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</si>
  <si>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</si>
  <si>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</si>
  <si>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</si>
  <si>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</si>
  <si>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</si>
  <si>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</si>
  <si>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</si>
  <si>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</si>
  <si>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</si>
  <si>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</si>
  <si>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</si>
  <si>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</si>
  <si>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</si>
  <si>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</si>
  <si>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</si>
  <si>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</si>
  <si>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</si>
  <si>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</si>
  <si>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</si>
  <si>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</si>
  <si>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</si>
  <si>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</si>
  <si>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</si>
  <si>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</si>
  <si>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</si>
  <si>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</si>
  <si>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</si>
  <si>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</si>
  <si>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</si>
  <si>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</si>
  <si>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</si>
  <si>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</si>
  <si>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</si>
  <si>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</si>
  <si>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</si>
  <si>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</si>
  <si>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</si>
  <si>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</si>
  <si>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</si>
  <si>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</si>
  <si>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</si>
  <si>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</si>
  <si>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</si>
  <si>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</si>
  <si>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</si>
  <si>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</si>
  <si>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</si>
  <si>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</si>
  <si>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</si>
  <si>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</si>
  <si>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</si>
  <si>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</si>
  <si>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</si>
  <si>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</si>
  <si>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</si>
  <si>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</si>
  <si>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</si>
  <si>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</si>
  <si>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</si>
  <si>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</si>
  <si>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</si>
  <si>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</si>
  <si>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</si>
  <si>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</si>
  <si>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</si>
  <si>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</si>
  <si>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</si>
  <si>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</si>
  <si>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</si>
  <si>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</si>
  <si>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</si>
  <si>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</si>
  <si>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</si>
  <si>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</si>
  <si>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</si>
  <si>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</si>
  <si>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</si>
  <si>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</si>
  <si>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</si>
  <si>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</si>
  <si>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</si>
  <si>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</si>
  <si>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</si>
  <si>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</si>
  <si>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</si>
  <si>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</si>
  <si>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</si>
  <si>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</si>
  <si>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</si>
  <si>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</si>
  <si>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</si>
  <si>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</si>
  <si>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</si>
  <si>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</si>
  <si>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</si>
  <si>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</si>
  <si>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</si>
  <si>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</si>
  <si>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</si>
  <si>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</si>
  <si>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</si>
  <si>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</si>
  <si>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</si>
  <si>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</si>
  <si>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</si>
  <si>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</si>
  <si>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</si>
  <si>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</si>
  <si>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</si>
  <si>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</si>
  <si>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</si>
  <si>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</si>
  <si>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</si>
  <si>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</si>
  <si>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</si>
  <si>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</si>
  <si>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</si>
  <si>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</si>
  <si>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</si>
  <si>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</si>
  <si>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</si>
  <si>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</si>
  <si>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</si>
  <si>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</si>
  <si>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</si>
  <si>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</si>
  <si>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</si>
  <si>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</si>
  <si>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</si>
  <si>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</si>
  <si>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</si>
  <si>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</si>
  <si>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</si>
  <si>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</si>
  <si>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</si>
  <si>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</si>
  <si>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</si>
  <si>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</si>
  <si>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</si>
  <si>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</si>
  <si>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</si>
  <si>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</si>
  <si>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</si>
  <si>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</si>
  <si>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</si>
  <si>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</si>
  <si>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</si>
  <si>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</si>
  <si>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</si>
  <si>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</si>
  <si>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</si>
  <si>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</si>
  <si>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</si>
  <si>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внутренних дел</t>
  </si>
  <si>
    <t>Код направления</t>
  </si>
  <si>
    <t>Значение</t>
  </si>
  <si>
    <t>Дополнительное образование детей</t>
  </si>
  <si>
    <t>Молодежная политика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</si>
  <si>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</si>
  <si>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</si>
  <si>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</si>
  <si>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</si>
  <si>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Повышение уровня благоустройства дворовых территорий</t>
  </si>
  <si>
    <t>городского поселения Тутаев</t>
  </si>
  <si>
    <t>Показатели</t>
  </si>
  <si>
    <t>Доходы всего</t>
  </si>
  <si>
    <t>в том числе:</t>
  </si>
  <si>
    <t>Расходы всего</t>
  </si>
  <si>
    <t>Условно утверждённые расходы</t>
  </si>
  <si>
    <t xml:space="preserve">Результат исполнения бюджета </t>
  </si>
  <si>
    <t>(дефицит «-»,  профицит «+»)</t>
  </si>
  <si>
    <t>к решению Муниципального Совета</t>
  </si>
  <si>
    <t>Код направления расходов</t>
  </si>
  <si>
    <t>Наименование межбюджетного трансферта</t>
  </si>
  <si>
    <t>№ п/п</t>
  </si>
  <si>
    <t>Благоустройство и озеленение  территории городского поселения Тутаев</t>
  </si>
  <si>
    <t xml:space="preserve"> Дорожная деятельность в отношении дорожной сети   городского поселения Тутаев </t>
  </si>
  <si>
    <t>Предоставление поддержки  субъектам малого и среднего предпринимательства городского поселения Тутаев</t>
  </si>
  <si>
    <t>01.0.01</t>
  </si>
  <si>
    <t>02.0.01</t>
  </si>
  <si>
    <t>01.0.02</t>
  </si>
  <si>
    <t>02.0.02</t>
  </si>
  <si>
    <t>Реализация мероприятий губернаторского проекта "Решаем вместе!" (инициативное бюджетирование)</t>
  </si>
  <si>
    <t>05.0.01</t>
  </si>
  <si>
    <t>03.0.01</t>
  </si>
  <si>
    <t>07.0.01</t>
  </si>
  <si>
    <t>40.0.00</t>
  </si>
  <si>
    <t>03.0.02</t>
  </si>
  <si>
    <t>75876</t>
  </si>
  <si>
    <t>72446</t>
  </si>
  <si>
    <t>73266</t>
  </si>
  <si>
    <t>73906</t>
  </si>
  <si>
    <t>75356</t>
  </si>
  <si>
    <t>75556</t>
  </si>
  <si>
    <t>75626</t>
  </si>
  <si>
    <t>71756</t>
  </si>
  <si>
    <t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</si>
  <si>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 xml:space="preserve">Межбюджетные трансферты на обеспечение мероприятий по строительству,  реконструкции и ремонту  объектов водоснабжения и водоотведения </t>
  </si>
  <si>
    <t>Межбюджетные трансферты на обеспечение   мероприятий в области  дорожного хозяйства  на строительство и  модернизацию автомобильных дорог</t>
  </si>
  <si>
    <t>Межбюджетные трансферты на обеспечение   мероприятий в области  дорожного хозяйства  на  ремонт и содержание автомобильных дорог</t>
  </si>
  <si>
    <t xml:space="preserve">Межбюджетные трансферты на обеспечение мероприятий в области дорожного хозяйства по строительству светофорных объектов </t>
  </si>
  <si>
    <t xml:space="preserve">Межбюджетные трансферты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</si>
  <si>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Межбюджетные трансферты на обеспечение мероприятий по переселению граждан из аварийного жилищного фонда за счет средств бюджета поселения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</si>
  <si>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</si>
  <si>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 обеспечение мероприятий по организации населению услуг бань  в общих отделениях</t>
  </si>
  <si>
    <t xml:space="preserve">Межбюджетные трансферты на обеспечение культурно-досуговых мероприятий </t>
  </si>
  <si>
    <t>Межбюджетные трансферты на обеспечение  физкультурно-спортивных мероприятий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</si>
  <si>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</si>
  <si>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</si>
  <si>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внесению изменений в документы территориального планирования</t>
  </si>
  <si>
    <t>Межбюджетные трансферты на обеспечение мероприятий по выдаче градостроительных документов</t>
  </si>
  <si>
    <t>Межбюджетные трансферты на обеспечение мероприятий по  содержанию мест захоронения</t>
  </si>
  <si>
    <t>Межбюджетные трансферты на обеспечение мероприятий  по работе с детьми и молодежью</t>
  </si>
  <si>
    <t>Межбюджетные трансферты на обеспечение мероприятий по поддержке СМИ</t>
  </si>
  <si>
    <t>Межбюджетные трансферты на обеспечение мероприятий по содержанию,  реконструкции и капитальному ремонту муниципального жилищного фонда</t>
  </si>
  <si>
    <t>Межбюджетные трансферты на обеспечение мероприятий по осуществлению внешнего муниципального контроля</t>
  </si>
  <si>
    <t>Межбюджетные трансферты на 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</si>
  <si>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Межбюджетные трансферты на 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</si>
  <si>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Межбюджетные трансферты на 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</si>
  <si>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Межбюджетные трансферты на обеспечение мероприятий по строительству  спортивных объектов</t>
  </si>
  <si>
    <t xml:space="preserve">Межбюджетные трансферты на обеспечение мероприятий по начислению и сбору платы за найм муниципального жилищного фонда </t>
  </si>
  <si>
    <t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t>
  </si>
  <si>
    <t>Межбюджетные трансферты на обеспечение мероприятий по защите от чрезвычайных ситуаций природного и техногенного характера</t>
  </si>
  <si>
    <t xml:space="preserve"> Межбюджетные трансферты на обеспечение мероприятий по строительству и реконструкции  памятников</t>
  </si>
  <si>
    <t>Межбюджетные трансферты на обеспечение деятельности народных дружин</t>
  </si>
  <si>
    <t xml:space="preserve">Межбюджетные трансферты на обеспечение мероприятий в области дорожного хозяйства по ремонту дворовых территорий </t>
  </si>
  <si>
    <t>Межбюджетные трансферты на обеспечение мероприятий по строительству, реконструкции и ремонту общественных туалетов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</si>
  <si>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</si>
  <si>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мероприятий по организации населению услуг торговли</t>
  </si>
  <si>
    <t>Межбюджетные трансферты на обеспечение участия  по  сбору   и  транспортированию ТКО и КГО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</si>
  <si>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</si>
  <si>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обеспечение мероприятий по оптимизации теплоснабжения с переводом объектов на индивидуальное отопление</t>
  </si>
  <si>
    <t>Межбюджетные трансферты на обеспечение мероприятий по строительству канатной дороги через р. Волга</t>
  </si>
  <si>
    <t>Межбюджетные трансферты на обеспечение мероприятий по переработке и утилизации ливневых стоков</t>
  </si>
  <si>
    <t>Межбюджетные трансферты на обеспечение мероприятий  по разработке программы транспортной инфраструктуры</t>
  </si>
  <si>
    <t>Межбюджетные трансферты на обеспечение мероприятий по актуализации схем водоснабжения и водоотведения</t>
  </si>
  <si>
    <t>Межбюджетные трансферты на обеспечение мероприятий по формированию современной городской среды в области дорожного хозяйства</t>
  </si>
  <si>
    <t>Межбюджетные трансферты на обеспечение мероприятий по актуализации  границ  особо охраняемых объектов -  памятников природы</t>
  </si>
  <si>
    <t>Межбюджетные трансферты на обеспечение содержания и организации деятельности в области  дорожного хозяйства</t>
  </si>
  <si>
    <t>Межбюджетные трансферты на обеспечение надежного теплоснабжения жилищного фонда городского поселения Тутаев</t>
  </si>
  <si>
    <t>Межбюджетные трансферты на обеспечение мероприятий  по разработке программы коммунальной  инфраструктуры</t>
  </si>
  <si>
    <t>Межбюджетные трансферты на обеспечение мероприятий по разработке схем организации дорожного движения в рамках агломерации "Ярославская"</t>
  </si>
  <si>
    <t>Межбюджетные трансферты на обеспечение мероприятий в области дорожного хозяйства по инициативному бюджетированию</t>
  </si>
  <si>
    <t>Межбюджетные трансферты на обеспечение мероприятий в области благоустройства  по инициативному  бюджетированию</t>
  </si>
  <si>
    <t>02.0.03</t>
  </si>
  <si>
    <t>Содержание и благоустройство мест захоронений</t>
  </si>
  <si>
    <t>Межбюджетные трансферты на обеспечение мероприятий в области сохранения и восстановления исторического облика населенных пунктов поселений, объектов культурного наследия</t>
  </si>
  <si>
    <t>Межбюджетные трансферты на обеспечение мероприятий в рамках реализации проекта "Сохранение и развитие малых исторических городов и поселений"</t>
  </si>
  <si>
    <t>Содержание Председателя Муниципального Совета городского поселения Тутаев</t>
  </si>
  <si>
    <t>Дополнительное пенсионное обеспечение муниципальных служащих городского поселения Тутаев</t>
  </si>
  <si>
    <t>Взнос на капитальный  ремонт  жилых помещений муниципального жилищного фонда</t>
  </si>
  <si>
    <t>Ежегодная премия лицам удостоившихся звания "Почетный гражданин города Тутаева"</t>
  </si>
  <si>
    <t>Выплаты по обязательствам муниципального образования</t>
  </si>
  <si>
    <t>Обеспечение мероприятий по землеустройству и землепользованию, определению кадастровой стоимости и приобретению прав собственности</t>
  </si>
  <si>
    <t>Обеспечение проведения выборов в представительный орган городского поселения Тутаев</t>
  </si>
  <si>
    <t>Обеспечение деятельности народных дружин</t>
  </si>
  <si>
    <t>Обеспечение  культурно-массовых мероприятий городского поселения Тутаев</t>
  </si>
  <si>
    <t xml:space="preserve">Поддержка  социально ориентированных некоммерческих организаций </t>
  </si>
  <si>
    <t>Обеспечение   первичных мер пожарной безопасности в границах городского поселения Тутаев</t>
  </si>
  <si>
    <t>Расходы на реализацию мероприятий по предоставлению молодым семьям, проживающим на территории городского поселения Тутаев, социальных выплат на приобретение (строительство) жилья</t>
  </si>
  <si>
    <t xml:space="preserve">Межбюджетные трансферты на строительство и реконструкцию  объектов  газификации 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</si>
  <si>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</si>
  <si>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Обеспечение мероприятий по  предупреждению и ликвидации последствий чрезвычайных ситуаций в границах поселения</t>
  </si>
  <si>
    <t xml:space="preserve">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</si>
  <si>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Расходы на реализацию мероприятий по поддержке граждан, проживающих на территории городского поселения Тутаев, в сфере ипотечного жилищного кредитования</t>
  </si>
  <si>
    <t>Обслуживание внутренних долговых обязательств</t>
  </si>
  <si>
    <t>Содержание имущества казны городского поселения Тутаев</t>
  </si>
  <si>
    <t>Межбюджетные трансферты на дополнительное пенсионное  обеспечение муниципальных служащих городского поселения Тутаев</t>
  </si>
  <si>
    <t>08.0.00</t>
  </si>
  <si>
    <t>08.0.01</t>
  </si>
  <si>
    <t>Межбюджетные трансферты на обеспечение мероприятий  по землеустройству и землепользованию,   определению кадастровой стоимости и приобретению прав собственности на землю</t>
  </si>
  <si>
    <t>Муниципальный Совет городского поселения Тутаев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</si>
  <si>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</si>
  <si>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</si>
  <si>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</si>
  <si>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</si>
  <si>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020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</si>
  <si>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</si>
  <si>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</si>
  <si>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</si>
  <si>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</si>
  <si>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</si>
  <si>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</si>
  <si>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410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</si>
  <si>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</si>
  <si>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</si>
  <si>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</si>
  <si>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180</t>
  </si>
  <si>
    <t>Дотации бюджетам бюджетной системы Российской Федерации</t>
  </si>
  <si>
    <t>150</t>
  </si>
  <si>
    <t>Дотации на выравнивание бюджетной обеспеченности</t>
  </si>
  <si>
    <t>Повышение  уровня благоустройства  мест массового отдыха  населения (городских парков)</t>
  </si>
  <si>
    <t>Межбюджетные трансферты на обеспечение  мероприятий программы "Улучшение условий проживания отдельных категорий граждан, нуждающихся в специальной социальной защите</t>
  </si>
  <si>
    <t xml:space="preserve">Межбюджетные трансферты на содержание органов местного самоуправления </t>
  </si>
  <si>
    <t>Обеспечение мероприятий по охране окружающей среды и природопользования на территории городского поселения Тутаев</t>
  </si>
  <si>
    <t xml:space="preserve">Поддержка граждан, проживающих на территории городского поселения Тутаев, в сфере ипотечного жилищного кредитования </t>
  </si>
  <si>
    <t>Обеспечение мероприятий по разработке и  внесению изменений в правила землепользования и застройки</t>
  </si>
  <si>
    <t>Межбюджетные трансферты на обеспечение мероприятий по  формированию современной городской среды  в области благоустройства</t>
  </si>
  <si>
    <t>Обеспечение мероприятий в области сохранения и восстановления исторического облика г. Тутаев, создание зон охраны объектов культурного наследия</t>
  </si>
  <si>
    <t>00.0.00</t>
  </si>
  <si>
    <t>Обеспечение мероприятий по организации населению услуг бань в общих отделениях</t>
  </si>
  <si>
    <t>000 01 02 00 00 00 0000 700</t>
  </si>
  <si>
    <t xml:space="preserve">Получение кредитов от кредитных организаций в валюте Российской Федерации
</t>
  </si>
  <si>
    <t>950 01 02 00 00 13 0000 710</t>
  </si>
  <si>
    <t>Получение кредитов от кредитных организаций бюджетами городских поселений в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</si>
  <si>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</si>
  <si>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</si>
  <si>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950 01 02 00 00 13 0000 810</t>
  </si>
  <si>
    <t xml:space="preserve">Погашение бюджетами  городских поселений кредитов от кредитных организаций в валюте Российской Федерации
</t>
  </si>
  <si>
    <t xml:space="preserve">Бюджетные кредиты от других бюджетов бюджетной системы Российской Федерации </t>
  </si>
  <si>
    <t>000 01 03 01 00 00 0000 700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</si>
  <si>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</si>
  <si>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000 01 03 01 00 13 4620 710</t>
  </si>
  <si>
    <t xml:space="preserve">Получение кредитов от других бюджетов бюджетной системы Российской Федерации бюджетами городских  поселений в валюте Российской Федерации
</t>
  </si>
  <si>
    <t>000 01 03 01 00 00 0000 800</t>
  </si>
  <si>
    <t>000 01 03 01 00 13 4620 810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</si>
  <si>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</si>
  <si>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Изменение остатков средств на счетах по учёту средств бюджетов
</t>
  </si>
  <si>
    <t>000  01 05 02 01 13 0000 510</t>
  </si>
  <si>
    <t xml:space="preserve">Увеличение прочих остатков денежных средств бюджетов  городских поселений
</t>
  </si>
  <si>
    <t>000  01 05 02 01 13 0000 610</t>
  </si>
  <si>
    <t>Уменьшение прочих остатков денежных средств бюджетов  городских поселений</t>
  </si>
  <si>
    <t xml:space="preserve">                                                                               Сумма, руб.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</si>
  <si>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</si>
  <si>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Межбюджетные трансферты на обеспечение  мероприятий по  разработке схем организации дорожного движения в рамках агломерации "Ярославская"</t>
  </si>
  <si>
    <t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t>
  </si>
  <si>
    <t>Межбюджетные трансферты на обеспечение  софинансирования мероприятий по капитальному ремонту и ремонту дорожных объектов муниципальной собственности</t>
  </si>
  <si>
    <t xml:space="preserve">Межбюджетные трансферты на обеспечение мероприятий по  формированию современной городской среды </t>
  </si>
  <si>
    <t>09.0.00</t>
  </si>
  <si>
    <t>09.0.01</t>
  </si>
  <si>
    <t>09.0.02</t>
  </si>
  <si>
    <t>Проведение историко-культурной экспертизы объектов культурного наследия</t>
  </si>
  <si>
    <t>10.0.00</t>
  </si>
  <si>
    <t>10.0.01</t>
  </si>
  <si>
    <t>10.0.02</t>
  </si>
  <si>
    <t>Налоговые и неналоговые доходы, из них:</t>
  </si>
  <si>
    <t>950</t>
  </si>
  <si>
    <t>45</t>
  </si>
  <si>
    <t>393</t>
  </si>
  <si>
    <t>40</t>
  </si>
  <si>
    <t>Иные межбюджетные трансферты</t>
  </si>
  <si>
    <t>Реализация проектов создания комфортной городской среды в малых городах и исторических поселениях</t>
  </si>
  <si>
    <t>01.0.03</t>
  </si>
  <si>
    <t>01.0.F2</t>
  </si>
  <si>
    <t>Межбюджетные трансферты на создания комфортной городской среды в малых городах и исторических поселениях</t>
  </si>
  <si>
    <t xml:space="preserve">Межбюджетные трансферты на реализацию регионального проекта "Формирования современной городской среды" </t>
  </si>
  <si>
    <t>424</t>
  </si>
  <si>
    <t>20</t>
  </si>
  <si>
    <t>Субсидии бюджетам бюджетной системы Российской Федерации (межбюджетные субсидии)</t>
  </si>
  <si>
    <t>Межбюджетные трансферты на обеспечение  обязательств  по содержанию казны поселения</t>
  </si>
  <si>
    <t>Реализация   проекта "Формирование комфортной городской среды"</t>
  </si>
  <si>
    <t>002</t>
  </si>
  <si>
    <t>Дотации бюджетам на поддержку мер по обеспечению сбалансированности бюджетов</t>
  </si>
  <si>
    <t>25</t>
  </si>
  <si>
    <t>555</t>
  </si>
  <si>
    <t>Субсидии бюджетам городских поселений на реализацию программ формирования современной городской среды</t>
  </si>
  <si>
    <t>497</t>
  </si>
  <si>
    <t>07</t>
  </si>
  <si>
    <t>030</t>
  </si>
  <si>
    <t>Прочие безвозмездные поступления</t>
  </si>
  <si>
    <t>Прочие безвозмездные поступления в бюджеты городских поселений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</si>
  <si>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</si>
  <si>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Приобретение объектов недвижимого имущества в муниципальную собственность</t>
  </si>
  <si>
    <t>Муниципальная программа "Благоустройство и озеленение территории городского поселения Тутаев"</t>
  </si>
  <si>
    <t>Муниципальная программа "Развитие субъектов малого и среднего предпринимательства городского поселения Тутаев"</t>
  </si>
  <si>
    <t>Муниципальная   программа "Переселение граждан из  жилищного фонда, признанного непригодным для проживания, и (или)  жилищного фонда с высоким уровнем износа на территории городского поселения Тутаев"</t>
  </si>
  <si>
    <t xml:space="preserve">Муниципальная программа "Предоставление молодым семьям социальных выплат на приобретение (строительство) жилья" </t>
  </si>
  <si>
    <t xml:space="preserve">Муниципальная программа "Обеспечение населения городского поселения Тутаев банными услугами" </t>
  </si>
  <si>
    <t xml:space="preserve">Муниципальная программа "Градостроительная деятельность на территории городского поселения Тутаев" </t>
  </si>
  <si>
    <t xml:space="preserve">Муниципальная программа "Сохранение, использование и популяризация объектов культурного наследия на территории городского поселения Тутаев" </t>
  </si>
  <si>
    <t xml:space="preserve">Муниципальная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t>
  </si>
  <si>
    <t>Разработка, согласование, утверждение проекта зон охраны объектов культурного наследия</t>
  </si>
  <si>
    <t>Программные расходы бюджета</t>
  </si>
  <si>
    <t xml:space="preserve">Муниципальная программа "Формирование современной городской среды на территории городского поселения Тутаев"
</t>
  </si>
  <si>
    <t>Поддержка молодых семей в приобретении (строительстве) жилья на территории городского поселения Тутаев</t>
  </si>
  <si>
    <t xml:space="preserve">Обеспечение мероприятий по разработке и  актуализации схем инженерного обеспечения  </t>
  </si>
  <si>
    <t>Обеспечение мероприятий по получению  технических паспортов  МКД, которые признаны аварийными и подлежащими сносу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</si>
  <si>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</si>
  <si>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обеспечение мероприятий по обеспечению безопасности людей на водных объектах, охране их жизни и здоровья</t>
  </si>
  <si>
    <t xml:space="preserve">Муниципальная программа "Развитие и содержание дорожного хозяйства на территории  городского поселения Тутаев"
</t>
  </si>
  <si>
    <t>013</t>
  </si>
  <si>
    <t>29</t>
  </si>
  <si>
    <t>999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</si>
  <si>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</si>
  <si>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</si>
  <si>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03.0.R1</t>
  </si>
  <si>
    <t>Федеральный проект "Дорожная сеть"</t>
  </si>
  <si>
    <t>11.0.00</t>
  </si>
  <si>
    <t>11.0.G6</t>
  </si>
  <si>
    <t>Федеральный проект "Оздоровление Волги"</t>
  </si>
  <si>
    <t>76426</t>
  </si>
  <si>
    <t>Межбюджетные трансферты на обеспечение мероприятий по разработке и экспертизе ПСД</t>
  </si>
  <si>
    <t>Межбюджетные трансферты на обеспечение мероприятий по безопасности жителей города</t>
  </si>
  <si>
    <t>Приложение 10</t>
  </si>
  <si>
    <t>Межбюджетные трансферты на обеспечение мероприятий по обустройству мест массового отдыха в рамках реализации губернаторского проекта «Решаем вместе!»</t>
  </si>
  <si>
    <t>Межбюджетные трансферты на реализацию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</si>
  <si>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Межбюджетные трансферты на обеспечение реализации мероприятий по созданию условий для развития инфраструктуры досуга и отдыха на территории муниципальных образований Ярославской области </t>
  </si>
  <si>
    <t>Межбюджетные трансферты на реализацию мероприятий  предусмотренных НПА ЯО</t>
  </si>
  <si>
    <t>Межбюджетные трансферты на комплексное развитие транспортной инфраструктуры городской агломерации «Ярославская»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</si>
  <si>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</si>
  <si>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Межбюджетные трансферты  на реализацию мероприятий инициативного бюджетирования на территории Ярославской области</t>
  </si>
  <si>
    <t>Межбюджетные трансферты на обеспечение мероприятий по капитальному ремонту и ремонту дорожных объектов муниципальной собственности</t>
  </si>
  <si>
    <t>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</si>
  <si>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Межбюджетные трансферты на реализацию мероприятий   по  формированию современной городской среды</t>
  </si>
  <si>
    <t>Межбюджетные трансферты на обеспечение мероприятий по улучшение жилищных условий молодых семей, проживающих и на территории Ярославской области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</si>
  <si>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поселения</t>
  </si>
  <si>
    <t>12.0.00</t>
  </si>
  <si>
    <t>12.0.01</t>
  </si>
  <si>
    <t xml:space="preserve">Муниципальная программа "Переселение граждан из аварийного жилищного фонда городского поселения Тутаев" </t>
  </si>
  <si>
    <t>Обеспечение  мероприятий по поддержке молодых семей в приобретении (строительстве) жилья</t>
  </si>
  <si>
    <t>L5270</t>
  </si>
  <si>
    <t>Обеспечение софинансирования государственной поддержки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</si>
  <si>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L5556</t>
  </si>
  <si>
    <t xml:space="preserve">Обеспечение софинансирования мероприятий по  формированию современной городской среды </t>
  </si>
  <si>
    <t>L5606</t>
  </si>
  <si>
    <t>Обеспечение  софинансирования мероприятий по обустройству мест массового отдыха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</si>
  <si>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</si>
  <si>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</si>
  <si>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</si>
  <si>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140</t>
  </si>
  <si>
    <t>Административные штрафы, установленные законами субъектов Российской Федерации об административных правонарушениях</t>
  </si>
  <si>
    <t>041</t>
  </si>
  <si>
    <t>Субсидии бюджетам на сокращение доли загрязненных сточных вод</t>
  </si>
  <si>
    <t>Субсидии бюджетам на реализацию мероприятий по обеспечению жильем молодых семей</t>
  </si>
  <si>
    <t>Субсидии бюджетам на реализацию программ формирования современной городской среды</t>
  </si>
  <si>
    <t>Прочие субсидии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</si>
  <si>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</si>
  <si>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</si>
  <si>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</si>
  <si>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</si>
  <si>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Субсидии бюджетам городских поселений на реализацию мероприятий по обеспечению жильем молодых семей</t>
  </si>
  <si>
    <t>Субсидии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</si>
  <si>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302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</si>
  <si>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</si>
  <si>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</si>
  <si>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13.0.00</t>
  </si>
  <si>
    <t>13.0.01</t>
  </si>
  <si>
    <t>Создание механизма управления потреблением энергетических ресурсов и сокращение бюджетных затрат</t>
  </si>
  <si>
    <t>12.0.F3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</si>
  <si>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</si>
  <si>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1. Кредиты кредитных организаций</t>
  </si>
  <si>
    <t xml:space="preserve">Межбюджетные трансферты на мероприятия в области  дорожного хозяйства </t>
  </si>
  <si>
    <t>Межбюджетные трансферты на благоустройство, реставрацию и реконструкцию воинских захоронение и военно-мемориальных объектов за счет средств области</t>
  </si>
  <si>
    <t>Расходы на  обеспечение мероприятий по переселению граждан из аварийного жилищного фонда, доп. площади</t>
  </si>
  <si>
    <t>Расходы на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 бюджета поселения</t>
  </si>
  <si>
    <r>
      <t>Муниципальная программа "Э</t>
    </r>
    <r>
      <rPr>
        <b/>
        <i/>
        <sz val="12"/>
        <color rgb="FF101010"/>
        <rFont val="Times New Roman"/>
        <family val="1"/>
        <charset val="204"/>
      </rPr>
      <t>нергосбережение и повышение энергетической эффективности использования электрической энергии при эксплуатации объектов наружного  освещения города Тутаева"</t>
    </r>
  </si>
  <si>
    <t>Муниципальная программа "Развитие водоснабжения, водоотведения и очистки сточных вод на территории городского поселения Тутаев"</t>
  </si>
  <si>
    <t>Федеральный проект "Обеспечение устойчивого сокращения непригодного для проживания жилищного фонда"</t>
  </si>
  <si>
    <t>L4970</t>
  </si>
  <si>
    <t>Расходы на реализацию задач по государственной поддержке граждан проживающих на территории ЯО, в сфере ипотечного кредитования</t>
  </si>
  <si>
    <t>Расходы на обеспечение софинансирования мероприятий в сфере ипотечного кредитования</t>
  </si>
  <si>
    <t>Выполнение других обязательств органами местного самоуправления</t>
  </si>
  <si>
    <t>Разработка и внесение изменений в документы территориального планирования и градостроительного зонирования городского поселения Тутаев</t>
  </si>
  <si>
    <t>Обеспечение мероприятий по разработке и  внесению изменений в градостроительную документацию</t>
  </si>
  <si>
    <t xml:space="preserve">неналоговые доходы </t>
  </si>
  <si>
    <t xml:space="preserve">налоговые доходы </t>
  </si>
  <si>
    <t>Создание возможности предоставления качественных бытовых и оздоровительных услуг к современным требованиям санитарных норм и правил</t>
  </si>
  <si>
    <t>Обеспечение благоустроенными жилыми помещениями гражданам, переселяемым из многоквартирных домов, признанных в установленном порядке аварийными и подлежащими сносу или реконструкции в связи с физическим износом в процессе их эксплуатации за счет привлечения финансовой поддержки государственной корпорации – Фонда содействия реформированию жилищно-коммунального хозяйства (далее - Фонд) на территории городского поселения Тутаев</t>
  </si>
  <si>
    <t xml:space="preserve">Обеспечение благоустроенными жильем граждан, переселяемых из непригодного для проживания жилищного фонда городского поселения Тутаев </t>
  </si>
  <si>
    <t>Доходы от оказания платных услуг и компенсации затрат государства</t>
  </si>
  <si>
    <t>6748S</t>
  </si>
  <si>
    <t xml:space="preserve"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местного бюджета </t>
  </si>
  <si>
    <t>14.0.00</t>
  </si>
  <si>
    <t>14.0.01</t>
  </si>
  <si>
    <r>
      <t>Муниципальная программа "Обеспечение безопасности граждан на водных объектах, охрана их жизни и здоровья на территории городского поселения Тутаев</t>
    </r>
    <r>
      <rPr>
        <b/>
        <i/>
        <sz val="12"/>
        <color rgb="FF101010"/>
        <rFont val="Times New Roman"/>
        <family val="1"/>
        <charset val="204"/>
      </rPr>
      <t>"</t>
    </r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</si>
  <si>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</si>
  <si>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Обеспечение мероприятий по безопасности граждан на водных объектах</t>
  </si>
  <si>
    <t>11.0.01</t>
  </si>
  <si>
    <t>Мероприятия по гарантированому  обеспечению  населения питьевой водой, очистки сточных вод,охраны источников питьевого водоснабжения от загрязнения</t>
  </si>
  <si>
    <t>Расходы на обеспечение мероприятий по переселению граждан из аварийного жилищного фонда, в т.ч. переселению граждан  из аврийного ЖФ с учетом необходимости развития малоэтажного жилищного строительства, за счет средств ,поступивших от гос.корпорации-Фонда содействия реформированию ЖКХ</t>
  </si>
  <si>
    <t xml:space="preserve">Межбюджетные трансферты на обеспечение мероприятий по содержанию  военно- мемориального комплекса </t>
  </si>
  <si>
    <t>Реализации мероприятий по развитию инвестиционной привлекательности в монопрофильных муниципальных образованиях</t>
  </si>
  <si>
    <t>04.0.02</t>
  </si>
  <si>
    <t>Межбюджетные трансферты  на софинансирование расходов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</si>
  <si>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76936</t>
  </si>
  <si>
    <t>Межбюджетные трансферты на обеспечение мероприятий по актуализации схем коммунальной инфраструктуры</t>
  </si>
  <si>
    <t>Обеспечение мероприятий по обеспечению безопастности граждан на водных объектах</t>
  </si>
  <si>
    <t>Расходы на  софинансирование мероприятий  по обеспечению безопастности граждан на водных объектах</t>
  </si>
  <si>
    <r>
      <t>Муниципальная программа "Стимулирование инвестиционной деятельности в городском поселении Тутаев</t>
    </r>
    <r>
      <rPr>
        <b/>
        <i/>
        <sz val="12"/>
        <color rgb="FF101010"/>
        <rFont val="Times New Roman"/>
        <family val="1"/>
        <charset val="204"/>
      </rPr>
      <t>"</t>
    </r>
  </si>
  <si>
    <t>15.0.01</t>
  </si>
  <si>
    <t>15.0.00</t>
  </si>
  <si>
    <t>Создание условий для развития инвестиционной привлекательности и наращивания налогового потенциала в г.Тутаев Ярославской области</t>
  </si>
  <si>
    <t>Обеспечение мероприятий по проведению обследований зданий, сооружений</t>
  </si>
  <si>
    <t>Установление соотвествия утвержденным градостроительным нормам объектов недвижимости</t>
  </si>
  <si>
    <t>76930</t>
  </si>
  <si>
    <t>Расходы на 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</si>
  <si>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Межбюджетные трансферты на благоустройство, реставрацию и реконструкцию воинских захоронений и военно-мемориальных объектов за счет средств поселений</t>
  </si>
  <si>
    <t xml:space="preserve"> Межбюджетные трансферты на обеспечение мероприятий по выполнению прочих обязательств органами местного самоуправления</t>
  </si>
  <si>
    <t>плановое исполнение бюджета</t>
  </si>
  <si>
    <t xml:space="preserve">пред.дефицит на начало года </t>
  </si>
  <si>
    <t xml:space="preserve"> Остатки на счетах на начало года</t>
  </si>
  <si>
    <t>предельно допустимый дефицит с учетом остатков(лимит)</t>
  </si>
  <si>
    <t>допустимо возможная разница</t>
  </si>
  <si>
    <t>Реализация мероприятий  на софинансирование расходов 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</si>
  <si>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10.0.03</t>
  </si>
  <si>
    <t>Сохранение и использование объектов культурного наследия</t>
  </si>
  <si>
    <t>Межбюджетные трансферты на обеспечение мероприятий по охране окружающей среды и природопользования на территории городского поселения Тутаев</t>
  </si>
  <si>
    <t>19</t>
  </si>
  <si>
    <t>Прочие дотации</t>
  </si>
  <si>
    <t>229</t>
  </si>
  <si>
    <t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</si>
  <si>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2005</t>
  </si>
  <si>
    <t>2021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</si>
  <si>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</si>
  <si>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Субсидия на реализацию мероприятий по обеспечению безопасности граждан на водных объектах</t>
  </si>
  <si>
    <t>003</t>
  </si>
  <si>
    <t>004</t>
  </si>
  <si>
    <t>005</t>
  </si>
  <si>
    <t>Безвозмездные поступления на комплексное благоустройство дворовой территории многоквартирного дома г. Тутаев, ул. Розы Люксембург, д. 58</t>
  </si>
  <si>
    <t>Безвозмездные поступления на комплексное благоустройство дворовой территории многоквартирного дома г. Тутаев, ул. Советская, д. 20</t>
  </si>
  <si>
    <t>Безвозмездные поступления на комплексное благоустройство дворовой территории многоквартирного дома г. Тутаев, ул. Комсомольская, д. 121</t>
  </si>
  <si>
    <t>Безвозмездные поступления на комплексное благоустройство дворовой территории многоквартирного дома г. Тутаев, ул. Комсомольская, д. 87</t>
  </si>
  <si>
    <t>Безвозмездные поступления на комплексное благоустройство дворовой территории многоквартирного дома г. Тутаев, ул. Розы Люксембург, д. 60</t>
  </si>
  <si>
    <t xml:space="preserve">Межбюджетные трансферты на реализацию проекта по  формированию современной городской среды в малых городах и исторических поселениях </t>
  </si>
  <si>
    <t>Межбюджетные трансферты на реализацию приоритетных проектов</t>
  </si>
  <si>
    <t>Реализация мероприятий губернаторского проекта "Решаем вместе!" (приоритетные проекты пл. Юбилейная)</t>
  </si>
  <si>
    <t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</si>
  <si>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77266</t>
  </si>
  <si>
    <t>Органы прокуратуры и следствия</t>
  </si>
  <si>
    <t>Войска национальной гвардии Российской Федерации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</si>
  <si>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</si>
  <si>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</si>
  <si>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</si>
  <si>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</si>
  <si>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</si>
  <si>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</si>
  <si>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Дорожное хозяйство(дорожные фонды)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</si>
  <si>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</si>
  <si>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безвозмездные поступления от других бюджетов бюджетной системы Российской Федерации</t>
  </si>
  <si>
    <t>76935</t>
  </si>
  <si>
    <t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t>
  </si>
  <si>
    <t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</si>
  <si>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299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</si>
  <si>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</si>
  <si>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Межбюджетные трансферты на обеспечение мероприятий,  связанные с выполнением полномочий ОМС МО  по теплоснабжению</t>
  </si>
  <si>
    <t>Межбюджетные трансферты на реализацию приоритетных проектов софинансирование из бюджета поселения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</si>
  <si>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</si>
  <si>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</si>
  <si>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Субсидии бюджетам городских поселений на сокращение доли загрязненных сточных вод</t>
  </si>
  <si>
    <t>дорожный фонд 4998990,14</t>
  </si>
  <si>
    <t>прочие 16560542,65</t>
  </si>
  <si>
    <t>080</t>
  </si>
  <si>
    <t>949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</si>
  <si>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</si>
  <si>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от _____________ № ____</t>
  </si>
  <si>
    <t>1004</t>
  </si>
  <si>
    <t>1005</t>
  </si>
  <si>
    <t>Дотация на реализацию приоритетных проектов</t>
  </si>
  <si>
    <t>Дотации на реализацию мероприятий, предусмотренных нормативными правовыми актами органов государственной власти Ярославской области</t>
  </si>
  <si>
    <t>Фактическое исполнение за 9 месяцев 2021 года, руб.</t>
  </si>
  <si>
    <t>Задолженность и перерасчеты по отмененным налогам, сборам и иным обязательным платежам</t>
  </si>
  <si>
    <t>04</t>
  </si>
  <si>
    <t>032</t>
  </si>
  <si>
    <t>123</t>
  </si>
  <si>
    <t>0131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</si>
  <si>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</si>
  <si>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</si>
  <si>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006</t>
  </si>
  <si>
    <t>Безвозмездные поступления на комплексное благоустройство дворовой территории многоквартирного дома г. Тутаев, пр-т 50-летия Победы, д. 28</t>
  </si>
  <si>
    <t>к постановлению Администрации</t>
  </si>
  <si>
    <t>Тутаевского муниципального района</t>
  </si>
  <si>
    <t xml:space="preserve"> Уточненный план, рублей</t>
  </si>
  <si>
    <t>%</t>
  </si>
  <si>
    <t>10%</t>
  </si>
  <si>
    <t>обл. 351540595,87</t>
  </si>
  <si>
    <t>Исполнение расходов бюджета  городского поселения Тутаев по разделам и подразделам классификации расходов бюджетов Российской Федерации за 9 месяцев 2021 года</t>
  </si>
  <si>
    <t>Фактическое исполнение за 9 месяцев года, руб.</t>
  </si>
  <si>
    <t>Виды заимствований</t>
  </si>
  <si>
    <t xml:space="preserve">                                                                    Сумма, руб.</t>
  </si>
  <si>
    <t xml:space="preserve"> Получение кредитов</t>
  </si>
  <si>
    <t xml:space="preserve">        Получение</t>
  </si>
  <si>
    <t>в том числе сумма, направляемая на покрытие дефицита бюджета</t>
  </si>
  <si>
    <t xml:space="preserve">2. Информация о фактических объемах </t>
  </si>
  <si>
    <t xml:space="preserve">в том числе верхний предел долга по муниципальным гарантиям  </t>
  </si>
  <si>
    <t xml:space="preserve">за 2021 год </t>
  </si>
  <si>
    <t>2. Фактический объем расходов на обслуживание муниципального долга</t>
  </si>
  <si>
    <t>3. Фактический объем муниципальных заимствований</t>
  </si>
  <si>
    <t>4. Предельный объем муниципальных заимствований</t>
  </si>
  <si>
    <t>1. Фактический объем муниципального долга на 01.10.2021 года</t>
  </si>
  <si>
    <t xml:space="preserve">Исполнение программы муниципальных внутренних заимствований  городского поселения Тутаев за 9 месяцев 2021 года </t>
  </si>
  <si>
    <t xml:space="preserve"> Исполнение доходов бюджета  городского поселения Тутаев за 9 месяцев 2021 года в соответствии с классификацией доходов бюджетов Российской Федерации</t>
  </si>
  <si>
    <t>Приложение 6</t>
  </si>
  <si>
    <t>Исполнение источников внутреннего финансирования дефицита бюджета городского поселения Тутаев  за 9 месяцев 2021 года</t>
  </si>
  <si>
    <t>Исполнение ведомственной структуры расходной части  бюджета  городского поселения Тутаев                                                                                                                        за 9 месяцев  2021 года</t>
  </si>
  <si>
    <t>Исполнение бюджета городского поселения Тутаев по программам и непрограммным расходам бюджета за 9 месяцев 2021 года</t>
  </si>
  <si>
    <t>Приложение 7</t>
  </si>
  <si>
    <t>Приложение 8</t>
  </si>
  <si>
    <t xml:space="preserve"> План  Сумма, руб.</t>
  </si>
  <si>
    <t xml:space="preserve"> Исполнение основных характеристик бюджета городского поселения Тутаев  за 9 месяцев 2021 года</t>
  </si>
  <si>
    <t>Исполнение общего объема иных межбюджетных трансфертов, предоставляемых из бюджета городского поселения Тутаев бюджету Тутаевского муниципального района по направлениям использования за 9 месяцев 2021 года</t>
  </si>
  <si>
    <t>от 29.10.2021 г. № 787-п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</si>
</sst>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0.0"/>
    <numFmt numFmtId="169" formatCode="#,##0.0"/>
  </numFmts>
  <fonts count="73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sz val="11"/>
      <color theme="1"/>
      <name val="Times New Roman"/>
      <family val="1"/>
      <charset val="204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 Cyr"/>
      <charset val="204"/>
    </font>
    <font>
      <sz val="10"/>
      <name val="Times New Roman"/>
      <family val="1"/>
      <charset val="204"/>
    </font>
    <font>
      <sz val="12"/>
      <name val="Arial Cy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Arial Cyr"/>
    </font>
    <font>
      <b/>
      <i/>
      <sz val="12"/>
      <color theme="1"/>
      <name val="Times New Roman Cyr"/>
      <charset val="204"/>
    </font>
    <font>
      <i/>
      <sz val="12"/>
      <color theme="1"/>
      <name val="Times New Roman Cyr"/>
      <charset val="204"/>
    </font>
    <font>
      <b/>
      <i/>
      <sz val="12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 Cyr"/>
    </font>
    <font>
      <b/>
      <sz val="11"/>
      <color theme="1"/>
      <name val="Times New Roman"/>
      <family val="1"/>
      <charset val="204"/>
    </font>
    <font>
      <b/>
      <sz val="11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i/>
      <sz val="12"/>
      <name val="Arial Cyr"/>
    </font>
    <font>
      <b/>
      <i/>
      <sz val="12"/>
      <color rgb="FF101010"/>
      <name val="Times New Roman"/>
      <family val="1"/>
      <charset val="204"/>
    </font>
    <font>
      <sz val="12"/>
      <name val="Times New Roman Cyr"/>
    </font>
    <font>
      <sz val="12"/>
      <name val="Times New Roman CYR"/>
      <charset val="204"/>
    </font>
    <font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indexed="64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Arial Cyr"/>
    </font>
    <font>
      <sz val="11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Arial Cyr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10"/>
      <color rgb="FFFF0000"/>
      <name val="Arial Cyr"/>
      <charset val="204"/>
    </font>
    <font>
      <b/>
      <sz val="10"/>
      <color theme="1"/>
      <name val="Times New Roman Cyr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/>
        <bgColor theme="0" tint="-0.34998626667073579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0" tint="-0.14999847407452621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 tint="-0.3499862666707357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164" fontId="20" fillId="0" borderId="0"/>
    <xf numFmtId="0" fontId="1" fillId="0" borderId="0"/>
    <xf numFmtId="0" fontId="2" fillId="0" borderId="0"/>
    <xf numFmtId="0" fontId="32" fillId="0" borderId="0"/>
    <xf numFmtId="0" fontId="20" fillId="0" borderId="0"/>
    <xf numFmtId="0" fontId="20" fillId="0" borderId="0"/>
  </cellStyleXfs>
  <cellXfs count="500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0" fontId="18" fillId="0" borderId="0" xfId="0" applyFont="1"/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19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8" fillId="0" borderId="0" xfId="0" applyFont="1"/>
    <xf numFmtId="166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8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65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65" fontId="10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3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0" fontId="3" fillId="7" borderId="1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7" fillId="0" borderId="0" xfId="0" applyFont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0" fontId="23" fillId="7" borderId="2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/>
    </xf>
    <xf numFmtId="0" fontId="31" fillId="7" borderId="2" xfId="0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wrapText="1"/>
    </xf>
    <xf numFmtId="49" fontId="3" fillId="7" borderId="20" xfId="0" applyNumberFormat="1" applyFont="1" applyFill="1" applyBorder="1" applyAlignment="1">
      <alignment horizontal="left" vertical="top" wrapText="1"/>
    </xf>
    <xf numFmtId="0" fontId="30" fillId="7" borderId="20" xfId="0" applyFont="1" applyFill="1" applyBorder="1" applyAlignment="1">
      <alignment horizontal="left" vertical="center" wrapText="1"/>
    </xf>
    <xf numFmtId="49" fontId="30" fillId="7" borderId="20" xfId="0" applyNumberFormat="1" applyFont="1" applyFill="1" applyBorder="1" applyAlignment="1">
      <alignment horizontal="left" vertical="center" wrapText="1"/>
    </xf>
    <xf numFmtId="1" fontId="15" fillId="7" borderId="1" xfId="0" applyNumberFormat="1" applyFont="1" applyFill="1" applyBorder="1" applyAlignment="1">
      <alignment horizontal="center" vertical="center"/>
    </xf>
    <xf numFmtId="165" fontId="15" fillId="7" borderId="1" xfId="0" applyNumberFormat="1" applyFont="1" applyFill="1" applyBorder="1" applyAlignment="1">
      <alignment horizontal="center" vertical="center"/>
    </xf>
    <xf numFmtId="49" fontId="15" fillId="7" borderId="1" xfId="0" applyNumberFormat="1" applyFont="1" applyFill="1" applyBorder="1" applyAlignment="1">
      <alignment horizontal="center" vertical="center"/>
    </xf>
    <xf numFmtId="166" fontId="15" fillId="7" borderId="1" xfId="0" applyNumberFormat="1" applyFont="1" applyFill="1" applyBorder="1" applyAlignment="1">
      <alignment horizontal="center" vertical="center"/>
    </xf>
    <xf numFmtId="1" fontId="24" fillId="7" borderId="1" xfId="0" applyNumberFormat="1" applyFont="1" applyFill="1" applyBorder="1" applyAlignment="1">
      <alignment horizontal="center" vertical="center"/>
    </xf>
    <xf numFmtId="165" fontId="24" fillId="7" borderId="1" xfId="0" applyNumberFormat="1" applyFont="1" applyFill="1" applyBorder="1" applyAlignment="1">
      <alignment horizontal="center" vertical="center"/>
    </xf>
    <xf numFmtId="49" fontId="24" fillId="7" borderId="1" xfId="0" applyNumberFormat="1" applyFont="1" applyFill="1" applyBorder="1" applyAlignment="1">
      <alignment horizontal="center" vertical="center"/>
    </xf>
    <xf numFmtId="166" fontId="24" fillId="7" borderId="1" xfId="0" applyNumberFormat="1" applyFont="1" applyFill="1" applyBorder="1" applyAlignment="1">
      <alignment horizontal="center" vertical="center"/>
    </xf>
    <xf numFmtId="0" fontId="21" fillId="0" borderId="20" xfId="0" applyFont="1" applyBorder="1" applyAlignment="1">
      <alignment horizontal="left" vertical="top" wrapText="1"/>
    </xf>
    <xf numFmtId="0" fontId="3" fillId="7" borderId="20" xfId="0" applyFont="1" applyFill="1" applyBorder="1" applyAlignment="1">
      <alignment horizontal="left" vertical="top" wrapText="1"/>
    </xf>
    <xf numFmtId="0" fontId="3" fillId="7" borderId="16" xfId="0" applyFont="1" applyFill="1" applyBorder="1" applyAlignment="1">
      <alignment horizontal="left" vertical="top" wrapText="1"/>
    </xf>
    <xf numFmtId="0" fontId="3" fillId="7" borderId="22" xfId="0" applyFont="1" applyFill="1" applyBorder="1" applyAlignment="1">
      <alignment horizontal="left" vertical="top" wrapText="1"/>
    </xf>
    <xf numFmtId="0" fontId="3" fillId="7" borderId="20" xfId="4" applyFont="1" applyFill="1" applyBorder="1" applyAlignment="1" applyProtection="1">
      <alignment horizontal="left" vertical="top" wrapText="1"/>
      <protection hidden="1"/>
    </xf>
    <xf numFmtId="0" fontId="5" fillId="2" borderId="12" xfId="0" applyFont="1" applyFill="1" applyBorder="1" applyAlignment="1">
      <alignment horizontal="left" vertical="top"/>
    </xf>
    <xf numFmtId="0" fontId="5" fillId="2" borderId="18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5" fillId="7" borderId="13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center" vertical="top" wrapText="1"/>
    </xf>
    <xf numFmtId="0" fontId="5" fillId="7" borderId="21" xfId="0" applyFont="1" applyFill="1" applyBorder="1" applyAlignment="1">
      <alignment horizontal="center" vertical="top" wrapText="1"/>
    </xf>
    <xf numFmtId="49" fontId="5" fillId="7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1" fontId="33" fillId="7" borderId="1" xfId="0" applyNumberFormat="1" applyFont="1" applyFill="1" applyBorder="1" applyAlignment="1">
      <alignment horizontal="center" vertical="center"/>
    </xf>
    <xf numFmtId="165" fontId="33" fillId="7" borderId="1" xfId="0" applyNumberFormat="1" applyFont="1" applyFill="1" applyBorder="1" applyAlignment="1">
      <alignment horizontal="center" vertical="center"/>
    </xf>
    <xf numFmtId="166" fontId="33" fillId="7" borderId="1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5" fillId="7" borderId="0" xfId="0" applyFont="1" applyFill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3" fontId="22" fillId="0" borderId="1" xfId="1" applyNumberFormat="1" applyFont="1" applyBorder="1" applyAlignment="1">
      <alignment horizontal="right" vertical="center"/>
    </xf>
    <xf numFmtId="3" fontId="22" fillId="0" borderId="1" xfId="1" applyNumberFormat="1" applyFont="1" applyBorder="1" applyAlignment="1">
      <alignment horizontal="right" vertical="center" wrapText="1"/>
    </xf>
    <xf numFmtId="49" fontId="25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3" fontId="21" fillId="0" borderId="1" xfId="0" applyNumberFormat="1" applyFont="1" applyBorder="1" applyAlignment="1">
      <alignment horizontal="right" vertical="center"/>
    </xf>
    <xf numFmtId="49" fontId="35" fillId="0" borderId="1" xfId="0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right" vertical="center"/>
    </xf>
    <xf numFmtId="49" fontId="25" fillId="0" borderId="1" xfId="0" applyNumberFormat="1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3" fontId="37" fillId="0" borderId="1" xfId="1" applyNumberFormat="1" applyFont="1" applyBorder="1" applyAlignment="1">
      <alignment horizontal="right" vertical="center" wrapText="1"/>
    </xf>
    <xf numFmtId="3" fontId="21" fillId="0" borderId="1" xfId="1" applyNumberFormat="1" applyFont="1" applyBorder="1" applyAlignment="1">
      <alignment horizontal="right" vertical="center" wrapText="1"/>
    </xf>
    <xf numFmtId="3" fontId="37" fillId="0" borderId="1" xfId="0" applyNumberFormat="1" applyFont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1" fontId="39" fillId="9" borderId="1" xfId="0" applyNumberFormat="1" applyFont="1" applyFill="1" applyBorder="1" applyAlignment="1">
      <alignment horizontal="center" vertical="center"/>
    </xf>
    <xf numFmtId="165" fontId="40" fillId="9" borderId="1" xfId="0" applyNumberFormat="1" applyFont="1" applyFill="1" applyBorder="1" applyAlignment="1">
      <alignment horizontal="center" vertical="center"/>
    </xf>
    <xf numFmtId="49" fontId="40" fillId="9" borderId="1" xfId="0" applyNumberFormat="1" applyFont="1" applyFill="1" applyBorder="1" applyAlignment="1">
      <alignment horizontal="center" vertical="center"/>
    </xf>
    <xf numFmtId="166" fontId="40" fillId="9" borderId="1" xfId="0" applyNumberFormat="1" applyFont="1" applyFill="1" applyBorder="1" applyAlignment="1">
      <alignment horizontal="center" vertical="center"/>
    </xf>
    <xf numFmtId="165" fontId="39" fillId="9" borderId="1" xfId="0" applyNumberFormat="1" applyFont="1" applyFill="1" applyBorder="1" applyAlignment="1">
      <alignment horizontal="center" vertical="center"/>
    </xf>
    <xf numFmtId="166" fontId="39" fillId="9" borderId="1" xfId="0" applyNumberFormat="1" applyFont="1" applyFill="1" applyBorder="1" applyAlignment="1">
      <alignment horizontal="center" vertical="center"/>
    </xf>
    <xf numFmtId="49" fontId="15" fillId="11" borderId="1" xfId="0" applyNumberFormat="1" applyFont="1" applyFill="1" applyBorder="1" applyAlignment="1">
      <alignment horizontal="center" vertical="center"/>
    </xf>
    <xf numFmtId="166" fontId="15" fillId="11" borderId="1" xfId="0" applyNumberFormat="1" applyFont="1" applyFill="1" applyBorder="1" applyAlignment="1">
      <alignment horizontal="center" vertical="center"/>
    </xf>
    <xf numFmtId="165" fontId="15" fillId="11" borderId="1" xfId="0" applyNumberFormat="1" applyFont="1" applyFill="1" applyBorder="1" applyAlignment="1">
      <alignment horizontal="center" vertical="center"/>
    </xf>
    <xf numFmtId="1" fontId="42" fillId="7" borderId="1" xfId="0" applyNumberFormat="1" applyFont="1" applyFill="1" applyBorder="1" applyAlignment="1">
      <alignment horizontal="center" vertical="center"/>
    </xf>
    <xf numFmtId="165" fontId="42" fillId="7" borderId="1" xfId="0" applyNumberFormat="1" applyFont="1" applyFill="1" applyBorder="1" applyAlignment="1">
      <alignment horizontal="center" vertical="center"/>
    </xf>
    <xf numFmtId="166" fontId="42" fillId="7" borderId="1" xfId="0" applyNumberFormat="1" applyFont="1" applyFill="1" applyBorder="1" applyAlignment="1">
      <alignment horizontal="center" vertical="center"/>
    </xf>
    <xf numFmtId="49" fontId="33" fillId="7" borderId="1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1" fontId="40" fillId="7" borderId="1" xfId="0" applyNumberFormat="1" applyFont="1" applyFill="1" applyBorder="1" applyAlignment="1">
      <alignment horizontal="center" vertical="center"/>
    </xf>
    <xf numFmtId="165" fontId="40" fillId="7" borderId="1" xfId="0" applyNumberFormat="1" applyFont="1" applyFill="1" applyBorder="1" applyAlignment="1">
      <alignment horizontal="center" vertical="center"/>
    </xf>
    <xf numFmtId="49" fontId="40" fillId="7" borderId="1" xfId="0" applyNumberFormat="1" applyFont="1" applyFill="1" applyBorder="1" applyAlignment="1">
      <alignment horizontal="center" vertical="center"/>
    </xf>
    <xf numFmtId="166" fontId="40" fillId="7" borderId="1" xfId="0" applyNumberFormat="1" applyFont="1" applyFill="1" applyBorder="1" applyAlignment="1">
      <alignment horizontal="center" vertical="center"/>
    </xf>
    <xf numFmtId="0" fontId="39" fillId="0" borderId="0" xfId="0" applyFont="1"/>
    <xf numFmtId="0" fontId="40" fillId="0" borderId="0" xfId="0" applyFont="1"/>
    <xf numFmtId="0" fontId="5" fillId="7" borderId="10" xfId="0" applyFont="1" applyFill="1" applyBorder="1" applyAlignment="1">
      <alignment horizontal="center" vertical="top" wrapText="1"/>
    </xf>
    <xf numFmtId="0" fontId="3" fillId="7" borderId="19" xfId="0" applyFont="1" applyFill="1" applyBorder="1" applyAlignment="1">
      <alignment horizontal="left" vertical="top" wrapText="1"/>
    </xf>
    <xf numFmtId="1" fontId="43" fillId="7" borderId="1" xfId="0" applyNumberFormat="1" applyFont="1" applyFill="1" applyBorder="1" applyAlignment="1">
      <alignment horizontal="center" vertical="center"/>
    </xf>
    <xf numFmtId="165" fontId="43" fillId="7" borderId="1" xfId="0" applyNumberFormat="1" applyFont="1" applyFill="1" applyBorder="1" applyAlignment="1">
      <alignment horizontal="center" vertical="center"/>
    </xf>
    <xf numFmtId="166" fontId="43" fillId="7" borderId="1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6" fillId="0" borderId="1" xfId="0" applyFont="1" applyFill="1" applyBorder="1" applyAlignment="1">
      <alignment vertical="top" wrapText="1"/>
    </xf>
    <xf numFmtId="0" fontId="44" fillId="9" borderId="1" xfId="0" applyFont="1" applyFill="1" applyBorder="1" applyAlignment="1">
      <alignment horizontal="left" vertical="center" wrapText="1"/>
    </xf>
    <xf numFmtId="0" fontId="45" fillId="14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 wrapText="1"/>
    </xf>
    <xf numFmtId="3" fontId="3" fillId="7" borderId="1" xfId="0" applyNumberFormat="1" applyFont="1" applyFill="1" applyBorder="1" applyAlignment="1">
      <alignment horizontal="right" vertical="center" wrapText="1"/>
    </xf>
    <xf numFmtId="3" fontId="44" fillId="9" borderId="1" xfId="0" applyNumberFormat="1" applyFont="1" applyFill="1" applyBorder="1" applyAlignment="1">
      <alignment horizontal="right" vertical="center" wrapText="1"/>
    </xf>
    <xf numFmtId="3" fontId="45" fillId="14" borderId="1" xfId="0" applyNumberFormat="1" applyFont="1" applyFill="1" applyBorder="1" applyAlignment="1">
      <alignment horizontal="right"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44" fillId="9" borderId="1" xfId="0" applyNumberFormat="1" applyFont="1" applyFill="1" applyBorder="1" applyAlignment="1">
      <alignment horizontal="right" vertical="center"/>
    </xf>
    <xf numFmtId="3" fontId="45" fillId="14" borderId="1" xfId="0" applyNumberFormat="1" applyFont="1" applyFill="1" applyBorder="1" applyAlignment="1">
      <alignment horizontal="right" vertical="center"/>
    </xf>
    <xf numFmtId="3" fontId="46" fillId="0" borderId="1" xfId="0" applyNumberFormat="1" applyFont="1" applyFill="1" applyBorder="1" applyAlignment="1">
      <alignment horizontal="right" vertical="center" wrapText="1"/>
    </xf>
    <xf numFmtId="49" fontId="30" fillId="7" borderId="17" xfId="0" applyNumberFormat="1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/>
    </xf>
    <xf numFmtId="0" fontId="21" fillId="0" borderId="1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left" vertical="top" wrapText="1"/>
    </xf>
    <xf numFmtId="2" fontId="5" fillId="7" borderId="2" xfId="0" applyNumberFormat="1" applyFont="1" applyFill="1" applyBorder="1" applyAlignment="1">
      <alignment horizontal="center" vertical="top" wrapText="1"/>
    </xf>
    <xf numFmtId="49" fontId="3" fillId="7" borderId="20" xfId="4" applyNumberFormat="1" applyFont="1" applyFill="1" applyBorder="1" applyAlignment="1" applyProtection="1">
      <alignment horizontal="left" vertical="top" wrapText="1"/>
      <protection hidden="1"/>
    </xf>
    <xf numFmtId="49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/>
    </xf>
    <xf numFmtId="49" fontId="14" fillId="0" borderId="0" xfId="0" applyNumberFormat="1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49" fontId="14" fillId="0" borderId="0" xfId="0" applyNumberFormat="1" applyFont="1" applyAlignment="1">
      <alignment horizontal="justify" wrapText="1"/>
    </xf>
    <xf numFmtId="0" fontId="52" fillId="3" borderId="0" xfId="0" applyFont="1" applyFill="1"/>
    <xf numFmtId="49" fontId="5" fillId="7" borderId="11" xfId="0" applyNumberFormat="1" applyFont="1" applyFill="1" applyBorder="1" applyAlignment="1">
      <alignment horizontal="center" vertical="top" wrapText="1"/>
    </xf>
    <xf numFmtId="0" fontId="3" fillId="7" borderId="17" xfId="4" applyFont="1" applyFill="1" applyBorder="1" applyAlignment="1" applyProtection="1">
      <alignment horizontal="left" vertical="top" wrapText="1"/>
      <protection hidden="1"/>
    </xf>
    <xf numFmtId="0" fontId="22" fillId="7" borderId="10" xfId="0" applyFont="1" applyFill="1" applyBorder="1" applyAlignment="1">
      <alignment horizontal="center" vertical="top" wrapText="1"/>
    </xf>
    <xf numFmtId="49" fontId="5" fillId="7" borderId="1" xfId="0" applyNumberFormat="1" applyFont="1" applyFill="1" applyBorder="1" applyAlignment="1">
      <alignment horizontal="center" vertical="top" wrapText="1"/>
    </xf>
    <xf numFmtId="0" fontId="3" fillId="7" borderId="1" xfId="4" applyFont="1" applyFill="1" applyBorder="1" applyAlignment="1" applyProtection="1">
      <alignment horizontal="left" vertical="top" wrapText="1"/>
      <protection hidden="1"/>
    </xf>
    <xf numFmtId="0" fontId="5" fillId="7" borderId="11" xfId="0" applyFont="1" applyFill="1" applyBorder="1" applyAlignment="1">
      <alignment horizontal="center" vertical="top" wrapText="1"/>
    </xf>
    <xf numFmtId="0" fontId="3" fillId="7" borderId="17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21" fillId="0" borderId="19" xfId="0" applyFont="1" applyBorder="1" applyAlignment="1">
      <alignment horizontal="left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21" fillId="0" borderId="5" xfId="0" applyFont="1" applyBorder="1" applyAlignment="1">
      <alignment horizontal="left" vertical="top" wrapText="1"/>
    </xf>
    <xf numFmtId="0" fontId="16" fillId="0" borderId="0" xfId="0" applyFont="1" applyAlignment="1">
      <alignment vertical="center" wrapText="1"/>
    </xf>
    <xf numFmtId="0" fontId="39" fillId="9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49" fontId="33" fillId="0" borderId="1" xfId="0" applyNumberFormat="1" applyFont="1" applyFill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0" fontId="30" fillId="7" borderId="7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4" borderId="0" xfId="0" applyFont="1" applyFill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29" fillId="7" borderId="20" xfId="0" applyFont="1" applyFill="1" applyBorder="1" applyAlignment="1">
      <alignment horizontal="left" vertical="top" wrapText="1"/>
    </xf>
    <xf numFmtId="0" fontId="23" fillId="7" borderId="20" xfId="0" applyFont="1" applyFill="1" applyBorder="1" applyAlignment="1">
      <alignment horizontal="left" vertical="center" wrapText="1"/>
    </xf>
    <xf numFmtId="0" fontId="29" fillId="7" borderId="20" xfId="0" applyFont="1" applyFill="1" applyBorder="1" applyAlignment="1">
      <alignment horizontal="left" vertical="center" wrapText="1"/>
    </xf>
    <xf numFmtId="0" fontId="31" fillId="7" borderId="20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wrapText="1"/>
    </xf>
    <xf numFmtId="165" fontId="15" fillId="0" borderId="1" xfId="0" applyNumberFormat="1" applyFont="1" applyFill="1" applyBorder="1" applyAlignment="1">
      <alignment horizontal="center" vertical="center"/>
    </xf>
    <xf numFmtId="0" fontId="28" fillId="12" borderId="2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0" fontId="21" fillId="7" borderId="20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wrapText="1"/>
    </xf>
    <xf numFmtId="0" fontId="30" fillId="0" borderId="2" xfId="0" applyFont="1" applyFill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left" vertical="top" wrapText="1"/>
    </xf>
    <xf numFmtId="0" fontId="21" fillId="7" borderId="1" xfId="0" applyFont="1" applyFill="1" applyBorder="1" applyAlignment="1">
      <alignment horizontal="left" vertical="top" wrapText="1"/>
    </xf>
    <xf numFmtId="0" fontId="33" fillId="7" borderId="1" xfId="0" applyFont="1" applyFill="1" applyBorder="1" applyAlignment="1">
      <alignment vertical="center" wrapText="1"/>
    </xf>
    <xf numFmtId="0" fontId="3" fillId="5" borderId="26" xfId="0" applyFont="1" applyFill="1" applyBorder="1" applyAlignment="1">
      <alignment horizontal="center"/>
    </xf>
    <xf numFmtId="4" fontId="55" fillId="0" borderId="0" xfId="0" applyNumberFormat="1" applyFont="1" applyAlignment="1">
      <alignment horizontal="center" vertical="center"/>
    </xf>
    <xf numFmtId="4" fontId="15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44" fillId="9" borderId="1" xfId="0" applyFont="1" applyFill="1" applyBorder="1" applyAlignment="1">
      <alignment horizontal="center" vertical="center" wrapText="1"/>
    </xf>
    <xf numFmtId="0" fontId="45" fillId="14" borderId="1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46" fillId="7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0" fillId="0" borderId="9" xfId="0" applyBorder="1"/>
    <xf numFmtId="3" fontId="8" fillId="0" borderId="1" xfId="1" applyNumberFormat="1" applyFont="1" applyBorder="1" applyAlignment="1">
      <alignment vertical="center" wrapText="1"/>
    </xf>
    <xf numFmtId="3" fontId="7" fillId="0" borderId="1" xfId="1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/>
    </xf>
    <xf numFmtId="3" fontId="15" fillId="0" borderId="0" xfId="0" applyNumberFormat="1" applyFont="1"/>
    <xf numFmtId="3" fontId="15" fillId="12" borderId="1" xfId="0" applyNumberFormat="1" applyFont="1" applyFill="1" applyBorder="1" applyAlignment="1">
      <alignment horizontal="right" vertical="center"/>
    </xf>
    <xf numFmtId="3" fontId="15" fillId="7" borderId="1" xfId="0" applyNumberFormat="1" applyFont="1" applyFill="1" applyBorder="1" applyAlignment="1">
      <alignment horizontal="right" vertical="center"/>
    </xf>
    <xf numFmtId="3" fontId="55" fillId="7" borderId="1" xfId="0" applyNumberFormat="1" applyFont="1" applyFill="1" applyBorder="1" applyAlignment="1">
      <alignment horizontal="right" vertical="center"/>
    </xf>
    <xf numFmtId="0" fontId="8" fillId="4" borderId="0" xfId="6" applyFont="1" applyFill="1" applyAlignment="1">
      <alignment vertical="top"/>
    </xf>
    <xf numFmtId="49" fontId="8" fillId="4" borderId="0" xfId="6" applyNumberFormat="1" applyFont="1" applyFill="1" applyAlignment="1">
      <alignment vertical="top"/>
    </xf>
    <xf numFmtId="3" fontId="8" fillId="4" borderId="0" xfId="6" applyNumberFormat="1" applyFont="1" applyFill="1" applyAlignment="1">
      <alignment vertical="top"/>
    </xf>
    <xf numFmtId="0" fontId="57" fillId="4" borderId="0" xfId="6" applyFont="1" applyFill="1" applyAlignment="1">
      <alignment vertical="top"/>
    </xf>
    <xf numFmtId="0" fontId="7" fillId="4" borderId="0" xfId="6" applyFont="1" applyFill="1" applyAlignment="1">
      <alignment vertical="top"/>
    </xf>
    <xf numFmtId="3" fontId="55" fillId="12" borderId="1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top"/>
    </xf>
    <xf numFmtId="0" fontId="3" fillId="7" borderId="7" xfId="0" applyFont="1" applyFill="1" applyBorder="1" applyAlignment="1">
      <alignment horizontal="left" vertical="top" wrapText="1"/>
    </xf>
    <xf numFmtId="0" fontId="5" fillId="7" borderId="9" xfId="0" applyFont="1" applyFill="1" applyBorder="1" applyAlignment="1">
      <alignment horizontal="center" vertical="top" wrapText="1"/>
    </xf>
    <xf numFmtId="0" fontId="40" fillId="7" borderId="1" xfId="0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3" fontId="39" fillId="9" borderId="1" xfId="0" applyNumberFormat="1" applyFont="1" applyFill="1" applyBorder="1" applyAlignment="1">
      <alignment horizontal="right" vertical="center"/>
    </xf>
    <xf numFmtId="3" fontId="24" fillId="7" borderId="1" xfId="0" applyNumberFormat="1" applyFont="1" applyFill="1" applyBorder="1" applyAlignment="1">
      <alignment horizontal="right" vertical="center"/>
    </xf>
    <xf numFmtId="3" fontId="40" fillId="7" borderId="1" xfId="0" applyNumberFormat="1" applyFont="1" applyFill="1" applyBorder="1" applyAlignment="1">
      <alignment horizontal="right" vertical="center"/>
    </xf>
    <xf numFmtId="3" fontId="33" fillId="7" borderId="1" xfId="0" applyNumberFormat="1" applyFont="1" applyFill="1" applyBorder="1" applyAlignment="1">
      <alignment horizontal="right" vertical="center"/>
    </xf>
    <xf numFmtId="3" fontId="42" fillId="7" borderId="1" xfId="0" applyNumberFormat="1" applyFont="1" applyFill="1" applyBorder="1" applyAlignment="1">
      <alignment horizontal="right" vertical="center"/>
    </xf>
    <xf numFmtId="3" fontId="43" fillId="7" borderId="1" xfId="0" applyNumberFormat="1" applyFont="1" applyFill="1" applyBorder="1" applyAlignment="1">
      <alignment horizontal="right" vertical="center"/>
    </xf>
    <xf numFmtId="3" fontId="56" fillId="6" borderId="1" xfId="0" applyNumberFormat="1" applyFont="1" applyFill="1" applyBorder="1" applyAlignment="1">
      <alignment horizontal="right" vertical="center"/>
    </xf>
    <xf numFmtId="3" fontId="55" fillId="6" borderId="1" xfId="0" applyNumberFormat="1" applyFont="1" applyFill="1" applyBorder="1" applyAlignment="1">
      <alignment horizontal="right" vertical="center"/>
    </xf>
    <xf numFmtId="3" fontId="33" fillId="6" borderId="1" xfId="0" applyNumberFormat="1" applyFont="1" applyFill="1" applyBorder="1" applyAlignment="1">
      <alignment horizontal="right" vertical="center"/>
    </xf>
    <xf numFmtId="3" fontId="17" fillId="6" borderId="1" xfId="0" applyNumberFormat="1" applyFont="1" applyFill="1" applyBorder="1" applyAlignment="1">
      <alignment horizontal="right" vertical="center"/>
    </xf>
    <xf numFmtId="3" fontId="56" fillId="7" borderId="1" xfId="0" applyNumberFormat="1" applyFont="1" applyFill="1" applyBorder="1" applyAlignment="1">
      <alignment horizontal="right" vertical="center"/>
    </xf>
    <xf numFmtId="3" fontId="33" fillId="0" borderId="1" xfId="0" applyNumberFormat="1" applyFont="1" applyFill="1" applyBorder="1" applyAlignment="1">
      <alignment horizontal="right" vertical="center"/>
    </xf>
    <xf numFmtId="3" fontId="40" fillId="6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>
      <alignment horizontal="right" vertical="center"/>
    </xf>
    <xf numFmtId="3" fontId="17" fillId="7" borderId="1" xfId="0" applyNumberFormat="1" applyFont="1" applyFill="1" applyBorder="1" applyAlignment="1">
      <alignment horizontal="right" vertical="center"/>
    </xf>
    <xf numFmtId="3" fontId="24" fillId="6" borderId="1" xfId="0" applyNumberFormat="1" applyFont="1" applyFill="1" applyBorder="1" applyAlignment="1">
      <alignment horizontal="right" vertical="center"/>
    </xf>
    <xf numFmtId="3" fontId="15" fillId="6" borderId="1" xfId="0" applyNumberFormat="1" applyFont="1" applyFill="1" applyBorder="1" applyAlignment="1">
      <alignment horizontal="right" vertical="center"/>
    </xf>
    <xf numFmtId="3" fontId="41" fillId="10" borderId="1" xfId="0" applyNumberFormat="1" applyFont="1" applyFill="1" applyBorder="1" applyAlignment="1">
      <alignment horizontal="right" vertical="center"/>
    </xf>
    <xf numFmtId="3" fontId="24" fillId="8" borderId="1" xfId="0" applyNumberFormat="1" applyFont="1" applyFill="1" applyBorder="1" applyAlignment="1">
      <alignment horizontal="right" vertical="center"/>
    </xf>
    <xf numFmtId="3" fontId="40" fillId="8" borderId="1" xfId="0" applyNumberFormat="1" applyFont="1" applyFill="1" applyBorder="1" applyAlignment="1">
      <alignment horizontal="right" vertical="center"/>
    </xf>
    <xf numFmtId="3" fontId="15" fillId="8" borderId="1" xfId="0" applyNumberFormat="1" applyFont="1" applyFill="1" applyBorder="1" applyAlignment="1">
      <alignment horizontal="right" vertical="center"/>
    </xf>
    <xf numFmtId="3" fontId="47" fillId="11" borderId="1" xfId="0" applyNumberFormat="1" applyFont="1" applyFill="1" applyBorder="1" applyAlignment="1">
      <alignment horizontal="right" vertical="center"/>
    </xf>
    <xf numFmtId="0" fontId="14" fillId="0" borderId="0" xfId="6" applyFont="1" applyAlignment="1">
      <alignment horizontal="left" vertical="top"/>
    </xf>
    <xf numFmtId="0" fontId="14" fillId="0" borderId="0" xfId="6" applyFont="1" applyAlignment="1">
      <alignment horizontal="center" vertical="top"/>
    </xf>
    <xf numFmtId="0" fontId="49" fillId="0" borderId="1" xfId="6" applyFont="1" applyBorder="1" applyAlignment="1">
      <alignment horizontal="left" vertical="top" wrapText="1"/>
    </xf>
    <xf numFmtId="49" fontId="48" fillId="0" borderId="1" xfId="6" applyNumberFormat="1" applyFont="1" applyBorder="1" applyAlignment="1">
      <alignment horizontal="center" vertical="top" wrapText="1"/>
    </xf>
    <xf numFmtId="0" fontId="59" fillId="0" borderId="1" xfId="6" applyFont="1" applyBorder="1" applyAlignment="1">
      <alignment horizontal="left" vertical="top" wrapText="1"/>
    </xf>
    <xf numFmtId="49" fontId="60" fillId="0" borderId="1" xfId="6" applyNumberFormat="1" applyFont="1" applyBorder="1" applyAlignment="1">
      <alignment horizontal="center" vertical="top"/>
    </xf>
    <xf numFmtId="49" fontId="60" fillId="0" borderId="1" xfId="6" applyNumberFormat="1" applyFont="1" applyBorder="1" applyAlignment="1">
      <alignment horizontal="center" vertical="top" wrapText="1"/>
    </xf>
    <xf numFmtId="0" fontId="49" fillId="12" borderId="1" xfId="6" applyFont="1" applyFill="1" applyBorder="1" applyAlignment="1">
      <alignment horizontal="left" vertical="top" wrapText="1"/>
    </xf>
    <xf numFmtId="166" fontId="48" fillId="12" borderId="1" xfId="6" applyNumberFormat="1" applyFont="1" applyFill="1" applyBorder="1" applyAlignment="1">
      <alignment horizontal="center" vertical="top" wrapText="1"/>
    </xf>
    <xf numFmtId="0" fontId="14" fillId="4" borderId="0" xfId="6" applyFont="1" applyFill="1" applyAlignment="1">
      <alignment horizontal="left" vertical="top"/>
    </xf>
    <xf numFmtId="166" fontId="14" fillId="4" borderId="0" xfId="6" applyNumberFormat="1" applyFont="1" applyFill="1" applyAlignment="1">
      <alignment horizontal="center" vertical="top"/>
    </xf>
    <xf numFmtId="0" fontId="14" fillId="4" borderId="0" xfId="6" applyFont="1" applyFill="1" applyAlignment="1">
      <alignment horizontal="center" vertical="top"/>
    </xf>
    <xf numFmtId="0" fontId="14" fillId="4" borderId="0" xfId="6" applyFont="1" applyFill="1" applyAlignment="1">
      <alignment vertical="top"/>
    </xf>
    <xf numFmtId="3" fontId="14" fillId="4" borderId="0" xfId="6" applyNumberFormat="1" applyFont="1" applyFill="1" applyAlignment="1">
      <alignment vertical="top"/>
    </xf>
    <xf numFmtId="0" fontId="3" fillId="4" borderId="0" xfId="6" applyFont="1" applyFill="1" applyAlignment="1">
      <alignment vertical="top"/>
    </xf>
    <xf numFmtId="49" fontId="14" fillId="0" borderId="0" xfId="6" applyNumberFormat="1" applyFont="1" applyAlignment="1">
      <alignment horizontal="justify" vertical="top"/>
    </xf>
    <xf numFmtId="49" fontId="48" fillId="0" borderId="3" xfId="6" applyNumberFormat="1" applyFont="1" applyBorder="1" applyAlignment="1">
      <alignment horizontal="left" vertical="top" wrapText="1"/>
    </xf>
    <xf numFmtId="49" fontId="60" fillId="0" borderId="3" xfId="6" applyNumberFormat="1" applyFont="1" applyBorder="1" applyAlignment="1">
      <alignment horizontal="right" vertical="top" wrapText="1"/>
    </xf>
    <xf numFmtId="49" fontId="14" fillId="0" borderId="3" xfId="6" applyNumberFormat="1" applyFont="1" applyBorder="1" applyAlignment="1">
      <alignment horizontal="right" vertical="top" wrapText="1"/>
    </xf>
    <xf numFmtId="49" fontId="60" fillId="0" borderId="3" xfId="6" applyNumberFormat="1" applyFont="1" applyBorder="1" applyAlignment="1">
      <alignment horizontal="left" vertical="top" wrapText="1"/>
    </xf>
    <xf numFmtId="49" fontId="14" fillId="0" borderId="3" xfId="6" applyNumberFormat="1" applyFont="1" applyBorder="1" applyAlignment="1">
      <alignment horizontal="left" vertical="top" wrapText="1"/>
    </xf>
    <xf numFmtId="49" fontId="48" fillId="0" borderId="3" xfId="6" applyNumberFormat="1" applyFont="1" applyBorder="1" applyAlignment="1">
      <alignment horizontal="right" vertical="top" wrapText="1"/>
    </xf>
    <xf numFmtId="49" fontId="48" fillId="0" borderId="1" xfId="0" applyNumberFormat="1" applyFont="1" applyBorder="1" applyAlignment="1">
      <alignment horizontal="center" vertical="center" wrapText="1"/>
    </xf>
    <xf numFmtId="3" fontId="3" fillId="3" borderId="0" xfId="0" applyNumberFormat="1" applyFont="1" applyFill="1"/>
    <xf numFmtId="3" fontId="41" fillId="9" borderId="1" xfId="0" applyNumberFormat="1" applyFont="1" applyFill="1" applyBorder="1" applyAlignment="1">
      <alignment horizontal="right" vertical="center"/>
    </xf>
    <xf numFmtId="3" fontId="56" fillId="12" borderId="1" xfId="0" applyNumberFormat="1" applyFont="1" applyFill="1" applyBorder="1" applyAlignment="1">
      <alignment horizontal="right" vertical="center"/>
    </xf>
    <xf numFmtId="3" fontId="56" fillId="0" borderId="1" xfId="0" applyNumberFormat="1" applyFont="1" applyFill="1" applyBorder="1" applyAlignment="1">
      <alignment horizontal="right" vertical="center"/>
    </xf>
    <xf numFmtId="3" fontId="43" fillId="6" borderId="1" xfId="0" applyNumberFormat="1" applyFont="1" applyFill="1" applyBorder="1" applyAlignment="1">
      <alignment horizontal="right" vertical="center"/>
    </xf>
    <xf numFmtId="3" fontId="55" fillId="0" borderId="1" xfId="0" applyNumberFormat="1" applyFont="1" applyFill="1" applyBorder="1" applyAlignment="1">
      <alignment horizontal="right" vertical="center"/>
    </xf>
    <xf numFmtId="3" fontId="55" fillId="13" borderId="1" xfId="0" applyNumberFormat="1" applyFont="1" applyFill="1" applyBorder="1" applyAlignment="1">
      <alignment horizontal="right" vertical="center"/>
    </xf>
    <xf numFmtId="3" fontId="42" fillId="6" borderId="1" xfId="0" applyNumberFormat="1" applyFont="1" applyFill="1" applyBorder="1" applyAlignment="1">
      <alignment horizontal="right" vertical="center"/>
    </xf>
    <xf numFmtId="3" fontId="56" fillId="13" borderId="1" xfId="0" applyNumberFormat="1" applyFont="1" applyFill="1" applyBorder="1" applyAlignment="1">
      <alignment horizontal="right" vertical="center"/>
    </xf>
    <xf numFmtId="3" fontId="42" fillId="8" borderId="1" xfId="0" applyNumberFormat="1" applyFont="1" applyFill="1" applyBorder="1" applyAlignment="1">
      <alignment horizontal="right" vertical="center"/>
    </xf>
    <xf numFmtId="3" fontId="43" fillId="8" borderId="1" xfId="0" applyNumberFormat="1" applyFont="1" applyFill="1" applyBorder="1" applyAlignment="1">
      <alignment horizontal="right" vertical="center"/>
    </xf>
    <xf numFmtId="3" fontId="55" fillId="8" borderId="1" xfId="0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 vertical="top"/>
    </xf>
    <xf numFmtId="0" fontId="15" fillId="15" borderId="0" xfId="0" applyFont="1" applyFill="1"/>
    <xf numFmtId="0" fontId="52" fillId="16" borderId="0" xfId="0" applyFont="1" applyFill="1"/>
    <xf numFmtId="0" fontId="15" fillId="15" borderId="0" xfId="0" applyFont="1" applyFill="1" applyAlignment="1">
      <alignment horizontal="center" vertical="center" wrapText="1"/>
    </xf>
    <xf numFmtId="0" fontId="18" fillId="15" borderId="0" xfId="0" applyFont="1" applyFill="1"/>
    <xf numFmtId="0" fontId="39" fillId="15" borderId="0" xfId="0" applyFont="1" applyFill="1"/>
    <xf numFmtId="0" fontId="40" fillId="15" borderId="0" xfId="0" applyFont="1" applyFill="1"/>
    <xf numFmtId="3" fontId="17" fillId="12" borderId="1" xfId="0" applyNumberFormat="1" applyFont="1" applyFill="1" applyBorder="1" applyAlignment="1">
      <alignment horizontal="right" vertical="center"/>
    </xf>
    <xf numFmtId="3" fontId="17" fillId="13" borderId="1" xfId="0" applyNumberFormat="1" applyFont="1" applyFill="1" applyBorder="1" applyAlignment="1">
      <alignment horizontal="right" vertical="center"/>
    </xf>
    <xf numFmtId="3" fontId="15" fillId="13" borderId="1" xfId="0" applyNumberFormat="1" applyFont="1" applyFill="1" applyBorder="1" applyAlignment="1">
      <alignment horizontal="right" vertical="center"/>
    </xf>
    <xf numFmtId="3" fontId="28" fillId="12" borderId="1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51" fillId="3" borderId="0" xfId="0" applyFont="1" applyFill="1"/>
    <xf numFmtId="0" fontId="48" fillId="0" borderId="0" xfId="0" applyFont="1"/>
    <xf numFmtId="0" fontId="14" fillId="0" borderId="0" xfId="0" applyFont="1"/>
    <xf numFmtId="49" fontId="14" fillId="0" borderId="0" xfId="0" applyNumberFormat="1" applyFont="1"/>
    <xf numFmtId="3" fontId="48" fillId="14" borderId="1" xfId="0" applyNumberFormat="1" applyFont="1" applyFill="1" applyBorder="1"/>
    <xf numFmtId="3" fontId="14" fillId="0" borderId="1" xfId="0" applyNumberFormat="1" applyFont="1" applyBorder="1"/>
    <xf numFmtId="0" fontId="49" fillId="14" borderId="1" xfId="0" applyFont="1" applyFill="1" applyBorder="1" applyAlignment="1">
      <alignment horizontal="left" vertical="top" wrapText="1"/>
    </xf>
    <xf numFmtId="3" fontId="51" fillId="0" borderId="1" xfId="0" applyNumberFormat="1" applyFont="1" applyBorder="1"/>
    <xf numFmtId="0" fontId="14" fillId="0" borderId="1" xfId="0" applyFont="1" applyBorder="1" applyAlignment="1">
      <alignment horizontal="justify" vertical="top" wrapText="1"/>
    </xf>
    <xf numFmtId="0" fontId="24" fillId="7" borderId="1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horizontal="center" vertical="center" wrapText="1"/>
    </xf>
    <xf numFmtId="3" fontId="3" fillId="7" borderId="9" xfId="0" applyNumberFormat="1" applyFont="1" applyFill="1" applyBorder="1" applyAlignment="1">
      <alignment horizontal="right" vertical="center" wrapText="1"/>
    </xf>
    <xf numFmtId="166" fontId="15" fillId="7" borderId="7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center" vertical="center"/>
    </xf>
    <xf numFmtId="165" fontId="48" fillId="14" borderId="1" xfId="0" applyNumberFormat="1" applyFont="1" applyFill="1" applyBorder="1" applyAlignment="1">
      <alignment horizontal="left" vertical="center" wrapText="1"/>
    </xf>
    <xf numFmtId="0" fontId="48" fillId="14" borderId="1" xfId="0" applyFont="1" applyFill="1" applyBorder="1" applyAlignment="1">
      <alignment vertical="top" wrapText="1"/>
    </xf>
    <xf numFmtId="165" fontId="14" fillId="0" borderId="1" xfId="0" applyNumberFormat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left" vertical="top" wrapText="1"/>
    </xf>
    <xf numFmtId="0" fontId="48" fillId="14" borderId="1" xfId="0" applyFont="1" applyFill="1" applyBorder="1" applyAlignment="1">
      <alignment horizontal="left" vertical="top" wrapText="1"/>
    </xf>
    <xf numFmtId="165" fontId="50" fillId="0" borderId="1" xfId="0" applyNumberFormat="1" applyFont="1" applyBorder="1" applyAlignment="1">
      <alignment horizontal="center" vertical="center" wrapText="1"/>
    </xf>
    <xf numFmtId="3" fontId="48" fillId="12" borderId="1" xfId="0" applyNumberFormat="1" applyFont="1" applyFill="1" applyBorder="1"/>
    <xf numFmtId="3" fontId="48" fillId="7" borderId="1" xfId="0" applyNumberFormat="1" applyFont="1" applyFill="1" applyBorder="1"/>
    <xf numFmtId="0" fontId="62" fillId="0" borderId="0" xfId="0" applyFont="1" applyAlignment="1">
      <alignment horizontal="center" vertical="center"/>
    </xf>
    <xf numFmtId="49" fontId="33" fillId="0" borderId="1" xfId="0" applyNumberFormat="1" applyFont="1" applyBorder="1" applyAlignment="1">
      <alignment vertical="center" wrapText="1"/>
    </xf>
    <xf numFmtId="3" fontId="15" fillId="0" borderId="1" xfId="0" applyNumberFormat="1" applyFont="1" applyFill="1" applyBorder="1" applyAlignment="1">
      <alignment horizontal="right" vertical="center"/>
    </xf>
    <xf numFmtId="0" fontId="48" fillId="0" borderId="1" xfId="0" applyFont="1" applyBorder="1" applyAlignment="1">
      <alignment horizontal="center" vertical="center" wrapText="1"/>
    </xf>
    <xf numFmtId="49" fontId="63" fillId="0" borderId="1" xfId="0" applyNumberFormat="1" applyFont="1" applyBorder="1" applyAlignment="1">
      <alignment horizontal="center" vertical="center" textRotation="90"/>
    </xf>
    <xf numFmtId="49" fontId="63" fillId="0" borderId="1" xfId="0" applyNumberFormat="1" applyFont="1" applyBorder="1" applyAlignment="1">
      <alignment horizontal="center" vertical="center" textRotation="90" wrapText="1"/>
    </xf>
    <xf numFmtId="49" fontId="63" fillId="0" borderId="1" xfId="0" applyNumberFormat="1" applyFont="1" applyBorder="1" applyAlignment="1">
      <alignment horizontal="left" vertical="center" textRotation="90"/>
    </xf>
    <xf numFmtId="0" fontId="5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3" fontId="53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48" fillId="0" borderId="1" xfId="0" applyFont="1" applyBorder="1" applyAlignment="1">
      <alignment horizontal="center" vertical="center" wrapText="1"/>
    </xf>
    <xf numFmtId="3" fontId="27" fillId="0" borderId="0" xfId="0" applyNumberFormat="1" applyFont="1" applyAlignment="1">
      <alignment horizontal="center"/>
    </xf>
    <xf numFmtId="168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/>
    </xf>
    <xf numFmtId="3" fontId="28" fillId="0" borderId="0" xfId="0" applyNumberFormat="1" applyFont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3" fontId="28" fillId="0" borderId="15" xfId="0" applyNumberFormat="1" applyFont="1" applyBorder="1" applyAlignment="1">
      <alignment horizontal="center" vertical="center" wrapText="1"/>
    </xf>
    <xf numFmtId="168" fontId="28" fillId="0" borderId="15" xfId="0" applyNumberFormat="1" applyFont="1" applyBorder="1" applyAlignment="1">
      <alignment horizontal="center" vertical="center" wrapText="1"/>
    </xf>
    <xf numFmtId="168" fontId="28" fillId="12" borderId="1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/>
    </xf>
    <xf numFmtId="3" fontId="27" fillId="0" borderId="1" xfId="0" applyNumberFormat="1" applyFont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center" vertical="center"/>
    </xf>
    <xf numFmtId="168" fontId="27" fillId="0" borderId="1" xfId="0" applyNumberFormat="1" applyFont="1" applyBorder="1" applyAlignment="1">
      <alignment horizontal="center" vertical="center"/>
    </xf>
    <xf numFmtId="168" fontId="27" fillId="0" borderId="1" xfId="0" applyNumberFormat="1" applyFont="1" applyBorder="1" applyAlignment="1">
      <alignment horizontal="center" vertical="center" wrapText="1"/>
    </xf>
    <xf numFmtId="0" fontId="51" fillId="0" borderId="2" xfId="0" applyFont="1" applyBorder="1" applyAlignment="1">
      <alignment horizontal="left" vertical="center" wrapText="1"/>
    </xf>
    <xf numFmtId="3" fontId="51" fillId="0" borderId="1" xfId="0" applyNumberFormat="1" applyFont="1" applyBorder="1" applyAlignment="1">
      <alignment horizontal="center" vertical="center" wrapText="1"/>
    </xf>
    <xf numFmtId="168" fontId="51" fillId="0" borderId="1" xfId="0" applyNumberFormat="1" applyFont="1" applyBorder="1" applyAlignment="1">
      <alignment horizontal="center" vertical="center" wrapText="1"/>
    </xf>
    <xf numFmtId="0" fontId="66" fillId="12" borderId="2" xfId="0" applyFont="1" applyFill="1" applyBorder="1" applyAlignment="1">
      <alignment horizontal="left" vertical="center" wrapText="1"/>
    </xf>
    <xf numFmtId="3" fontId="66" fillId="12" borderId="1" xfId="0" applyNumberFormat="1" applyFont="1" applyFill="1" applyBorder="1" applyAlignment="1">
      <alignment horizontal="center" vertical="center" wrapText="1"/>
    </xf>
    <xf numFmtId="168" fontId="66" fillId="12" borderId="1" xfId="0" applyNumberFormat="1" applyFont="1" applyFill="1" applyBorder="1" applyAlignment="1">
      <alignment horizontal="center" vertical="center" wrapText="1"/>
    </xf>
    <xf numFmtId="3" fontId="51" fillId="0" borderId="1" xfId="0" applyNumberFormat="1" applyFont="1" applyBorder="1" applyAlignment="1">
      <alignment horizontal="center" vertical="center"/>
    </xf>
    <xf numFmtId="168" fontId="51" fillId="0" borderId="1" xfId="0" applyNumberFormat="1" applyFont="1" applyBorder="1" applyAlignment="1">
      <alignment horizontal="center" vertical="center"/>
    </xf>
    <xf numFmtId="0" fontId="51" fillId="7" borderId="2" xfId="0" applyFont="1" applyFill="1" applyBorder="1" applyAlignment="1">
      <alignment horizontal="left" vertical="center" wrapText="1"/>
    </xf>
    <xf numFmtId="0" fontId="67" fillId="0" borderId="2" xfId="0" applyFont="1" applyBorder="1" applyAlignment="1">
      <alignment horizontal="left" vertical="center" wrapText="1"/>
    </xf>
    <xf numFmtId="3" fontId="67" fillId="0" borderId="1" xfId="0" applyNumberFormat="1" applyFont="1" applyBorder="1" applyAlignment="1">
      <alignment horizontal="center" vertical="center" wrapText="1"/>
    </xf>
    <xf numFmtId="168" fontId="67" fillId="0" borderId="1" xfId="0" applyNumberFormat="1" applyFont="1" applyBorder="1" applyAlignment="1">
      <alignment horizontal="center" vertical="center" wrapText="1"/>
    </xf>
    <xf numFmtId="0" fontId="68" fillId="12" borderId="2" xfId="0" applyFont="1" applyFill="1" applyBorder="1" applyAlignment="1">
      <alignment horizontal="left" vertical="center" wrapText="1"/>
    </xf>
    <xf numFmtId="0" fontId="68" fillId="12" borderId="21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3" fontId="51" fillId="0" borderId="0" xfId="0" applyNumberFormat="1" applyFont="1" applyAlignment="1">
      <alignment horizontal="center" vertical="center"/>
    </xf>
    <xf numFmtId="168" fontId="51" fillId="0" borderId="0" xfId="0" applyNumberFormat="1" applyFont="1" applyAlignment="1">
      <alignment horizontal="center" vertical="center"/>
    </xf>
    <xf numFmtId="168" fontId="27" fillId="0" borderId="0" xfId="0" applyNumberFormat="1" applyFont="1" applyAlignment="1">
      <alignment horizontal="center" vertical="center"/>
    </xf>
    <xf numFmtId="168" fontId="62" fillId="0" borderId="0" xfId="0" applyNumberFormat="1" applyFont="1" applyAlignment="1">
      <alignment horizontal="center" vertical="center"/>
    </xf>
    <xf numFmtId="168" fontId="48" fillId="14" borderId="1" xfId="0" applyNumberFormat="1" applyFont="1" applyFill="1" applyBorder="1"/>
    <xf numFmtId="168" fontId="48" fillId="12" borderId="1" xfId="0" applyNumberFormat="1" applyFont="1" applyFill="1" applyBorder="1"/>
    <xf numFmtId="0" fontId="5" fillId="7" borderId="0" xfId="0" applyFont="1" applyFill="1" applyAlignment="1">
      <alignment horizontal="center" vertical="center" wrapText="1"/>
    </xf>
    <xf numFmtId="168" fontId="14" fillId="7" borderId="1" xfId="0" applyNumberFormat="1" applyFont="1" applyFill="1" applyBorder="1"/>
    <xf numFmtId="0" fontId="3" fillId="0" borderId="0" xfId="0" applyFont="1" applyAlignment="1">
      <alignment horizontal="center"/>
    </xf>
    <xf numFmtId="169" fontId="3" fillId="7" borderId="1" xfId="0" applyNumberFormat="1" applyFont="1" applyFill="1" applyBorder="1" applyAlignment="1">
      <alignment horizontal="center" vertical="center" wrapText="1"/>
    </xf>
    <xf numFmtId="3" fontId="3" fillId="7" borderId="9" xfId="0" applyNumberFormat="1" applyFont="1" applyFill="1" applyBorder="1" applyAlignment="1">
      <alignment horizontal="center" vertical="center" wrapText="1"/>
    </xf>
    <xf numFmtId="3" fontId="3" fillId="7" borderId="7" xfId="0" applyNumberFormat="1" applyFont="1" applyFill="1" applyBorder="1" applyAlignment="1">
      <alignment horizontal="center" vertical="center" wrapText="1"/>
    </xf>
    <xf numFmtId="3" fontId="5" fillId="5" borderId="9" xfId="0" applyNumberFormat="1" applyFont="1" applyFill="1" applyBorder="1" applyAlignment="1">
      <alignment horizontal="center" vertical="center"/>
    </xf>
    <xf numFmtId="169" fontId="3" fillId="5" borderId="0" xfId="0" applyNumberFormat="1" applyFont="1" applyFill="1" applyAlignment="1">
      <alignment horizontal="center" vertical="center"/>
    </xf>
    <xf numFmtId="169" fontId="3" fillId="3" borderId="0" xfId="0" applyNumberFormat="1" applyFont="1" applyFill="1" applyAlignment="1">
      <alignment horizontal="center" vertical="center"/>
    </xf>
    <xf numFmtId="3" fontId="48" fillId="0" borderId="1" xfId="6" applyNumberFormat="1" applyFont="1" applyBorder="1" applyAlignment="1">
      <alignment horizontal="center" vertical="center" wrapText="1"/>
    </xf>
    <xf numFmtId="3" fontId="58" fillId="0" borderId="1" xfId="6" applyNumberFormat="1" applyFont="1" applyBorder="1" applyAlignment="1">
      <alignment horizontal="center" vertical="center" wrapText="1"/>
    </xf>
    <xf numFmtId="169" fontId="48" fillId="0" borderId="1" xfId="6" applyNumberFormat="1" applyFont="1" applyBorder="1" applyAlignment="1">
      <alignment horizontal="center" vertical="center" wrapText="1"/>
    </xf>
    <xf numFmtId="3" fontId="60" fillId="0" borderId="1" xfId="6" applyNumberFormat="1" applyFont="1" applyBorder="1" applyAlignment="1">
      <alignment horizontal="center" vertical="center" wrapText="1"/>
    </xf>
    <xf numFmtId="3" fontId="14" fillId="0" borderId="1" xfId="6" applyNumberFormat="1" applyFont="1" applyBorder="1" applyAlignment="1">
      <alignment horizontal="center" vertical="center" wrapText="1"/>
    </xf>
    <xf numFmtId="3" fontId="48" fillId="7" borderId="1" xfId="6" applyNumberFormat="1" applyFont="1" applyFill="1" applyBorder="1" applyAlignment="1">
      <alignment horizontal="center" vertical="center" wrapText="1"/>
    </xf>
    <xf numFmtId="3" fontId="48" fillId="12" borderId="1" xfId="6" applyNumberFormat="1" applyFont="1" applyFill="1" applyBorder="1" applyAlignment="1">
      <alignment horizontal="center" vertical="center" wrapText="1"/>
    </xf>
    <xf numFmtId="0" fontId="14" fillId="4" borderId="0" xfId="6" applyFont="1" applyFill="1" applyAlignment="1">
      <alignment horizontal="center" vertical="center"/>
    </xf>
    <xf numFmtId="169" fontId="14" fillId="4" borderId="0" xfId="6" applyNumberFormat="1" applyFont="1" applyFill="1" applyAlignment="1">
      <alignment horizontal="center" vertical="center"/>
    </xf>
    <xf numFmtId="3" fontId="14" fillId="4" borderId="0" xfId="6" applyNumberFormat="1" applyFont="1" applyFill="1" applyAlignment="1">
      <alignment horizontal="center" vertical="center"/>
    </xf>
    <xf numFmtId="0" fontId="11" fillId="0" borderId="1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 vertical="top" wrapText="1" indent="3"/>
    </xf>
    <xf numFmtId="0" fontId="3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left" vertical="center" wrapText="1"/>
    </xf>
    <xf numFmtId="0" fontId="69" fillId="0" borderId="2" xfId="0" applyFont="1" applyBorder="1" applyAlignment="1">
      <alignment horizontal="left" vertical="center" wrapText="1"/>
    </xf>
    <xf numFmtId="0" fontId="71" fillId="0" borderId="0" xfId="0" applyFont="1"/>
    <xf numFmtId="4" fontId="3" fillId="0" borderId="0" xfId="0" applyNumberFormat="1" applyFont="1" applyAlignment="1"/>
    <xf numFmtId="4" fontId="21" fillId="0" borderId="0" xfId="0" applyNumberFormat="1" applyFont="1" applyAlignment="1">
      <alignment vertical="center"/>
    </xf>
    <xf numFmtId="0" fontId="14" fillId="0" borderId="0" xfId="6" applyFont="1" applyAlignment="1">
      <alignment vertical="top"/>
    </xf>
    <xf numFmtId="0" fontId="51" fillId="0" borderId="0" xfId="6" applyFon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166" fontId="72" fillId="0" borderId="1" xfId="0" applyNumberFormat="1" applyFont="1" applyBorder="1" applyAlignment="1">
      <alignment horizontal="center" vertical="center" wrapText="1"/>
    </xf>
    <xf numFmtId="165" fontId="72" fillId="0" borderId="1" xfId="0" applyNumberFormat="1" applyFont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/>
    </xf>
    <xf numFmtId="3" fontId="68" fillId="12" borderId="1" xfId="0" applyNumberFormat="1" applyFont="1" applyFill="1" applyBorder="1" applyAlignment="1">
      <alignment horizontal="center" vertical="center" wrapText="1"/>
    </xf>
    <xf numFmtId="3" fontId="68" fillId="12" borderId="25" xfId="0" applyNumberFormat="1" applyFont="1" applyFill="1" applyBorder="1" applyAlignment="1">
      <alignment horizontal="center" vertical="center" wrapText="1"/>
    </xf>
    <xf numFmtId="4" fontId="64" fillId="0" borderId="0" xfId="0" applyNumberFormat="1" applyFont="1" applyAlignment="1">
      <alignment horizontal="right"/>
    </xf>
    <xf numFmtId="0" fontId="65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8" fontId="68" fillId="12" borderId="1" xfId="0" applyNumberFormat="1" applyFont="1" applyFill="1" applyBorder="1" applyAlignment="1">
      <alignment horizontal="center" vertical="center" wrapText="1"/>
    </xf>
    <xf numFmtId="168" fontId="68" fillId="12" borderId="25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48" fillId="12" borderId="1" xfId="0" applyFont="1" applyFill="1" applyBorder="1" applyAlignment="1">
      <alignment horizontal="left"/>
    </xf>
    <xf numFmtId="0" fontId="48" fillId="7" borderId="1" xfId="0" applyFont="1" applyFill="1" applyBorder="1" applyAlignment="1">
      <alignment horizontal="left"/>
    </xf>
    <xf numFmtId="0" fontId="48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6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justify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20" xfId="0" applyFont="1" applyBorder="1"/>
    <xf numFmtId="3" fontId="5" fillId="0" borderId="1" xfId="0" applyNumberFormat="1" applyFont="1" applyBorder="1" applyAlignment="1">
      <alignment horizontal="right" wrapText="1"/>
    </xf>
    <xf numFmtId="3" fontId="65" fillId="0" borderId="1" xfId="0" applyNumberFormat="1" applyFont="1" applyBorder="1" applyAlignment="1">
      <alignment horizontal="right"/>
    </xf>
    <xf numFmtId="3" fontId="65" fillId="0" borderId="2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wrapText="1"/>
    </xf>
    <xf numFmtId="0" fontId="69" fillId="0" borderId="2" xfId="0" applyFont="1" applyBorder="1" applyAlignment="1">
      <alignment horizontal="left" vertical="top" wrapText="1"/>
    </xf>
    <xf numFmtId="0" fontId="69" fillId="0" borderId="1" xfId="0" applyFont="1" applyBorder="1" applyAlignment="1">
      <alignment horizontal="left" vertical="top" wrapText="1"/>
    </xf>
    <xf numFmtId="0" fontId="69" fillId="0" borderId="20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 wrapText="1"/>
    </xf>
    <xf numFmtId="3" fontId="65" fillId="0" borderId="1" xfId="0" applyNumberFormat="1" applyFont="1" applyBorder="1" applyAlignment="1">
      <alignment horizontal="right" vertical="center"/>
    </xf>
    <xf numFmtId="3" fontId="65" fillId="0" borderId="20" xfId="0" applyNumberFormat="1" applyFont="1" applyBorder="1" applyAlignment="1">
      <alignment horizontal="right" vertical="center"/>
    </xf>
    <xf numFmtId="3" fontId="69" fillId="0" borderId="1" xfId="0" applyNumberFormat="1" applyFont="1" applyBorder="1" applyAlignment="1">
      <alignment horizontal="right" vertical="center" wrapText="1"/>
    </xf>
    <xf numFmtId="3" fontId="70" fillId="0" borderId="1" xfId="0" applyNumberFormat="1" applyFont="1" applyBorder="1" applyAlignment="1">
      <alignment horizontal="right" vertical="center"/>
    </xf>
    <xf numFmtId="3" fontId="70" fillId="0" borderId="2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65" fillId="0" borderId="1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0" fontId="65" fillId="0" borderId="0" xfId="0" applyFont="1" applyAlignment="1"/>
    <xf numFmtId="0" fontId="0" fillId="0" borderId="0" xfId="0" applyAlignment="1"/>
    <xf numFmtId="4" fontId="42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166" fontId="72" fillId="0" borderId="1" xfId="0" applyNumberFormat="1" applyFont="1" applyBorder="1" applyAlignment="1">
      <alignment horizontal="center" vertical="center"/>
    </xf>
    <xf numFmtId="0" fontId="14" fillId="0" borderId="0" xfId="6" applyFont="1" applyBorder="1" applyAlignment="1">
      <alignment horizontal="center" vertical="center"/>
    </xf>
    <xf numFmtId="0" fontId="14" fillId="0" borderId="0" xfId="6" applyFont="1" applyAlignment="1">
      <alignment horizontal="center" vertical="center"/>
    </xf>
    <xf numFmtId="0" fontId="48" fillId="0" borderId="1" xfId="6" applyFont="1" applyBorder="1" applyAlignment="1">
      <alignment horizontal="center" vertical="center" wrapText="1"/>
    </xf>
    <xf numFmtId="169" fontId="48" fillId="0" borderId="1" xfId="6" applyNumberFormat="1" applyFont="1" applyBorder="1" applyAlignment="1">
      <alignment horizontal="center" vertical="center" wrapText="1"/>
    </xf>
    <xf numFmtId="49" fontId="48" fillId="0" borderId="3" xfId="6" applyNumberFormat="1" applyFont="1" applyBorder="1" applyAlignment="1">
      <alignment horizontal="center" vertical="top" wrapText="1"/>
    </xf>
    <xf numFmtId="0" fontId="48" fillId="0" borderId="1" xfId="6" applyFont="1" applyBorder="1" applyAlignment="1">
      <alignment horizontal="center" vertical="top" wrapText="1"/>
    </xf>
    <xf numFmtId="0" fontId="48" fillId="0" borderId="0" xfId="6" applyFont="1" applyAlignment="1">
      <alignment horizontal="center" vertical="top" wrapText="1"/>
    </xf>
    <xf numFmtId="0" fontId="5" fillId="7" borderId="0" xfId="0" applyFont="1" applyFill="1" applyAlignment="1">
      <alignment horizontal="center" vertical="center" wrapText="1"/>
    </xf>
    <xf numFmtId="169" fontId="5" fillId="7" borderId="0" xfId="0" applyNumberFormat="1" applyFont="1" applyFill="1" applyAlignment="1">
      <alignment horizontal="center" vertical="center" wrapText="1"/>
    </xf>
  </cellXfs>
  <cellStyles count="7">
    <cellStyle name="Денежный" xfId="1" builtinId="4"/>
    <cellStyle name="Обычный" xfId="0" builtinId="0"/>
    <cellStyle name="Обычный 11" xfId="2"/>
    <cellStyle name="Обычный 2" xfId="3"/>
    <cellStyle name="Обычный 2 2" xfId="6"/>
    <cellStyle name="Обычный 3" xfId="5"/>
    <cellStyle name="Обычный_Расх." xfId="4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87;&#1086;&#1083;&#1085;&#1077;&#1085;&#1080;&#1077;%201%20&#1087;&#1086;&#1083;&#1091;&#1075;&#1086;&#1076;&#1080;&#1077;%202021%20&#1075;&#1086;&#1076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6424292\03-009-&#1043;%20&#1087;&#1088;&#1080;&#1083;&#1086;&#1078;&#1077;&#1085;&#1080;&#1103;%20&#1082;%20&#1055;&#1086;&#1089;&#1090;&#1072;&#1085;&#1086;&#1074;&#1083;&#1077;&#1085;&#1080;&#1102;%20&#1086;&#1073;%20&#1080;&#1089;&#1087;&#1086;&#1083;&#1085;&#1077;&#1085;&#1080;&#1080;%20&#1079;&#1072;%209%20&#1084;&#1077;&#1089;&#1103;&#1094;&#1077;&#1074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"/>
      <sheetName val="Пр2"/>
      <sheetName val="Пр3"/>
      <sheetName val="Пр4"/>
      <sheetName val="Пр5"/>
      <sheetName val="Пр6"/>
      <sheetName val="Пр7"/>
      <sheetName val="Пр8"/>
      <sheetName val="Пр9"/>
      <sheetName val="Пр10"/>
      <sheetName val="Пр11"/>
      <sheetName val="Пр12"/>
      <sheetName val="Пр13"/>
      <sheetName val="Пр14"/>
      <sheetName val="Пр15"/>
      <sheetName val="КВСР"/>
      <sheetName val="КФСР"/>
      <sheetName val="Пр 16"/>
      <sheetName val="Программа"/>
      <sheetName val="Направление"/>
      <sheetName val="КВ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0">
          <cell r="A10" t="str">
            <v>Администрация Тутаевского муниципального района</v>
          </cell>
        </row>
        <row r="256">
          <cell r="A256" t="str">
            <v>Муниципальный Совет городского поселения Тутаев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"/>
      <sheetName val="Пр2"/>
      <sheetName val="Пр3"/>
      <sheetName val="Пр4"/>
      <sheetName val="Пр5"/>
      <sheetName val="Пр6"/>
      <sheetName val="Пр7"/>
      <sheetName val="Пр8"/>
      <sheetName val="Пр9"/>
      <sheetName val="Пр10"/>
      <sheetName val="Пр11"/>
      <sheetName val="Пр12"/>
      <sheetName val="Пр13"/>
      <sheetName val="Пр14"/>
      <sheetName val="Пр15"/>
      <sheetName val="Пр19"/>
      <sheetName val="Пр16"/>
      <sheetName val="Пр.21"/>
      <sheetName val="КВСР"/>
      <sheetName val="КФСР"/>
      <sheetName val="Программа"/>
      <sheetName val="Направление"/>
      <sheetName val="КВР"/>
      <sheetName val="Лист2"/>
      <sheetName val="Лист3"/>
      <sheetName val="Лист1"/>
      <sheetName val="Лист4"/>
      <sheetName val="Лист5"/>
      <sheetName val="Лист6"/>
      <sheetName val="Лист7"/>
      <sheetName val="Лист8"/>
      <sheetName val="Лист11"/>
      <sheetName val="эконом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7">
          <cell r="C1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view="pageBreakPreview" zoomScaleSheetLayoutView="100" workbookViewId="0">
      <selection activeCell="A21" sqref="A21"/>
    </sheetView>
  </sheetViews>
  <sheetFormatPr defaultColWidth="9.140625" defaultRowHeight="15" x14ac:dyDescent="0.2"/>
  <cols>
    <col min="1" max="1" width="47.28515625" style="40" customWidth="1"/>
    <col min="2" max="2" width="15.85546875" style="41" hidden="1" customWidth="1"/>
    <col min="3" max="3" width="22.140625" style="41" customWidth="1"/>
    <col min="4" max="4" width="10.7109375" style="393" hidden="1" customWidth="1"/>
    <col min="5" max="5" width="0.5703125" style="40" customWidth="1"/>
    <col min="6" max="16384" width="9.140625" style="40"/>
  </cols>
  <sheetData>
    <row r="1" spans="1:6" ht="15.75" x14ac:dyDescent="0.25">
      <c r="A1" s="436" t="s">
        <v>0</v>
      </c>
      <c r="B1" s="436"/>
      <c r="C1" s="436"/>
      <c r="D1" s="436"/>
      <c r="E1" s="437"/>
    </row>
    <row r="2" spans="1:6" ht="15.75" x14ac:dyDescent="0.25">
      <c r="A2" s="438" t="s">
        <v>894</v>
      </c>
      <c r="B2" s="438"/>
      <c r="C2" s="438"/>
      <c r="D2" s="439"/>
      <c r="E2" s="439"/>
    </row>
    <row r="3" spans="1:6" ht="15.75" x14ac:dyDescent="0.25">
      <c r="A3" s="438" t="s">
        <v>895</v>
      </c>
      <c r="B3" s="438"/>
      <c r="C3" s="438"/>
      <c r="D3" s="439"/>
      <c r="E3" s="439"/>
    </row>
    <row r="4" spans="1:6" ht="15.75" x14ac:dyDescent="0.25">
      <c r="A4" s="438" t="s">
        <v>925</v>
      </c>
      <c r="B4" s="438"/>
      <c r="C4" s="438"/>
      <c r="D4" s="438"/>
      <c r="E4" s="438"/>
    </row>
    <row r="5" spans="1:6" x14ac:dyDescent="0.25">
      <c r="B5" s="363"/>
      <c r="C5" s="363"/>
      <c r="D5" s="364"/>
    </row>
    <row r="6" spans="1:6" ht="14.45" customHeight="1" x14ac:dyDescent="0.2">
      <c r="A6" s="440" t="s">
        <v>923</v>
      </c>
      <c r="B6" s="440"/>
      <c r="C6" s="440"/>
      <c r="D6" s="440"/>
    </row>
    <row r="7" spans="1:6" x14ac:dyDescent="0.2">
      <c r="A7" s="441"/>
      <c r="B7" s="441"/>
      <c r="C7" s="441"/>
      <c r="D7" s="441"/>
    </row>
    <row r="8" spans="1:6" ht="15.75" thickBot="1" x14ac:dyDescent="0.3">
      <c r="A8" s="365"/>
      <c r="B8" s="366"/>
      <c r="C8" s="363"/>
      <c r="D8" s="364"/>
    </row>
    <row r="9" spans="1:6" ht="60.95" customHeight="1" x14ac:dyDescent="0.2">
      <c r="A9" s="367" t="s">
        <v>499</v>
      </c>
      <c r="B9" s="368" t="s">
        <v>896</v>
      </c>
      <c r="C9" s="368" t="s">
        <v>884</v>
      </c>
      <c r="D9" s="369" t="s">
        <v>897</v>
      </c>
    </row>
    <row r="10" spans="1:6" x14ac:dyDescent="0.2">
      <c r="A10" s="212" t="s">
        <v>500</v>
      </c>
      <c r="B10" s="319">
        <f>B12+B15</f>
        <v>459139036</v>
      </c>
      <c r="C10" s="319">
        <f>C12+C15</f>
        <v>242909643.07999998</v>
      </c>
      <c r="D10" s="370">
        <f>C10/B10*100</f>
        <v>52.90546523689612</v>
      </c>
    </row>
    <row r="11" spans="1:6" x14ac:dyDescent="0.2">
      <c r="A11" s="371" t="s">
        <v>501</v>
      </c>
      <c r="B11" s="372"/>
      <c r="C11" s="373"/>
      <c r="D11" s="374"/>
    </row>
    <row r="12" spans="1:6" x14ac:dyDescent="0.2">
      <c r="A12" s="371" t="s">
        <v>670</v>
      </c>
      <c r="B12" s="372">
        <f>B13+B14</f>
        <v>112474850</v>
      </c>
      <c r="C12" s="372">
        <f>C13+C14</f>
        <v>74901110.970000014</v>
      </c>
      <c r="D12" s="375">
        <f t="shared" ref="D12:D17" si="0">C12/B12*100</f>
        <v>66.593652687689755</v>
      </c>
    </row>
    <row r="13" spans="1:6" x14ac:dyDescent="0.2">
      <c r="A13" s="371" t="s">
        <v>790</v>
      </c>
      <c r="B13" s="372">
        <f>Пр2!J11+Пр2!J13+Пр2!J15+Пр2!J17+Пр2!J20</f>
        <v>94558850</v>
      </c>
      <c r="C13" s="372">
        <f>Пр2!K11+Пр2!K13+Пр2!K15+Пр2!K17+Пр2!K20</f>
        <v>60726893.010000005</v>
      </c>
      <c r="D13" s="375">
        <f t="shared" si="0"/>
        <v>64.221268564497151</v>
      </c>
      <c r="F13" s="41"/>
    </row>
    <row r="14" spans="1:6" x14ac:dyDescent="0.2">
      <c r="A14" s="371" t="s">
        <v>789</v>
      </c>
      <c r="B14" s="372">
        <f>Пр2!J22+Пр2!J30+Пр2!J32+Пр2!J38+Пр2!J44</f>
        <v>17916000</v>
      </c>
      <c r="C14" s="372">
        <f>Пр2!K22+Пр2!K30+Пр2!K32+Пр2!K38+Пр2!K44</f>
        <v>14174217.960000003</v>
      </c>
      <c r="D14" s="375">
        <f t="shared" si="0"/>
        <v>79.114858004018771</v>
      </c>
    </row>
    <row r="15" spans="1:6" x14ac:dyDescent="0.2">
      <c r="A15" s="371" t="s">
        <v>49</v>
      </c>
      <c r="B15" s="372">
        <f>Пр2!J47</f>
        <v>346664186</v>
      </c>
      <c r="C15" s="372">
        <f>Пр2!K47</f>
        <v>168008532.10999998</v>
      </c>
      <c r="D15" s="375">
        <f t="shared" si="0"/>
        <v>48.46434644679448</v>
      </c>
    </row>
    <row r="16" spans="1:6" ht="21.6" customHeight="1" x14ac:dyDescent="0.2">
      <c r="A16" s="376" t="s">
        <v>501</v>
      </c>
      <c r="B16" s="377"/>
      <c r="C16" s="377"/>
      <c r="D16" s="378"/>
    </row>
    <row r="17" spans="1:11" ht="45.2" customHeight="1" x14ac:dyDescent="0.2">
      <c r="A17" s="376" t="s">
        <v>863</v>
      </c>
      <c r="B17" s="377">
        <f>Пр2!J48</f>
        <v>345476552</v>
      </c>
      <c r="C17" s="377">
        <f>Пр2!K48</f>
        <v>167508226.57999998</v>
      </c>
      <c r="D17" s="378">
        <f t="shared" si="0"/>
        <v>48.486134763785643</v>
      </c>
    </row>
    <row r="18" spans="1:11" x14ac:dyDescent="0.2">
      <c r="A18" s="379" t="s">
        <v>502</v>
      </c>
      <c r="B18" s="380">
        <f>B20+B22+B21</f>
        <v>516373825</v>
      </c>
      <c r="C18" s="380">
        <f>C20+C22+C21</f>
        <v>273447991.85000002</v>
      </c>
      <c r="D18" s="381">
        <f>C18/B18*100</f>
        <v>52.955432404034042</v>
      </c>
      <c r="G18" s="41"/>
    </row>
    <row r="19" spans="1:11" x14ac:dyDescent="0.2">
      <c r="A19" s="376" t="s">
        <v>501</v>
      </c>
      <c r="B19" s="377"/>
      <c r="C19" s="382"/>
      <c r="D19" s="383"/>
    </row>
    <row r="20" spans="1:11" ht="30" x14ac:dyDescent="0.2">
      <c r="A20" s="384" t="str">
        <f>[1]Пр11!A10</f>
        <v>Администрация Тутаевского муниципального района</v>
      </c>
      <c r="B20" s="377">
        <f>Пр6!G10</f>
        <v>515349109</v>
      </c>
      <c r="C20" s="377">
        <f>Пр6!H10</f>
        <v>272701478.83000004</v>
      </c>
      <c r="D20" s="378">
        <f>C20/B20*100</f>
        <v>52.915872768104478</v>
      </c>
    </row>
    <row r="21" spans="1:11" ht="30" x14ac:dyDescent="0.2">
      <c r="A21" s="384" t="str">
        <f>[1]Пр11!A256</f>
        <v>Муниципальный Совет городского поселения Тутаев</v>
      </c>
      <c r="B21" s="377">
        <f>Пр6!G258</f>
        <v>1024716</v>
      </c>
      <c r="C21" s="377">
        <f>Пр6!H258</f>
        <v>746513.02</v>
      </c>
      <c r="D21" s="378">
        <f>C21/B21*100</f>
        <v>72.850723517540473</v>
      </c>
    </row>
    <row r="22" spans="1:11" hidden="1" x14ac:dyDescent="0.2">
      <c r="A22" s="385" t="s">
        <v>503</v>
      </c>
      <c r="B22" s="386">
        <v>0</v>
      </c>
      <c r="C22" s="386"/>
      <c r="D22" s="387"/>
    </row>
    <row r="23" spans="1:11" x14ac:dyDescent="0.2">
      <c r="A23" s="388" t="s">
        <v>504</v>
      </c>
      <c r="B23" s="434">
        <f>B10-B18</f>
        <v>-57234789</v>
      </c>
      <c r="C23" s="434">
        <f>C10-C18</f>
        <v>-30538348.770000041</v>
      </c>
      <c r="D23" s="442"/>
    </row>
    <row r="24" spans="1:11" ht="15.75" thickBot="1" x14ac:dyDescent="0.25">
      <c r="A24" s="389" t="s">
        <v>505</v>
      </c>
      <c r="B24" s="435"/>
      <c r="C24" s="435"/>
      <c r="D24" s="443"/>
    </row>
    <row r="25" spans="1:11" x14ac:dyDescent="0.2">
      <c r="A25" s="390"/>
      <c r="B25" s="391"/>
      <c r="C25" s="391"/>
      <c r="D25" s="392"/>
    </row>
    <row r="26" spans="1:11" hidden="1" x14ac:dyDescent="0.2"/>
    <row r="27" spans="1:11" ht="30" hidden="1" x14ac:dyDescent="0.2">
      <c r="A27" s="40">
        <f>B12*0.1</f>
        <v>11247485</v>
      </c>
      <c r="B27" s="320" t="s">
        <v>824</v>
      </c>
      <c r="C27" s="41" t="s">
        <v>898</v>
      </c>
    </row>
    <row r="28" spans="1:11" ht="45" hidden="1" x14ac:dyDescent="0.2">
      <c r="A28" s="40">
        <f>4998990.14+35150595.87+16560542.65</f>
        <v>56710128.659999996</v>
      </c>
      <c r="B28" s="320" t="s">
        <v>825</v>
      </c>
      <c r="D28" s="394" t="s">
        <v>899</v>
      </c>
      <c r="E28" s="349"/>
      <c r="F28" s="349" t="s">
        <v>874</v>
      </c>
      <c r="G28" s="349"/>
      <c r="H28" s="349"/>
      <c r="I28" s="349" t="s">
        <v>875</v>
      </c>
      <c r="J28" s="349"/>
      <c r="K28" s="349"/>
    </row>
    <row r="29" spans="1:11" ht="90" hidden="1" x14ac:dyDescent="0.2">
      <c r="A29" s="40">
        <f>A27+A28</f>
        <v>67957613.659999996</v>
      </c>
      <c r="B29" s="320" t="s">
        <v>826</v>
      </c>
    </row>
    <row r="30" spans="1:11" ht="45" hidden="1" x14ac:dyDescent="0.2">
      <c r="A30" s="41">
        <f>B23</f>
        <v>-57234789</v>
      </c>
      <c r="B30" s="320" t="s">
        <v>823</v>
      </c>
    </row>
    <row r="31" spans="1:11" ht="25.5" hidden="1" customHeight="1" x14ac:dyDescent="0.2">
      <c r="A31" s="41">
        <f>B23+A29</f>
        <v>10722824.659999996</v>
      </c>
      <c r="B31" s="320" t="s">
        <v>827</v>
      </c>
    </row>
    <row r="32" spans="1:11" ht="14.45" hidden="1" customHeight="1" x14ac:dyDescent="0.2"/>
  </sheetData>
  <mergeCells count="8">
    <mergeCell ref="C23:C24"/>
    <mergeCell ref="A1:E1"/>
    <mergeCell ref="A2:E2"/>
    <mergeCell ref="A3:E3"/>
    <mergeCell ref="A4:E4"/>
    <mergeCell ref="A6:D7"/>
    <mergeCell ref="B23:B24"/>
    <mergeCell ref="D23:D24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81" workbookViewId="0">
      <selection activeCell="B1508" sqref="B1508"/>
    </sheetView>
  </sheetViews>
  <sheetFormatPr defaultColWidth="31.85546875" defaultRowHeight="12.75" x14ac:dyDescent="0.2"/>
  <cols>
    <col min="1" max="1" width="7" style="21" bestFit="1" customWidth="1"/>
    <col min="2" max="2" width="106.140625" style="22" customWidth="1"/>
    <col min="3" max="16384" width="31.85546875" style="14"/>
  </cols>
  <sheetData>
    <row r="1" spans="1:2" s="23" customFormat="1" hidden="1" x14ac:dyDescent="0.2">
      <c r="A1" s="21"/>
      <c r="B1" s="24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4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25">
        <v>100</v>
      </c>
      <c r="B1400" s="26" t="s">
        <v>67</v>
      </c>
      <c r="C1400" s="22"/>
    </row>
    <row r="1401" spans="1:3" x14ac:dyDescent="0.2">
      <c r="A1401" s="27">
        <v>101</v>
      </c>
      <c r="B1401" s="28" t="s">
        <v>68</v>
      </c>
      <c r="C1401" s="22"/>
    </row>
    <row r="1402" spans="1:3" x14ac:dyDescent="0.2">
      <c r="A1402" s="27">
        <v>102</v>
      </c>
      <c r="B1402" s="29" t="s">
        <v>69</v>
      </c>
      <c r="C1402" s="22"/>
    </row>
    <row r="1403" spans="1:3" ht="25.5" x14ac:dyDescent="0.2">
      <c r="A1403" s="27">
        <v>103</v>
      </c>
      <c r="B1403" s="29" t="s">
        <v>70</v>
      </c>
      <c r="C1403" s="22"/>
    </row>
    <row r="1404" spans="1:3" ht="25.5" x14ac:dyDescent="0.2">
      <c r="A1404" s="27">
        <v>104</v>
      </c>
      <c r="B1404" s="29" t="s">
        <v>71</v>
      </c>
      <c r="C1404" s="22"/>
    </row>
    <row r="1405" spans="1:3" x14ac:dyDescent="0.2">
      <c r="A1405" s="27">
        <v>105</v>
      </c>
      <c r="B1405" s="29" t="s">
        <v>72</v>
      </c>
      <c r="C1405" s="22"/>
    </row>
    <row r="1406" spans="1:3" ht="25.5" x14ac:dyDescent="0.2">
      <c r="A1406" s="27">
        <v>106</v>
      </c>
      <c r="B1406" s="29" t="s">
        <v>73</v>
      </c>
      <c r="C1406" s="22"/>
    </row>
    <row r="1407" spans="1:3" x14ac:dyDescent="0.2">
      <c r="A1407" s="27">
        <v>107</v>
      </c>
      <c r="B1407" s="29" t="s">
        <v>74</v>
      </c>
      <c r="C1407" s="22"/>
    </row>
    <row r="1408" spans="1:3" x14ac:dyDescent="0.2">
      <c r="A1408" s="27">
        <v>108</v>
      </c>
      <c r="B1408" s="29" t="s">
        <v>75</v>
      </c>
      <c r="C1408" s="22"/>
    </row>
    <row r="1409" spans="1:3" x14ac:dyDescent="0.2">
      <c r="A1409" s="27">
        <v>109</v>
      </c>
      <c r="B1409" s="29" t="s">
        <v>76</v>
      </c>
      <c r="C1409" s="22"/>
    </row>
    <row r="1410" spans="1:3" x14ac:dyDescent="0.2">
      <c r="A1410" s="27">
        <v>110</v>
      </c>
      <c r="B1410" s="29" t="s">
        <v>77</v>
      </c>
      <c r="C1410" s="22"/>
    </row>
    <row r="1411" spans="1:3" x14ac:dyDescent="0.2">
      <c r="A1411" s="27">
        <v>111</v>
      </c>
      <c r="B1411" s="29" t="s">
        <v>78</v>
      </c>
      <c r="C1411" s="22"/>
    </row>
    <row r="1412" spans="1:3" x14ac:dyDescent="0.2">
      <c r="A1412" s="27">
        <v>112</v>
      </c>
      <c r="B1412" s="29" t="s">
        <v>79</v>
      </c>
      <c r="C1412" s="22"/>
    </row>
    <row r="1413" spans="1:3" x14ac:dyDescent="0.2">
      <c r="A1413" s="27">
        <v>113</v>
      </c>
      <c r="B1413" s="29" t="s">
        <v>80</v>
      </c>
      <c r="C1413" s="22"/>
    </row>
    <row r="1414" spans="1:3" x14ac:dyDescent="0.2">
      <c r="A1414" s="25">
        <v>200</v>
      </c>
      <c r="B1414" s="30" t="s">
        <v>81</v>
      </c>
      <c r="C1414" s="22"/>
    </row>
    <row r="1415" spans="1:3" x14ac:dyDescent="0.2">
      <c r="A1415" s="27">
        <v>201</v>
      </c>
      <c r="B1415" s="29" t="s">
        <v>82</v>
      </c>
      <c r="C1415" s="22"/>
    </row>
    <row r="1416" spans="1:3" x14ac:dyDescent="0.2">
      <c r="A1416" s="27">
        <v>202</v>
      </c>
      <c r="B1416" s="29" t="s">
        <v>83</v>
      </c>
      <c r="C1416" s="22"/>
    </row>
    <row r="1417" spans="1:3" x14ac:dyDescent="0.2">
      <c r="A1417" s="27">
        <v>203</v>
      </c>
      <c r="B1417" s="29" t="s">
        <v>84</v>
      </c>
      <c r="C1417" s="22"/>
    </row>
    <row r="1418" spans="1:3" x14ac:dyDescent="0.2">
      <c r="A1418" s="27">
        <v>204</v>
      </c>
      <c r="B1418" s="29" t="s">
        <v>85</v>
      </c>
      <c r="C1418" s="22"/>
    </row>
    <row r="1419" spans="1:3" x14ac:dyDescent="0.2">
      <c r="A1419" s="27">
        <v>205</v>
      </c>
      <c r="B1419" s="29" t="s">
        <v>86</v>
      </c>
      <c r="C1419" s="22"/>
    </row>
    <row r="1420" spans="1:3" x14ac:dyDescent="0.2">
      <c r="A1420" s="27">
        <v>206</v>
      </c>
      <c r="B1420" s="29" t="s">
        <v>87</v>
      </c>
      <c r="C1420" s="22"/>
    </row>
    <row r="1421" spans="1:3" x14ac:dyDescent="0.2">
      <c r="A1421" s="27">
        <v>207</v>
      </c>
      <c r="B1421" s="29" t="s">
        <v>88</v>
      </c>
      <c r="C1421" s="22"/>
    </row>
    <row r="1422" spans="1:3" x14ac:dyDescent="0.2">
      <c r="A1422" s="27">
        <v>208</v>
      </c>
      <c r="B1422" s="29" t="s">
        <v>89</v>
      </c>
      <c r="C1422" s="22"/>
    </row>
    <row r="1423" spans="1:3" x14ac:dyDescent="0.2">
      <c r="A1423" s="27">
        <v>209</v>
      </c>
      <c r="B1423" s="29" t="s">
        <v>90</v>
      </c>
      <c r="C1423" s="22"/>
    </row>
    <row r="1424" spans="1:3" x14ac:dyDescent="0.2">
      <c r="A1424" s="25">
        <v>300</v>
      </c>
      <c r="B1424" s="30" t="s">
        <v>91</v>
      </c>
      <c r="C1424" s="22"/>
    </row>
    <row r="1425" spans="1:3" x14ac:dyDescent="0.2">
      <c r="A1425" s="27">
        <v>301</v>
      </c>
      <c r="B1425" s="28" t="s">
        <v>853</v>
      </c>
      <c r="C1425" s="22"/>
    </row>
    <row r="1426" spans="1:3" x14ac:dyDescent="0.2">
      <c r="A1426" s="27">
        <v>302</v>
      </c>
      <c r="B1426" s="28" t="s">
        <v>488</v>
      </c>
      <c r="C1426" s="22"/>
    </row>
    <row r="1427" spans="1:3" x14ac:dyDescent="0.2">
      <c r="A1427" s="27">
        <v>303</v>
      </c>
      <c r="B1427" s="28" t="s">
        <v>854</v>
      </c>
      <c r="C1427" s="22"/>
    </row>
    <row r="1428" spans="1:3" x14ac:dyDescent="0.2">
      <c r="A1428" s="27">
        <v>304</v>
      </c>
      <c r="B1428" s="28" t="s">
        <v>92</v>
      </c>
      <c r="C1428" s="22"/>
    </row>
    <row r="1429" spans="1:3" x14ac:dyDescent="0.2">
      <c r="A1429" s="27">
        <v>305</v>
      </c>
      <c r="B1429" s="28" t="s">
        <v>93</v>
      </c>
      <c r="C1429" s="22"/>
    </row>
    <row r="1430" spans="1:3" x14ac:dyDescent="0.2">
      <c r="A1430" s="27">
        <v>306</v>
      </c>
      <c r="B1430" s="28" t="s">
        <v>94</v>
      </c>
      <c r="C1430" s="22"/>
    </row>
    <row r="1431" spans="1:3" x14ac:dyDescent="0.2">
      <c r="A1431" s="27">
        <v>307</v>
      </c>
      <c r="B1431" s="28" t="s">
        <v>95</v>
      </c>
      <c r="C1431" s="22"/>
    </row>
    <row r="1432" spans="1:3" x14ac:dyDescent="0.2">
      <c r="A1432" s="27">
        <v>308</v>
      </c>
      <c r="B1432" s="29" t="s">
        <v>96</v>
      </c>
      <c r="C1432" s="22"/>
    </row>
    <row r="1433" spans="1:3" x14ac:dyDescent="0.2">
      <c r="A1433" s="27">
        <v>309</v>
      </c>
      <c r="B1433" s="28" t="s">
        <v>855</v>
      </c>
      <c r="C1433" s="22"/>
    </row>
    <row r="1434" spans="1:3" x14ac:dyDescent="0.2">
      <c r="A1434" s="27">
        <v>310</v>
      </c>
      <c r="B1434" s="28" t="s">
        <v>856</v>
      </c>
      <c r="C1434" s="22"/>
    </row>
    <row r="1435" spans="1:3" x14ac:dyDescent="0.2">
      <c r="A1435" s="27">
        <v>311</v>
      </c>
      <c r="B1435" s="28" t="s">
        <v>97</v>
      </c>
      <c r="C1435" s="22"/>
    </row>
    <row r="1436" spans="1:3" x14ac:dyDescent="0.2">
      <c r="A1436" s="27">
        <v>312</v>
      </c>
      <c r="B1436" s="28" t="s">
        <v>98</v>
      </c>
      <c r="C1436" s="22"/>
    </row>
    <row r="1437" spans="1:3" x14ac:dyDescent="0.2">
      <c r="A1437" s="27">
        <v>313</v>
      </c>
      <c r="B1437" s="28" t="s">
        <v>99</v>
      </c>
      <c r="C1437" s="22"/>
    </row>
    <row r="1438" spans="1:3" x14ac:dyDescent="0.2">
      <c r="A1438" s="27">
        <v>314</v>
      </c>
      <c r="B1438" s="29" t="s">
        <v>99</v>
      </c>
      <c r="C1438" s="22"/>
    </row>
    <row r="1439" spans="1:3" x14ac:dyDescent="0.2">
      <c r="A1439" s="25">
        <v>400</v>
      </c>
      <c r="B1439" s="30" t="s">
        <v>100</v>
      </c>
      <c r="C1439" s="22"/>
    </row>
    <row r="1440" spans="1:3" x14ac:dyDescent="0.2">
      <c r="A1440" s="27">
        <v>401</v>
      </c>
      <c r="B1440" s="31" t="s">
        <v>101</v>
      </c>
      <c r="C1440" s="22"/>
    </row>
    <row r="1441" spans="1:3" x14ac:dyDescent="0.2">
      <c r="A1441" s="27">
        <v>402</v>
      </c>
      <c r="B1441" s="28" t="s">
        <v>102</v>
      </c>
      <c r="C1441" s="22"/>
    </row>
    <row r="1442" spans="1:3" x14ac:dyDescent="0.2">
      <c r="A1442" s="27">
        <v>403</v>
      </c>
      <c r="B1442" s="29" t="s">
        <v>103</v>
      </c>
      <c r="C1442" s="22"/>
    </row>
    <row r="1443" spans="1:3" x14ac:dyDescent="0.2">
      <c r="A1443" s="27">
        <v>404</v>
      </c>
      <c r="B1443" s="29" t="s">
        <v>104</v>
      </c>
      <c r="C1443" s="22"/>
    </row>
    <row r="1444" spans="1:3" x14ac:dyDescent="0.2">
      <c r="A1444" s="27">
        <v>405</v>
      </c>
      <c r="B1444" s="29" t="s">
        <v>105</v>
      </c>
      <c r="C1444" s="22"/>
    </row>
    <row r="1445" spans="1:3" x14ac:dyDescent="0.2">
      <c r="A1445" s="27">
        <v>406</v>
      </c>
      <c r="B1445" s="29" t="s">
        <v>106</v>
      </c>
      <c r="C1445" s="22"/>
    </row>
    <row r="1446" spans="1:3" x14ac:dyDescent="0.2">
      <c r="A1446" s="27">
        <v>407</v>
      </c>
      <c r="B1446" s="29" t="s">
        <v>107</v>
      </c>
      <c r="C1446" s="22"/>
    </row>
    <row r="1447" spans="1:3" x14ac:dyDescent="0.2">
      <c r="A1447" s="27">
        <v>408</v>
      </c>
      <c r="B1447" s="29" t="s">
        <v>108</v>
      </c>
      <c r="C1447" s="22"/>
    </row>
    <row r="1448" spans="1:3" x14ac:dyDescent="0.2">
      <c r="A1448" s="27">
        <v>409</v>
      </c>
      <c r="B1448" s="29" t="s">
        <v>861</v>
      </c>
      <c r="C1448" s="22"/>
    </row>
    <row r="1449" spans="1:3" x14ac:dyDescent="0.2">
      <c r="A1449" s="27">
        <v>410</v>
      </c>
      <c r="B1449" s="29" t="s">
        <v>110</v>
      </c>
      <c r="C1449" s="22"/>
    </row>
    <row r="1450" spans="1:3" x14ac:dyDescent="0.2">
      <c r="A1450" s="27">
        <v>411</v>
      </c>
      <c r="B1450" s="29" t="s">
        <v>111</v>
      </c>
      <c r="C1450" s="22"/>
    </row>
    <row r="1451" spans="1:3" x14ac:dyDescent="0.2">
      <c r="A1451" s="27">
        <v>412</v>
      </c>
      <c r="B1451" s="29" t="s">
        <v>112</v>
      </c>
      <c r="C1451" s="22"/>
    </row>
    <row r="1452" spans="1:3" x14ac:dyDescent="0.2">
      <c r="A1452" s="25">
        <v>500</v>
      </c>
      <c r="B1452" s="30" t="s">
        <v>113</v>
      </c>
      <c r="C1452" s="22"/>
    </row>
    <row r="1453" spans="1:3" x14ac:dyDescent="0.2">
      <c r="A1453" s="27">
        <v>501</v>
      </c>
      <c r="B1453" s="29" t="s">
        <v>114</v>
      </c>
      <c r="C1453" s="22"/>
    </row>
    <row r="1454" spans="1:3" x14ac:dyDescent="0.2">
      <c r="A1454" s="27">
        <v>502</v>
      </c>
      <c r="B1454" s="29" t="s">
        <v>115</v>
      </c>
      <c r="C1454" s="22"/>
    </row>
    <row r="1455" spans="1:3" x14ac:dyDescent="0.2">
      <c r="A1455" s="27">
        <v>503</v>
      </c>
      <c r="B1455" s="28" t="s">
        <v>116</v>
      </c>
      <c r="C1455" s="22"/>
    </row>
    <row r="1456" spans="1:3" x14ac:dyDescent="0.2">
      <c r="A1456" s="27">
        <v>504</v>
      </c>
      <c r="B1456" s="29" t="s">
        <v>117</v>
      </c>
      <c r="C1456" s="22"/>
    </row>
    <row r="1457" spans="1:3" x14ac:dyDescent="0.2">
      <c r="A1457" s="27">
        <v>505</v>
      </c>
      <c r="B1457" s="29" t="s">
        <v>118</v>
      </c>
      <c r="C1457" s="22"/>
    </row>
    <row r="1458" spans="1:3" x14ac:dyDescent="0.2">
      <c r="A1458" s="25">
        <v>600</v>
      </c>
      <c r="B1458" s="32" t="s">
        <v>119</v>
      </c>
      <c r="C1458" s="22"/>
    </row>
    <row r="1459" spans="1:3" x14ac:dyDescent="0.2">
      <c r="A1459" s="27">
        <v>601</v>
      </c>
      <c r="B1459" s="28" t="s">
        <v>120</v>
      </c>
      <c r="C1459" s="22"/>
    </row>
    <row r="1460" spans="1:3" x14ac:dyDescent="0.2">
      <c r="A1460" s="27">
        <v>602</v>
      </c>
      <c r="B1460" s="29" t="s">
        <v>121</v>
      </c>
      <c r="C1460" s="22"/>
    </row>
    <row r="1461" spans="1:3" x14ac:dyDescent="0.2">
      <c r="A1461" s="27">
        <v>603</v>
      </c>
      <c r="B1461" s="29" t="s">
        <v>122</v>
      </c>
      <c r="C1461" s="22"/>
    </row>
    <row r="1462" spans="1:3" x14ac:dyDescent="0.2">
      <c r="A1462" s="27">
        <v>604</v>
      </c>
      <c r="B1462" s="29" t="s">
        <v>123</v>
      </c>
      <c r="C1462" s="22"/>
    </row>
    <row r="1463" spans="1:3" x14ac:dyDescent="0.2">
      <c r="A1463" s="27">
        <v>605</v>
      </c>
      <c r="B1463" s="29" t="s">
        <v>124</v>
      </c>
      <c r="C1463" s="22"/>
    </row>
    <row r="1464" spans="1:3" x14ac:dyDescent="0.2">
      <c r="A1464" s="25">
        <v>700</v>
      </c>
      <c r="B1464" s="32" t="s">
        <v>125</v>
      </c>
      <c r="C1464" s="22"/>
    </row>
    <row r="1465" spans="1:3" x14ac:dyDescent="0.2">
      <c r="A1465" s="27">
        <v>701</v>
      </c>
      <c r="B1465" s="29" t="s">
        <v>126</v>
      </c>
      <c r="C1465" s="22"/>
    </row>
    <row r="1466" spans="1:3" x14ac:dyDescent="0.2">
      <c r="A1466" s="27">
        <v>702</v>
      </c>
      <c r="B1466" s="29" t="s">
        <v>127</v>
      </c>
      <c r="C1466" s="22"/>
    </row>
    <row r="1467" spans="1:3" x14ac:dyDescent="0.2">
      <c r="A1467" s="27">
        <v>703</v>
      </c>
      <c r="B1467" s="29" t="s">
        <v>491</v>
      </c>
      <c r="C1467" s="22"/>
    </row>
    <row r="1468" spans="1:3" x14ac:dyDescent="0.2">
      <c r="A1468" s="27">
        <v>704</v>
      </c>
      <c r="B1468" s="29" t="s">
        <v>128</v>
      </c>
      <c r="C1468" s="22"/>
    </row>
    <row r="1469" spans="1:3" x14ac:dyDescent="0.2">
      <c r="A1469" s="27">
        <v>705</v>
      </c>
      <c r="B1469" s="29" t="s">
        <v>129</v>
      </c>
      <c r="C1469" s="22"/>
    </row>
    <row r="1470" spans="1:3" x14ac:dyDescent="0.2">
      <c r="A1470" s="33">
        <v>706</v>
      </c>
      <c r="B1470" s="28" t="s">
        <v>857</v>
      </c>
      <c r="C1470" s="22"/>
    </row>
    <row r="1471" spans="1:3" x14ac:dyDescent="0.2">
      <c r="A1471" s="27">
        <v>707</v>
      </c>
      <c r="B1471" s="29" t="s">
        <v>492</v>
      </c>
      <c r="C1471" s="22"/>
    </row>
    <row r="1472" spans="1:3" x14ac:dyDescent="0.2">
      <c r="A1472" s="27">
        <v>708</v>
      </c>
      <c r="B1472" s="29" t="s">
        <v>130</v>
      </c>
      <c r="C1472" s="22"/>
    </row>
    <row r="1473" spans="1:3" x14ac:dyDescent="0.2">
      <c r="A1473" s="27">
        <v>709</v>
      </c>
      <c r="B1473" s="29" t="s">
        <v>131</v>
      </c>
      <c r="C1473" s="22"/>
    </row>
    <row r="1474" spans="1:3" x14ac:dyDescent="0.2">
      <c r="A1474" s="25">
        <v>800</v>
      </c>
      <c r="B1474" s="32" t="s">
        <v>132</v>
      </c>
      <c r="C1474" s="22"/>
    </row>
    <row r="1475" spans="1:3" x14ac:dyDescent="0.2">
      <c r="A1475" s="27">
        <v>801</v>
      </c>
      <c r="B1475" s="29" t="s">
        <v>133</v>
      </c>
      <c r="C1475" s="22"/>
    </row>
    <row r="1476" spans="1:3" x14ac:dyDescent="0.2">
      <c r="A1476" s="27">
        <v>802</v>
      </c>
      <c r="B1476" s="29" t="s">
        <v>134</v>
      </c>
      <c r="C1476" s="22"/>
    </row>
    <row r="1477" spans="1:3" x14ac:dyDescent="0.2">
      <c r="A1477" s="27">
        <v>803</v>
      </c>
      <c r="B1477" s="29" t="s">
        <v>135</v>
      </c>
      <c r="C1477" s="22"/>
    </row>
    <row r="1478" spans="1:3" x14ac:dyDescent="0.2">
      <c r="A1478" s="27">
        <v>804</v>
      </c>
      <c r="B1478" s="29" t="s">
        <v>136</v>
      </c>
      <c r="C1478" s="22"/>
    </row>
    <row r="1479" spans="1:3" x14ac:dyDescent="0.2">
      <c r="A1479" s="25">
        <v>900</v>
      </c>
      <c r="B1479" s="32" t="s">
        <v>137</v>
      </c>
      <c r="C1479" s="22"/>
    </row>
    <row r="1480" spans="1:3" x14ac:dyDescent="0.2">
      <c r="A1480" s="27">
        <v>901</v>
      </c>
      <c r="B1480" s="29" t="s">
        <v>138</v>
      </c>
      <c r="C1480" s="22"/>
    </row>
    <row r="1481" spans="1:3" x14ac:dyDescent="0.2">
      <c r="A1481" s="27">
        <v>902</v>
      </c>
      <c r="B1481" s="29" t="s">
        <v>139</v>
      </c>
      <c r="C1481" s="22"/>
    </row>
    <row r="1482" spans="1:3" x14ac:dyDescent="0.2">
      <c r="A1482" s="27">
        <v>903</v>
      </c>
      <c r="B1482" s="29" t="s">
        <v>140</v>
      </c>
      <c r="C1482" s="22"/>
    </row>
    <row r="1483" spans="1:3" x14ac:dyDescent="0.2">
      <c r="A1483" s="27">
        <v>904</v>
      </c>
      <c r="B1483" s="29" t="s">
        <v>141</v>
      </c>
      <c r="C1483" s="22"/>
    </row>
    <row r="1484" spans="1:3" x14ac:dyDescent="0.2">
      <c r="A1484" s="27">
        <v>905</v>
      </c>
      <c r="B1484" s="34" t="s">
        <v>142</v>
      </c>
      <c r="C1484" s="22"/>
    </row>
    <row r="1485" spans="1:3" x14ac:dyDescent="0.2">
      <c r="A1485" s="27">
        <v>906</v>
      </c>
      <c r="B1485" s="34" t="s">
        <v>143</v>
      </c>
      <c r="C1485" s="22"/>
    </row>
    <row r="1486" spans="1:3" x14ac:dyDescent="0.2">
      <c r="A1486" s="27">
        <v>907</v>
      </c>
      <c r="B1486" s="29" t="s">
        <v>144</v>
      </c>
      <c r="C1486" s="22"/>
    </row>
    <row r="1487" spans="1:3" x14ac:dyDescent="0.2">
      <c r="A1487" s="27">
        <v>908</v>
      </c>
      <c r="B1487" s="28" t="s">
        <v>145</v>
      </c>
      <c r="C1487" s="22"/>
    </row>
    <row r="1488" spans="1:3" x14ac:dyDescent="0.2">
      <c r="A1488" s="27">
        <v>909</v>
      </c>
      <c r="B1488" s="29" t="s">
        <v>146</v>
      </c>
      <c r="C1488" s="22"/>
    </row>
    <row r="1489" spans="1:3" x14ac:dyDescent="0.2">
      <c r="A1489" s="25">
        <v>1000</v>
      </c>
      <c r="B1489" s="32" t="s">
        <v>147</v>
      </c>
      <c r="C1489" s="22"/>
    </row>
    <row r="1490" spans="1:3" x14ac:dyDescent="0.2">
      <c r="A1490" s="27">
        <v>1001</v>
      </c>
      <c r="B1490" s="29" t="s">
        <v>148</v>
      </c>
      <c r="C1490" s="22"/>
    </row>
    <row r="1491" spans="1:3" x14ac:dyDescent="0.2">
      <c r="A1491" s="27">
        <v>1002</v>
      </c>
      <c r="B1491" s="29" t="s">
        <v>149</v>
      </c>
      <c r="C1491" s="22"/>
    </row>
    <row r="1492" spans="1:3" x14ac:dyDescent="0.2">
      <c r="A1492" s="27">
        <v>1003</v>
      </c>
      <c r="B1492" s="29" t="s">
        <v>150</v>
      </c>
      <c r="C1492" s="22"/>
    </row>
    <row r="1493" spans="1:3" x14ac:dyDescent="0.2">
      <c r="A1493" s="27">
        <v>1004</v>
      </c>
      <c r="B1493" s="28" t="s">
        <v>151</v>
      </c>
      <c r="C1493" s="22"/>
    </row>
    <row r="1494" spans="1:3" x14ac:dyDescent="0.2">
      <c r="A1494" s="27">
        <v>1005</v>
      </c>
      <c r="B1494" s="29" t="s">
        <v>152</v>
      </c>
      <c r="C1494" s="22"/>
    </row>
    <row r="1495" spans="1:3" x14ac:dyDescent="0.2">
      <c r="A1495" s="27">
        <v>1006</v>
      </c>
      <c r="B1495" s="29" t="s">
        <v>153</v>
      </c>
      <c r="C1495" s="22"/>
    </row>
    <row r="1496" spans="1:3" x14ac:dyDescent="0.2">
      <c r="A1496" s="25">
        <v>1100</v>
      </c>
      <c r="B1496" s="32" t="s">
        <v>154</v>
      </c>
      <c r="C1496" s="22"/>
    </row>
    <row r="1497" spans="1:3" x14ac:dyDescent="0.2">
      <c r="A1497" s="27">
        <v>1101</v>
      </c>
      <c r="B1497" s="29" t="s">
        <v>155</v>
      </c>
      <c r="C1497" s="22"/>
    </row>
    <row r="1498" spans="1:3" x14ac:dyDescent="0.2">
      <c r="A1498" s="27">
        <v>1102</v>
      </c>
      <c r="B1498" s="34" t="s">
        <v>156</v>
      </c>
      <c r="C1498" s="22"/>
    </row>
    <row r="1499" spans="1:3" x14ac:dyDescent="0.2">
      <c r="A1499" s="27">
        <v>1103</v>
      </c>
      <c r="B1499" s="29" t="s">
        <v>157</v>
      </c>
      <c r="C1499" s="22"/>
    </row>
    <row r="1500" spans="1:3" x14ac:dyDescent="0.2">
      <c r="A1500" s="27">
        <v>1104</v>
      </c>
      <c r="B1500" s="29" t="s">
        <v>158</v>
      </c>
      <c r="C1500" s="22"/>
    </row>
    <row r="1501" spans="1:3" x14ac:dyDescent="0.2">
      <c r="A1501" s="27">
        <v>1105</v>
      </c>
      <c r="B1501" s="29" t="s">
        <v>159</v>
      </c>
      <c r="C1501" s="22"/>
    </row>
    <row r="1502" spans="1:3" x14ac:dyDescent="0.2">
      <c r="A1502" s="25">
        <v>1200</v>
      </c>
      <c r="B1502" s="32" t="s">
        <v>160</v>
      </c>
    </row>
    <row r="1503" spans="1:3" x14ac:dyDescent="0.2">
      <c r="A1503" s="27">
        <v>1201</v>
      </c>
      <c r="B1503" s="29" t="s">
        <v>161</v>
      </c>
    </row>
    <row r="1504" spans="1:3" x14ac:dyDescent="0.2">
      <c r="A1504" s="27">
        <v>1202</v>
      </c>
      <c r="B1504" s="29" t="s">
        <v>162</v>
      </c>
    </row>
    <row r="1505" spans="1:2" x14ac:dyDescent="0.2">
      <c r="A1505" s="27">
        <v>1203</v>
      </c>
      <c r="B1505" s="29" t="s">
        <v>163</v>
      </c>
    </row>
    <row r="1506" spans="1:2" x14ac:dyDescent="0.2">
      <c r="A1506" s="27">
        <v>1204</v>
      </c>
      <c r="B1506" s="29" t="s">
        <v>164</v>
      </c>
    </row>
    <row r="1507" spans="1:2" x14ac:dyDescent="0.2">
      <c r="A1507" s="25">
        <v>1300</v>
      </c>
      <c r="B1507" s="32" t="s">
        <v>165</v>
      </c>
    </row>
    <row r="1508" spans="1:2" x14ac:dyDescent="0.2">
      <c r="A1508" s="27">
        <v>1301</v>
      </c>
      <c r="B1508" s="28" t="s">
        <v>858</v>
      </c>
    </row>
    <row r="1509" spans="1:2" x14ac:dyDescent="0.2">
      <c r="A1509" s="27">
        <v>1302</v>
      </c>
      <c r="B1509" s="28" t="s">
        <v>859</v>
      </c>
    </row>
    <row r="1510" spans="1:2" ht="25.5" x14ac:dyDescent="0.2">
      <c r="A1510" s="25">
        <v>1400</v>
      </c>
      <c r="B1510" s="32" t="s">
        <v>166</v>
      </c>
    </row>
    <row r="1511" spans="1:2" x14ac:dyDescent="0.2">
      <c r="A1511" s="27">
        <v>1401</v>
      </c>
      <c r="B1511" s="29" t="s">
        <v>167</v>
      </c>
    </row>
    <row r="1512" spans="1:2" x14ac:dyDescent="0.2">
      <c r="A1512" s="27">
        <v>1402</v>
      </c>
      <c r="B1512" s="29" t="s">
        <v>168</v>
      </c>
    </row>
    <row r="1513" spans="1:2" x14ac:dyDescent="0.2">
      <c r="A1513" s="27">
        <v>1403</v>
      </c>
      <c r="B1513" s="28" t="s">
        <v>860</v>
      </c>
    </row>
  </sheetData>
  <printOptions gridLinesSet="0"/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25" workbookViewId="0">
      <selection activeCell="B34" sqref="B34"/>
    </sheetView>
  </sheetViews>
  <sheetFormatPr defaultColWidth="9.140625" defaultRowHeight="15.75" x14ac:dyDescent="0.25"/>
  <cols>
    <col min="1" max="1" width="19.5703125" style="35" customWidth="1"/>
    <col min="2" max="2" width="81.7109375" style="202" customWidth="1"/>
    <col min="3" max="16384" width="9.140625" style="35"/>
  </cols>
  <sheetData>
    <row r="2" spans="1:2" ht="16.5" thickBot="1" x14ac:dyDescent="0.3"/>
    <row r="3" spans="1:2" x14ac:dyDescent="0.25">
      <c r="A3" s="45" t="s">
        <v>219</v>
      </c>
      <c r="B3" s="203" t="s">
        <v>490</v>
      </c>
    </row>
    <row r="4" spans="1:2" x14ac:dyDescent="0.25">
      <c r="A4" s="113" t="s">
        <v>634</v>
      </c>
      <c r="B4" s="204" t="s">
        <v>707</v>
      </c>
    </row>
    <row r="5" spans="1:2" ht="36.950000000000003" customHeight="1" x14ac:dyDescent="0.25">
      <c r="A5" s="42" t="s">
        <v>202</v>
      </c>
      <c r="B5" s="205" t="s">
        <v>708</v>
      </c>
    </row>
    <row r="6" spans="1:2" x14ac:dyDescent="0.25">
      <c r="A6" s="37" t="s">
        <v>513</v>
      </c>
      <c r="B6" s="39" t="s">
        <v>497</v>
      </c>
    </row>
    <row r="7" spans="1:2" ht="31.5" x14ac:dyDescent="0.25">
      <c r="A7" s="37" t="s">
        <v>515</v>
      </c>
      <c r="B7" s="201" t="s">
        <v>626</v>
      </c>
    </row>
    <row r="8" spans="1:2" ht="31.5" x14ac:dyDescent="0.25">
      <c r="A8" s="37" t="s">
        <v>677</v>
      </c>
      <c r="B8" s="152" t="s">
        <v>676</v>
      </c>
    </row>
    <row r="9" spans="1:2" ht="24" customHeight="1" x14ac:dyDescent="0.25">
      <c r="A9" s="37" t="s">
        <v>678</v>
      </c>
      <c r="B9" s="152" t="s">
        <v>685</v>
      </c>
    </row>
    <row r="10" spans="1:2" s="36" customFormat="1" ht="31.5" x14ac:dyDescent="0.25">
      <c r="A10" s="42" t="s">
        <v>198</v>
      </c>
      <c r="B10" s="206" t="s">
        <v>698</v>
      </c>
    </row>
    <row r="11" spans="1:2" x14ac:dyDescent="0.25">
      <c r="A11" s="37" t="s">
        <v>514</v>
      </c>
      <c r="B11" s="48" t="s">
        <v>510</v>
      </c>
    </row>
    <row r="12" spans="1:2" ht="31.5" x14ac:dyDescent="0.25">
      <c r="A12" s="37" t="s">
        <v>516</v>
      </c>
      <c r="B12" s="48" t="s">
        <v>850</v>
      </c>
    </row>
    <row r="13" spans="1:2" x14ac:dyDescent="0.25">
      <c r="A13" s="37" t="s">
        <v>579</v>
      </c>
      <c r="B13" s="48" t="s">
        <v>580</v>
      </c>
    </row>
    <row r="14" spans="1:2" s="36" customFormat="1" ht="36.950000000000003" customHeight="1" x14ac:dyDescent="0.25">
      <c r="A14" s="42" t="s">
        <v>200</v>
      </c>
      <c r="B14" s="205" t="s">
        <v>714</v>
      </c>
    </row>
    <row r="15" spans="1:2" ht="31.5" x14ac:dyDescent="0.25">
      <c r="A15" s="37" t="s">
        <v>519</v>
      </c>
      <c r="B15" s="49" t="s">
        <v>511</v>
      </c>
    </row>
    <row r="16" spans="1:2" s="36" customFormat="1" ht="31.5" x14ac:dyDescent="0.25">
      <c r="A16" s="37" t="s">
        <v>522</v>
      </c>
      <c r="B16" s="49" t="s">
        <v>517</v>
      </c>
    </row>
    <row r="17" spans="1:2" s="36" customFormat="1" x14ac:dyDescent="0.25">
      <c r="A17" s="37" t="s">
        <v>720</v>
      </c>
      <c r="B17" s="49" t="s">
        <v>721</v>
      </c>
    </row>
    <row r="18" spans="1:2" ht="31.5" x14ac:dyDescent="0.25">
      <c r="A18" s="43" t="s">
        <v>208</v>
      </c>
      <c r="B18" s="207" t="s">
        <v>699</v>
      </c>
    </row>
    <row r="19" spans="1:2" s="36" customFormat="1" ht="31.5" x14ac:dyDescent="0.25">
      <c r="A19" s="37" t="s">
        <v>209</v>
      </c>
      <c r="B19" s="50" t="s">
        <v>512</v>
      </c>
    </row>
    <row r="20" spans="1:2" s="36" customFormat="1" ht="31.5" x14ac:dyDescent="0.25">
      <c r="A20" s="37" t="s">
        <v>807</v>
      </c>
      <c r="B20" s="199" t="s">
        <v>806</v>
      </c>
    </row>
    <row r="21" spans="1:2" ht="47.25" x14ac:dyDescent="0.25">
      <c r="A21" s="46" t="s">
        <v>211</v>
      </c>
      <c r="B21" s="208" t="s">
        <v>700</v>
      </c>
    </row>
    <row r="22" spans="1:2" ht="35.25" customHeight="1" x14ac:dyDescent="0.25">
      <c r="A22" s="37" t="s">
        <v>518</v>
      </c>
      <c r="B22" s="218" t="s">
        <v>793</v>
      </c>
    </row>
    <row r="23" spans="1:2" ht="31.5" x14ac:dyDescent="0.25">
      <c r="A23" s="42" t="s">
        <v>212</v>
      </c>
      <c r="B23" s="207" t="s">
        <v>701</v>
      </c>
    </row>
    <row r="24" spans="1:2" s="36" customFormat="1" ht="31.5" x14ac:dyDescent="0.25">
      <c r="A24" s="37" t="s">
        <v>213</v>
      </c>
      <c r="B24" s="50" t="s">
        <v>709</v>
      </c>
    </row>
    <row r="25" spans="1:2" ht="47.25" x14ac:dyDescent="0.25">
      <c r="A25" s="44" t="s">
        <v>214</v>
      </c>
      <c r="B25" s="207" t="s">
        <v>705</v>
      </c>
    </row>
    <row r="26" spans="1:2" ht="31.5" x14ac:dyDescent="0.25">
      <c r="A26" s="37" t="s">
        <v>520</v>
      </c>
      <c r="B26" s="50" t="s">
        <v>630</v>
      </c>
    </row>
    <row r="27" spans="1:2" ht="31.5" x14ac:dyDescent="0.25">
      <c r="A27" s="44" t="s">
        <v>603</v>
      </c>
      <c r="B27" s="207" t="s">
        <v>702</v>
      </c>
    </row>
    <row r="28" spans="1:2" ht="33.75" customHeight="1" x14ac:dyDescent="0.25">
      <c r="A28" s="37" t="s">
        <v>604</v>
      </c>
      <c r="B28" s="219" t="s">
        <v>791</v>
      </c>
    </row>
    <row r="29" spans="1:2" ht="31.5" x14ac:dyDescent="0.25">
      <c r="A29" s="44" t="s">
        <v>663</v>
      </c>
      <c r="B29" s="207" t="s">
        <v>703</v>
      </c>
    </row>
    <row r="30" spans="1:2" ht="31.5" x14ac:dyDescent="0.25">
      <c r="A30" s="37" t="s">
        <v>664</v>
      </c>
      <c r="B30" s="50" t="s">
        <v>787</v>
      </c>
    </row>
    <row r="31" spans="1:2" ht="31.5" x14ac:dyDescent="0.25">
      <c r="A31" s="37" t="s">
        <v>665</v>
      </c>
      <c r="B31" s="151" t="s">
        <v>818</v>
      </c>
    </row>
    <row r="32" spans="1:2" ht="47.25" x14ac:dyDescent="0.25">
      <c r="A32" s="44" t="s">
        <v>667</v>
      </c>
      <c r="B32" s="207" t="s">
        <v>704</v>
      </c>
    </row>
    <row r="33" spans="1:2" ht="31.5" x14ac:dyDescent="0.25">
      <c r="A33" s="37" t="s">
        <v>668</v>
      </c>
      <c r="B33" s="49" t="s">
        <v>706</v>
      </c>
    </row>
    <row r="34" spans="1:2" x14ac:dyDescent="0.25">
      <c r="A34" s="37" t="s">
        <v>669</v>
      </c>
      <c r="B34" s="50" t="s">
        <v>666</v>
      </c>
    </row>
    <row r="35" spans="1:2" x14ac:dyDescent="0.25">
      <c r="A35" s="37" t="s">
        <v>829</v>
      </c>
      <c r="B35" s="50" t="s">
        <v>830</v>
      </c>
    </row>
    <row r="36" spans="1:2" ht="32.25" customHeight="1" x14ac:dyDescent="0.25">
      <c r="A36" s="44" t="s">
        <v>722</v>
      </c>
      <c r="B36" s="207" t="s">
        <v>781</v>
      </c>
    </row>
    <row r="37" spans="1:2" ht="46.5" customHeight="1" x14ac:dyDescent="0.25">
      <c r="A37" s="220" t="s">
        <v>802</v>
      </c>
      <c r="B37" s="49" t="s">
        <v>803</v>
      </c>
    </row>
    <row r="38" spans="1:2" x14ac:dyDescent="0.25">
      <c r="A38" s="37" t="s">
        <v>723</v>
      </c>
      <c r="B38" s="50" t="s">
        <v>724</v>
      </c>
    </row>
    <row r="39" spans="1:2" ht="31.5" x14ac:dyDescent="0.25">
      <c r="A39" s="44" t="s">
        <v>741</v>
      </c>
      <c r="B39" s="207" t="s">
        <v>743</v>
      </c>
    </row>
    <row r="40" spans="1:2" ht="114.75" customHeight="1" x14ac:dyDescent="0.25">
      <c r="A40" s="37" t="s">
        <v>742</v>
      </c>
      <c r="B40" s="49" t="s">
        <v>792</v>
      </c>
    </row>
    <row r="41" spans="1:2" ht="37.5" customHeight="1" x14ac:dyDescent="0.25">
      <c r="A41" s="197" t="s">
        <v>773</v>
      </c>
      <c r="B41" s="198" t="s">
        <v>782</v>
      </c>
    </row>
    <row r="42" spans="1:2" ht="47.25" x14ac:dyDescent="0.25">
      <c r="A42" s="195" t="s">
        <v>770</v>
      </c>
      <c r="B42" s="209" t="s">
        <v>780</v>
      </c>
    </row>
    <row r="43" spans="1:2" ht="31.7" customHeight="1" x14ac:dyDescent="0.25">
      <c r="A43" s="196" t="s">
        <v>771</v>
      </c>
      <c r="B43" s="200" t="s">
        <v>772</v>
      </c>
    </row>
    <row r="44" spans="1:2" ht="31.7" customHeight="1" x14ac:dyDescent="0.25">
      <c r="A44" s="195" t="s">
        <v>797</v>
      </c>
      <c r="B44" s="209" t="s">
        <v>799</v>
      </c>
    </row>
    <row r="45" spans="1:2" ht="31.7" customHeight="1" x14ac:dyDescent="0.25">
      <c r="A45" s="196" t="s">
        <v>798</v>
      </c>
      <c r="B45" s="200" t="s">
        <v>800</v>
      </c>
    </row>
    <row r="46" spans="1:2" ht="51.75" customHeight="1" x14ac:dyDescent="0.25">
      <c r="A46" s="195" t="s">
        <v>815</v>
      </c>
      <c r="B46" s="209" t="s">
        <v>813</v>
      </c>
    </row>
    <row r="47" spans="1:2" ht="33" customHeight="1" x14ac:dyDescent="0.25">
      <c r="A47" s="196" t="s">
        <v>814</v>
      </c>
      <c r="B47" s="200" t="s">
        <v>816</v>
      </c>
    </row>
    <row r="48" spans="1:2" ht="16.5" thickBot="1" x14ac:dyDescent="0.3">
      <c r="A48" s="47" t="s">
        <v>521</v>
      </c>
      <c r="B48" s="210" t="s">
        <v>193</v>
      </c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9"/>
  <sheetViews>
    <sheetView topLeftCell="A22" workbookViewId="0">
      <selection activeCell="B24" sqref="B24"/>
    </sheetView>
  </sheetViews>
  <sheetFormatPr defaultColWidth="9.140625" defaultRowHeight="15.75" x14ac:dyDescent="0.2"/>
  <cols>
    <col min="1" max="1" width="21.42578125" style="66" customWidth="1"/>
    <col min="2" max="2" width="117.140625" style="66" customWidth="1"/>
    <col min="3" max="16384" width="9.140625" style="66"/>
  </cols>
  <sheetData>
    <row r="1" spans="1:2" ht="16.5" thickBot="1" x14ac:dyDescent="0.25">
      <c r="A1" s="64" t="s">
        <v>489</v>
      </c>
      <c r="B1" s="65" t="s">
        <v>65</v>
      </c>
    </row>
    <row r="2" spans="1:2" x14ac:dyDescent="0.2">
      <c r="A2" s="67">
        <v>20010</v>
      </c>
      <c r="B2" s="61" t="s">
        <v>583</v>
      </c>
    </row>
    <row r="3" spans="1:2" x14ac:dyDescent="0.2">
      <c r="A3" s="120">
        <v>20020</v>
      </c>
      <c r="B3" s="121"/>
    </row>
    <row r="4" spans="1:2" x14ac:dyDescent="0.2">
      <c r="A4" s="68">
        <v>20030</v>
      </c>
      <c r="B4" s="60" t="s">
        <v>601</v>
      </c>
    </row>
    <row r="5" spans="1:2" x14ac:dyDescent="0.2">
      <c r="A5" s="68">
        <v>20040</v>
      </c>
      <c r="B5" s="60" t="s">
        <v>697</v>
      </c>
    </row>
    <row r="6" spans="1:2" x14ac:dyDescent="0.2">
      <c r="A6" s="68">
        <v>20050</v>
      </c>
      <c r="B6" s="60" t="s">
        <v>600</v>
      </c>
    </row>
    <row r="7" spans="1:2" x14ac:dyDescent="0.2">
      <c r="A7" s="68">
        <v>20060</v>
      </c>
      <c r="B7" s="60"/>
    </row>
    <row r="8" spans="1:2" x14ac:dyDescent="0.2">
      <c r="A8" s="68">
        <v>20070</v>
      </c>
      <c r="B8" s="60" t="s">
        <v>584</v>
      </c>
    </row>
    <row r="9" spans="1:2" x14ac:dyDescent="0.2">
      <c r="A9" s="68">
        <v>20080</v>
      </c>
      <c r="B9" s="60" t="s">
        <v>786</v>
      </c>
    </row>
    <row r="10" spans="1:2" x14ac:dyDescent="0.2">
      <c r="A10" s="68">
        <v>20090</v>
      </c>
      <c r="B10" s="60" t="s">
        <v>585</v>
      </c>
    </row>
    <row r="11" spans="1:2" x14ac:dyDescent="0.2">
      <c r="A11" s="68">
        <v>20100</v>
      </c>
      <c r="B11" s="60" t="s">
        <v>801</v>
      </c>
    </row>
    <row r="12" spans="1:2" x14ac:dyDescent="0.2">
      <c r="A12" s="68">
        <v>20110</v>
      </c>
      <c r="B12" s="60"/>
    </row>
    <row r="13" spans="1:2" x14ac:dyDescent="0.2">
      <c r="A13" s="68">
        <v>20120</v>
      </c>
      <c r="B13" s="60" t="s">
        <v>586</v>
      </c>
    </row>
    <row r="14" spans="1:2" x14ac:dyDescent="0.2">
      <c r="A14" s="68">
        <v>20130</v>
      </c>
      <c r="B14" s="60" t="s">
        <v>587</v>
      </c>
    </row>
    <row r="15" spans="1:2" x14ac:dyDescent="0.2">
      <c r="A15" s="68">
        <v>20140</v>
      </c>
      <c r="B15" s="60"/>
    </row>
    <row r="16" spans="1:2" ht="31.5" x14ac:dyDescent="0.2">
      <c r="A16" s="68">
        <v>20150</v>
      </c>
      <c r="B16" s="60" t="s">
        <v>596</v>
      </c>
    </row>
    <row r="17" spans="1:2" ht="31.5" x14ac:dyDescent="0.2">
      <c r="A17" s="68">
        <v>20160</v>
      </c>
      <c r="B17" s="60" t="s">
        <v>597</v>
      </c>
    </row>
    <row r="18" spans="1:2" x14ac:dyDescent="0.2">
      <c r="A18" s="68">
        <v>20170</v>
      </c>
      <c r="B18" s="60" t="s">
        <v>635</v>
      </c>
    </row>
    <row r="19" spans="1:2" ht="31.5" x14ac:dyDescent="0.2">
      <c r="A19" s="68">
        <v>20180</v>
      </c>
      <c r="B19" s="60" t="s">
        <v>629</v>
      </c>
    </row>
    <row r="20" spans="1:2" ht="31.5" x14ac:dyDescent="0.2">
      <c r="A20" s="68">
        <v>20190</v>
      </c>
      <c r="B20" s="60" t="s">
        <v>588</v>
      </c>
    </row>
    <row r="21" spans="1:2" x14ac:dyDescent="0.2">
      <c r="A21" s="68">
        <v>20200</v>
      </c>
      <c r="B21" s="60" t="s">
        <v>710</v>
      </c>
    </row>
    <row r="22" spans="1:2" x14ac:dyDescent="0.2">
      <c r="A22" s="68">
        <v>20210</v>
      </c>
      <c r="B22" s="60" t="s">
        <v>631</v>
      </c>
    </row>
    <row r="23" spans="1:2" x14ac:dyDescent="0.2">
      <c r="A23" s="68">
        <v>20220</v>
      </c>
      <c r="B23" s="60" t="s">
        <v>817</v>
      </c>
    </row>
    <row r="24" spans="1:2" ht="31.5" x14ac:dyDescent="0.2">
      <c r="A24" s="68">
        <v>20230</v>
      </c>
      <c r="B24" s="59" t="s">
        <v>633</v>
      </c>
    </row>
    <row r="25" spans="1:2" ht="31.5" x14ac:dyDescent="0.2">
      <c r="A25" s="68">
        <v>20240</v>
      </c>
      <c r="B25" s="60" t="s">
        <v>711</v>
      </c>
    </row>
    <row r="26" spans="1:2" x14ac:dyDescent="0.2">
      <c r="A26" s="68">
        <v>20250</v>
      </c>
      <c r="B26" s="60" t="s">
        <v>788</v>
      </c>
    </row>
    <row r="27" spans="1:2" x14ac:dyDescent="0.2">
      <c r="A27" s="68">
        <v>20260</v>
      </c>
      <c r="B27" s="59"/>
    </row>
    <row r="28" spans="1:2" x14ac:dyDescent="0.2">
      <c r="A28" s="68">
        <v>20270</v>
      </c>
      <c r="B28" s="59"/>
    </row>
    <row r="29" spans="1:2" x14ac:dyDescent="0.2">
      <c r="A29" s="68">
        <v>20280</v>
      </c>
      <c r="B29" s="60" t="s">
        <v>589</v>
      </c>
    </row>
    <row r="30" spans="1:2" x14ac:dyDescent="0.2">
      <c r="A30" s="68">
        <v>20290</v>
      </c>
      <c r="B30" s="60" t="s">
        <v>591</v>
      </c>
    </row>
    <row r="31" spans="1:2" x14ac:dyDescent="0.2">
      <c r="A31" s="68">
        <v>20300</v>
      </c>
      <c r="B31" s="60" t="s">
        <v>590</v>
      </c>
    </row>
    <row r="32" spans="1:2" x14ac:dyDescent="0.2">
      <c r="A32" s="68">
        <v>20310</v>
      </c>
      <c r="B32" s="60" t="s">
        <v>592</v>
      </c>
    </row>
    <row r="33" spans="1:2" x14ac:dyDescent="0.2">
      <c r="A33" s="68">
        <v>20320</v>
      </c>
      <c r="B33" s="60" t="s">
        <v>593</v>
      </c>
    </row>
    <row r="34" spans="1:2" x14ac:dyDescent="0.2">
      <c r="A34" s="68">
        <v>20330</v>
      </c>
      <c r="B34" s="60"/>
    </row>
    <row r="35" spans="1:2" x14ac:dyDescent="0.2">
      <c r="A35" s="68">
        <v>20340</v>
      </c>
      <c r="B35" s="60"/>
    </row>
    <row r="36" spans="1:2" x14ac:dyDescent="0.2">
      <c r="A36" s="68">
        <v>20350</v>
      </c>
      <c r="B36" s="60" t="s">
        <v>778</v>
      </c>
    </row>
    <row r="37" spans="1:2" ht="31.5" x14ac:dyDescent="0.2">
      <c r="A37" s="68">
        <v>20360</v>
      </c>
      <c r="B37" s="60" t="s">
        <v>594</v>
      </c>
    </row>
    <row r="38" spans="1:2" ht="31.5" x14ac:dyDescent="0.2">
      <c r="A38" s="68">
        <v>20370</v>
      </c>
      <c r="B38" s="60" t="s">
        <v>599</v>
      </c>
    </row>
    <row r="39" spans="1:2" ht="31.5" x14ac:dyDescent="0.2">
      <c r="A39" s="172">
        <v>20380</v>
      </c>
      <c r="B39" s="173" t="s">
        <v>598</v>
      </c>
    </row>
    <row r="40" spans="1:2" x14ac:dyDescent="0.2">
      <c r="A40" s="176"/>
      <c r="B40" s="38"/>
    </row>
    <row r="41" spans="1:2" x14ac:dyDescent="0.2">
      <c r="A41" s="176"/>
      <c r="B41" s="38"/>
    </row>
    <row r="42" spans="1:2" x14ac:dyDescent="0.2">
      <c r="A42" s="176">
        <v>21230</v>
      </c>
      <c r="B42" s="38" t="s">
        <v>785</v>
      </c>
    </row>
    <row r="43" spans="1:2" x14ac:dyDescent="0.2">
      <c r="A43" s="249">
        <v>21450</v>
      </c>
      <c r="B43" s="38" t="s">
        <v>812</v>
      </c>
    </row>
    <row r="44" spans="1:2" ht="31.5" x14ac:dyDescent="0.2">
      <c r="A44" s="68">
        <v>22446</v>
      </c>
      <c r="B44" s="63" t="s">
        <v>658</v>
      </c>
    </row>
    <row r="45" spans="1:2" ht="31.5" x14ac:dyDescent="0.2">
      <c r="A45" s="68">
        <v>23906</v>
      </c>
      <c r="B45" s="63" t="s">
        <v>659</v>
      </c>
    </row>
    <row r="46" spans="1:2" ht="31.5" x14ac:dyDescent="0.2">
      <c r="A46" s="68">
        <v>23936</v>
      </c>
      <c r="B46" s="63" t="s">
        <v>740</v>
      </c>
    </row>
    <row r="47" spans="1:2" ht="31.5" x14ac:dyDescent="0.2">
      <c r="A47" s="68">
        <v>25356</v>
      </c>
      <c r="B47" s="63" t="s">
        <v>660</v>
      </c>
    </row>
    <row r="48" spans="1:2" ht="31.5" x14ac:dyDescent="0.2">
      <c r="A48" s="172">
        <v>25626</v>
      </c>
      <c r="B48" s="173" t="s">
        <v>661</v>
      </c>
    </row>
    <row r="49" spans="1:2" ht="31.5" x14ac:dyDescent="0.2">
      <c r="A49" s="176">
        <v>26426</v>
      </c>
      <c r="B49" s="38" t="s">
        <v>821</v>
      </c>
    </row>
    <row r="50" spans="1:2" ht="31.5" x14ac:dyDescent="0.2">
      <c r="A50" s="176">
        <v>26930</v>
      </c>
      <c r="B50" s="38" t="s">
        <v>828</v>
      </c>
    </row>
    <row r="51" spans="1:2" ht="47.25" x14ac:dyDescent="0.2">
      <c r="A51" s="176">
        <v>26936</v>
      </c>
      <c r="B51" s="38" t="s">
        <v>808</v>
      </c>
    </row>
    <row r="52" spans="1:2" x14ac:dyDescent="0.25">
      <c r="A52" s="176">
        <v>27266</v>
      </c>
      <c r="B52" s="199" t="s">
        <v>870</v>
      </c>
    </row>
    <row r="53" spans="1:2" ht="47.25" x14ac:dyDescent="0.2">
      <c r="A53" s="155">
        <v>27484</v>
      </c>
      <c r="B53" s="38" t="s">
        <v>779</v>
      </c>
    </row>
    <row r="54" spans="1:2" x14ac:dyDescent="0.2">
      <c r="A54" s="174">
        <v>29016</v>
      </c>
      <c r="B54" s="175" t="s">
        <v>628</v>
      </c>
    </row>
    <row r="55" spans="1:2" ht="31.5" x14ac:dyDescent="0.2">
      <c r="A55" s="71">
        <v>29026</v>
      </c>
      <c r="B55" s="59" t="s">
        <v>531</v>
      </c>
    </row>
    <row r="56" spans="1:2" ht="31.5" x14ac:dyDescent="0.2">
      <c r="A56" s="71">
        <v>29036</v>
      </c>
      <c r="B56" s="59" t="s">
        <v>869</v>
      </c>
    </row>
    <row r="57" spans="1:2" ht="31.5" x14ac:dyDescent="0.2">
      <c r="A57" s="71">
        <v>29046</v>
      </c>
      <c r="B57" s="59" t="s">
        <v>532</v>
      </c>
    </row>
    <row r="58" spans="1:2" ht="31.5" x14ac:dyDescent="0.2">
      <c r="A58" s="71">
        <v>29056</v>
      </c>
      <c r="B58" s="59" t="s">
        <v>53</v>
      </c>
    </row>
    <row r="59" spans="1:2" x14ac:dyDescent="0.2">
      <c r="A59" s="71">
        <v>29066</v>
      </c>
      <c r="B59" s="59" t="s">
        <v>595</v>
      </c>
    </row>
    <row r="60" spans="1:2" ht="31.5" x14ac:dyDescent="0.2">
      <c r="A60" s="71">
        <v>29076</v>
      </c>
      <c r="B60" s="59" t="s">
        <v>533</v>
      </c>
    </row>
    <row r="61" spans="1:2" ht="31.5" x14ac:dyDescent="0.2">
      <c r="A61" s="71">
        <v>29086</v>
      </c>
      <c r="B61" s="59" t="s">
        <v>534</v>
      </c>
    </row>
    <row r="62" spans="1:2" ht="31.5" x14ac:dyDescent="0.2">
      <c r="A62" s="71">
        <v>29096</v>
      </c>
      <c r="B62" s="59" t="s">
        <v>54</v>
      </c>
    </row>
    <row r="63" spans="1:2" ht="31.5" x14ac:dyDescent="0.2">
      <c r="A63" s="71">
        <v>29106</v>
      </c>
      <c r="B63" s="59" t="s">
        <v>535</v>
      </c>
    </row>
    <row r="64" spans="1:2" ht="31.5" x14ac:dyDescent="0.2">
      <c r="A64" s="71">
        <v>29116</v>
      </c>
      <c r="B64" s="59" t="s">
        <v>627</v>
      </c>
    </row>
    <row r="65" spans="1:2" ht="30" customHeight="1" x14ac:dyDescent="0.2">
      <c r="A65" s="71">
        <v>29126</v>
      </c>
      <c r="B65" s="59" t="s">
        <v>536</v>
      </c>
    </row>
    <row r="66" spans="1:2" ht="31.5" x14ac:dyDescent="0.2">
      <c r="A66" s="71">
        <v>29136</v>
      </c>
      <c r="B66" s="59" t="s">
        <v>739</v>
      </c>
    </row>
    <row r="67" spans="1:2" ht="31.5" x14ac:dyDescent="0.2">
      <c r="A67" s="71">
        <v>29146</v>
      </c>
      <c r="B67" s="59" t="s">
        <v>537</v>
      </c>
    </row>
    <row r="68" spans="1:2" x14ac:dyDescent="0.2">
      <c r="A68" s="71">
        <v>29156</v>
      </c>
      <c r="B68" s="59" t="s">
        <v>55</v>
      </c>
    </row>
    <row r="69" spans="1:2" ht="31.5" x14ac:dyDescent="0.2">
      <c r="A69" s="71">
        <v>29166</v>
      </c>
      <c r="B69" s="59" t="s">
        <v>538</v>
      </c>
    </row>
    <row r="70" spans="1:2" ht="31.5" x14ac:dyDescent="0.2">
      <c r="A70" s="71">
        <v>29176</v>
      </c>
      <c r="B70" s="59" t="s">
        <v>712</v>
      </c>
    </row>
    <row r="71" spans="1:2" ht="31.5" x14ac:dyDescent="0.2">
      <c r="A71" s="71">
        <v>29186</v>
      </c>
      <c r="B71" s="59" t="s">
        <v>56</v>
      </c>
    </row>
    <row r="72" spans="1:2" ht="31.5" x14ac:dyDescent="0.2">
      <c r="A72" s="71">
        <v>29196</v>
      </c>
      <c r="B72" s="59" t="s">
        <v>57</v>
      </c>
    </row>
    <row r="73" spans="1:2" ht="22.7" customHeight="1" x14ac:dyDescent="0.2">
      <c r="A73" s="71">
        <v>29206</v>
      </c>
      <c r="B73" s="59" t="s">
        <v>539</v>
      </c>
    </row>
    <row r="74" spans="1:2" x14ac:dyDescent="0.2">
      <c r="A74" s="71">
        <v>29216</v>
      </c>
      <c r="B74" s="59" t="s">
        <v>540</v>
      </c>
    </row>
    <row r="75" spans="1:2" x14ac:dyDescent="0.2">
      <c r="A75" s="71">
        <v>29226</v>
      </c>
      <c r="B75" s="59" t="s">
        <v>541</v>
      </c>
    </row>
    <row r="76" spans="1:2" x14ac:dyDescent="0.2">
      <c r="A76" s="71">
        <v>29236</v>
      </c>
      <c r="B76" s="59" t="s">
        <v>58</v>
      </c>
    </row>
    <row r="77" spans="1:2" ht="31.5" x14ac:dyDescent="0.2">
      <c r="A77" s="71">
        <v>29246</v>
      </c>
      <c r="B77" s="59" t="s">
        <v>59</v>
      </c>
    </row>
    <row r="78" spans="1:2" ht="31.5" x14ac:dyDescent="0.2">
      <c r="A78" s="71">
        <v>29256</v>
      </c>
      <c r="B78" s="59" t="s">
        <v>542</v>
      </c>
    </row>
    <row r="79" spans="1:2" x14ac:dyDescent="0.2">
      <c r="A79" s="71">
        <v>29266</v>
      </c>
      <c r="B79" s="59" t="s">
        <v>543</v>
      </c>
    </row>
    <row r="80" spans="1:2" ht="31.5" x14ac:dyDescent="0.2">
      <c r="A80" s="71">
        <v>29276</v>
      </c>
      <c r="B80" s="59" t="s">
        <v>605</v>
      </c>
    </row>
    <row r="81" spans="1:2" ht="31.5" x14ac:dyDescent="0.2">
      <c r="A81" s="71">
        <v>29286</v>
      </c>
      <c r="B81" s="59" t="s">
        <v>544</v>
      </c>
    </row>
    <row r="82" spans="1:2" x14ac:dyDescent="0.2">
      <c r="A82" s="71">
        <v>29296</v>
      </c>
      <c r="B82" s="59" t="s">
        <v>545</v>
      </c>
    </row>
    <row r="83" spans="1:2" ht="31.5" x14ac:dyDescent="0.2">
      <c r="A83" s="71">
        <v>29306</v>
      </c>
      <c r="B83" s="59" t="s">
        <v>831</v>
      </c>
    </row>
    <row r="84" spans="1:2" x14ac:dyDescent="0.2">
      <c r="A84" s="71">
        <v>29316</v>
      </c>
      <c r="B84" s="59" t="s">
        <v>546</v>
      </c>
    </row>
    <row r="85" spans="1:2" ht="31.5" x14ac:dyDescent="0.2">
      <c r="A85" s="71">
        <v>29326</v>
      </c>
      <c r="B85" s="59" t="s">
        <v>713</v>
      </c>
    </row>
    <row r="86" spans="1:2" ht="31.5" x14ac:dyDescent="0.2">
      <c r="A86" s="71">
        <v>29336</v>
      </c>
      <c r="B86" s="59" t="s">
        <v>60</v>
      </c>
    </row>
    <row r="87" spans="1:2" x14ac:dyDescent="0.2">
      <c r="A87" s="71">
        <v>29346</v>
      </c>
      <c r="B87" s="59" t="s">
        <v>547</v>
      </c>
    </row>
    <row r="88" spans="1:2" x14ac:dyDescent="0.2">
      <c r="A88" s="71">
        <v>29356</v>
      </c>
      <c r="B88" s="59"/>
    </row>
    <row r="89" spans="1:2" x14ac:dyDescent="0.2">
      <c r="A89" s="71">
        <v>29366</v>
      </c>
      <c r="B89" s="59" t="s">
        <v>548</v>
      </c>
    </row>
    <row r="90" spans="1:2" ht="31.5" x14ac:dyDescent="0.2">
      <c r="A90" s="71">
        <v>29376</v>
      </c>
      <c r="B90" s="59" t="s">
        <v>549</v>
      </c>
    </row>
    <row r="91" spans="1:2" x14ac:dyDescent="0.2">
      <c r="A91" s="71">
        <v>29386</v>
      </c>
      <c r="B91" s="59" t="s">
        <v>550</v>
      </c>
    </row>
    <row r="92" spans="1:2" ht="31.5" x14ac:dyDescent="0.2">
      <c r="A92" s="71">
        <v>29396</v>
      </c>
      <c r="B92" s="59" t="s">
        <v>551</v>
      </c>
    </row>
    <row r="93" spans="1:2" ht="31.5" x14ac:dyDescent="0.2">
      <c r="A93" s="71">
        <v>29406</v>
      </c>
      <c r="B93" s="59" t="s">
        <v>552</v>
      </c>
    </row>
    <row r="94" spans="1:2" ht="47.25" x14ac:dyDescent="0.2">
      <c r="A94" s="71">
        <v>29416</v>
      </c>
      <c r="B94" s="59" t="s">
        <v>553</v>
      </c>
    </row>
    <row r="95" spans="1:2" x14ac:dyDescent="0.2">
      <c r="A95" s="71">
        <v>29426</v>
      </c>
      <c r="B95" s="59" t="s">
        <v>554</v>
      </c>
    </row>
    <row r="96" spans="1:2" ht="31.5" x14ac:dyDescent="0.2">
      <c r="A96" s="71">
        <v>29436</v>
      </c>
      <c r="B96" s="59" t="s">
        <v>555</v>
      </c>
    </row>
    <row r="97" spans="1:2" ht="31.5" x14ac:dyDescent="0.2">
      <c r="A97" s="71">
        <v>29446</v>
      </c>
      <c r="B97" s="59" t="s">
        <v>556</v>
      </c>
    </row>
    <row r="98" spans="1:2" x14ac:dyDescent="0.2">
      <c r="A98" s="71">
        <v>29456</v>
      </c>
      <c r="B98" s="59" t="s">
        <v>662</v>
      </c>
    </row>
    <row r="99" spans="1:2" ht="31.5" x14ac:dyDescent="0.2">
      <c r="A99" s="71">
        <v>29466</v>
      </c>
      <c r="B99" s="59" t="s">
        <v>557</v>
      </c>
    </row>
    <row r="100" spans="1:2" x14ac:dyDescent="0.2">
      <c r="A100" s="71">
        <v>29476</v>
      </c>
      <c r="B100" s="59" t="s">
        <v>558</v>
      </c>
    </row>
    <row r="101" spans="1:2" x14ac:dyDescent="0.2">
      <c r="A101" s="71">
        <v>29486</v>
      </c>
      <c r="B101" s="59" t="s">
        <v>559</v>
      </c>
    </row>
    <row r="102" spans="1:2" ht="31.5" x14ac:dyDescent="0.2">
      <c r="A102" s="71">
        <v>29496</v>
      </c>
      <c r="B102" s="59" t="s">
        <v>560</v>
      </c>
    </row>
    <row r="103" spans="1:2" ht="31.5" x14ac:dyDescent="0.2">
      <c r="A103" s="71">
        <v>29506</v>
      </c>
      <c r="B103" s="59" t="s">
        <v>561</v>
      </c>
    </row>
    <row r="104" spans="1:2" ht="31.5" x14ac:dyDescent="0.2">
      <c r="A104" s="71">
        <v>29516</v>
      </c>
      <c r="B104" s="59" t="s">
        <v>562</v>
      </c>
    </row>
    <row r="105" spans="1:2" x14ac:dyDescent="0.2">
      <c r="A105" s="71">
        <v>29526</v>
      </c>
      <c r="B105" s="59" t="s">
        <v>563</v>
      </c>
    </row>
    <row r="106" spans="1:2" x14ac:dyDescent="0.2">
      <c r="A106" s="71">
        <v>29536</v>
      </c>
      <c r="B106" s="59" t="s">
        <v>810</v>
      </c>
    </row>
    <row r="107" spans="1:2" x14ac:dyDescent="0.2">
      <c r="A107" s="71">
        <v>29546</v>
      </c>
      <c r="B107" s="59" t="s">
        <v>564</v>
      </c>
    </row>
    <row r="108" spans="1:2" x14ac:dyDescent="0.2">
      <c r="A108" s="71">
        <v>29556</v>
      </c>
      <c r="B108" s="59" t="s">
        <v>684</v>
      </c>
    </row>
    <row r="109" spans="1:2" ht="31.5" x14ac:dyDescent="0.2">
      <c r="A109" s="71">
        <v>29566</v>
      </c>
      <c r="B109" s="59" t="s">
        <v>565</v>
      </c>
    </row>
    <row r="110" spans="1:2" ht="31.5" x14ac:dyDescent="0.2">
      <c r="A110" s="71">
        <v>29576</v>
      </c>
      <c r="B110" s="59" t="s">
        <v>581</v>
      </c>
    </row>
    <row r="111" spans="1:2" ht="31.5" x14ac:dyDescent="0.2">
      <c r="A111" s="71">
        <v>29586</v>
      </c>
      <c r="B111" s="59" t="s">
        <v>582</v>
      </c>
    </row>
    <row r="112" spans="1:2" ht="31.5" x14ac:dyDescent="0.2">
      <c r="A112" s="71">
        <v>29596</v>
      </c>
      <c r="B112" s="59" t="s">
        <v>566</v>
      </c>
    </row>
    <row r="113" spans="1:2" x14ac:dyDescent="0.2">
      <c r="A113" s="71">
        <v>29606</v>
      </c>
      <c r="B113" s="59" t="s">
        <v>567</v>
      </c>
    </row>
    <row r="114" spans="1:2" x14ac:dyDescent="0.2">
      <c r="A114" s="71">
        <v>29616</v>
      </c>
      <c r="B114" s="59" t="s">
        <v>568</v>
      </c>
    </row>
    <row r="115" spans="1:2" ht="31.5" x14ac:dyDescent="0.2">
      <c r="A115" s="71">
        <v>29626</v>
      </c>
      <c r="B115" s="59" t="s">
        <v>569</v>
      </c>
    </row>
    <row r="116" spans="1:2" x14ac:dyDescent="0.2">
      <c r="A116" s="71">
        <v>29636</v>
      </c>
      <c r="B116" s="59" t="s">
        <v>570</v>
      </c>
    </row>
    <row r="117" spans="1:2" ht="31.5" x14ac:dyDescent="0.2">
      <c r="A117" s="71">
        <v>29646</v>
      </c>
      <c r="B117" s="59" t="s">
        <v>571</v>
      </c>
    </row>
    <row r="118" spans="1:2" ht="31.5" x14ac:dyDescent="0.2">
      <c r="A118" s="71">
        <v>29656</v>
      </c>
      <c r="B118" s="59" t="s">
        <v>632</v>
      </c>
    </row>
    <row r="119" spans="1:2" ht="31.5" x14ac:dyDescent="0.2">
      <c r="A119" s="71">
        <v>29666</v>
      </c>
      <c r="B119" s="59" t="s">
        <v>572</v>
      </c>
    </row>
    <row r="120" spans="1:2" ht="31.5" x14ac:dyDescent="0.2">
      <c r="A120" s="71">
        <v>29676</v>
      </c>
      <c r="B120" s="59" t="s">
        <v>729</v>
      </c>
    </row>
    <row r="121" spans="1:2" x14ac:dyDescent="0.2">
      <c r="A121" s="71">
        <v>29686</v>
      </c>
      <c r="B121" s="59" t="s">
        <v>805</v>
      </c>
    </row>
    <row r="122" spans="1:2" ht="31.5" x14ac:dyDescent="0.2">
      <c r="A122" s="71">
        <v>29696</v>
      </c>
      <c r="B122" s="38" t="s">
        <v>573</v>
      </c>
    </row>
    <row r="123" spans="1:2" ht="31.5" x14ac:dyDescent="0.2">
      <c r="A123" s="71">
        <v>29706</v>
      </c>
      <c r="B123" s="59" t="s">
        <v>574</v>
      </c>
    </row>
    <row r="124" spans="1:2" ht="31.5" x14ac:dyDescent="0.2">
      <c r="A124" s="71">
        <v>29716</v>
      </c>
      <c r="B124" s="59" t="s">
        <v>575</v>
      </c>
    </row>
    <row r="125" spans="1:2" ht="31.5" x14ac:dyDescent="0.2">
      <c r="A125" s="71">
        <v>29726</v>
      </c>
      <c r="B125" s="59" t="s">
        <v>576</v>
      </c>
    </row>
    <row r="126" spans="1:2" ht="31.5" x14ac:dyDescent="0.2">
      <c r="A126" s="71">
        <v>29736</v>
      </c>
      <c r="B126" s="59" t="s">
        <v>577</v>
      </c>
    </row>
    <row r="127" spans="1:2" ht="31.5" x14ac:dyDescent="0.2">
      <c r="A127" s="71">
        <v>29746</v>
      </c>
      <c r="B127" s="59" t="s">
        <v>578</v>
      </c>
    </row>
    <row r="128" spans="1:2" ht="31.5" x14ac:dyDescent="0.2">
      <c r="A128" s="153">
        <v>29756</v>
      </c>
      <c r="B128" s="154" t="s">
        <v>602</v>
      </c>
    </row>
    <row r="129" spans="1:2" x14ac:dyDescent="0.2">
      <c r="A129" s="177">
        <v>29766</v>
      </c>
      <c r="B129" s="178" t="s">
        <v>727</v>
      </c>
    </row>
    <row r="130" spans="1:2" x14ac:dyDescent="0.2">
      <c r="A130" s="177">
        <v>29776</v>
      </c>
      <c r="B130" s="178" t="s">
        <v>726</v>
      </c>
    </row>
    <row r="131" spans="1:2" ht="31.5" x14ac:dyDescent="0.2">
      <c r="A131" s="177">
        <v>29806</v>
      </c>
      <c r="B131" s="178" t="s">
        <v>822</v>
      </c>
    </row>
    <row r="132" spans="1:2" ht="31.5" x14ac:dyDescent="0.2">
      <c r="A132" s="177">
        <v>29856</v>
      </c>
      <c r="B132" s="59" t="s">
        <v>848</v>
      </c>
    </row>
    <row r="133" spans="1:2" ht="31.5" x14ac:dyDescent="0.2">
      <c r="A133" s="155">
        <v>50136</v>
      </c>
      <c r="B133" s="156" t="s">
        <v>730</v>
      </c>
    </row>
    <row r="134" spans="1:2" ht="31.5" x14ac:dyDescent="0.2">
      <c r="A134" s="155">
        <v>53116</v>
      </c>
      <c r="B134" s="156" t="s">
        <v>679</v>
      </c>
    </row>
    <row r="135" spans="1:2" ht="47.25" x14ac:dyDescent="0.2">
      <c r="A135" s="155">
        <v>54246</v>
      </c>
      <c r="B135" s="156" t="s">
        <v>851</v>
      </c>
    </row>
    <row r="136" spans="1:2" ht="31.5" x14ac:dyDescent="0.2">
      <c r="A136" s="155">
        <v>55556</v>
      </c>
      <c r="B136" s="156" t="s">
        <v>680</v>
      </c>
    </row>
    <row r="137" spans="1:2" ht="51.75" customHeight="1" x14ac:dyDescent="0.2">
      <c r="A137" s="155">
        <v>67483</v>
      </c>
      <c r="B137" s="221" t="s">
        <v>804</v>
      </c>
    </row>
    <row r="138" spans="1:2" ht="45.95" customHeight="1" x14ac:dyDescent="0.25">
      <c r="A138" s="155">
        <v>67484</v>
      </c>
      <c r="B138" s="199" t="s">
        <v>774</v>
      </c>
    </row>
    <row r="139" spans="1:2" ht="45.95" customHeight="1" x14ac:dyDescent="0.25">
      <c r="A139" s="155" t="s">
        <v>795</v>
      </c>
      <c r="B139" s="199" t="s">
        <v>796</v>
      </c>
    </row>
    <row r="140" spans="1:2" ht="31.5" x14ac:dyDescent="0.2">
      <c r="A140" s="155">
        <v>71230</v>
      </c>
      <c r="B140" s="38" t="s">
        <v>784</v>
      </c>
    </row>
    <row r="141" spans="1:2" x14ac:dyDescent="0.2">
      <c r="A141" s="247">
        <v>71450</v>
      </c>
      <c r="B141" s="248" t="s">
        <v>811</v>
      </c>
    </row>
    <row r="142" spans="1:2" ht="31.5" x14ac:dyDescent="0.2">
      <c r="A142" s="70" t="s">
        <v>530</v>
      </c>
      <c r="B142" s="63" t="s">
        <v>731</v>
      </c>
    </row>
    <row r="143" spans="1:2" x14ac:dyDescent="0.2">
      <c r="A143" s="70" t="s">
        <v>524</v>
      </c>
      <c r="B143" s="158" t="s">
        <v>776</v>
      </c>
    </row>
    <row r="144" spans="1:2" x14ac:dyDescent="0.2">
      <c r="A144" s="70" t="s">
        <v>525</v>
      </c>
      <c r="B144" s="158" t="s">
        <v>732</v>
      </c>
    </row>
    <row r="145" spans="1:2" ht="31.5" x14ac:dyDescent="0.2">
      <c r="A145" s="157" t="s">
        <v>526</v>
      </c>
      <c r="B145" s="63" t="s">
        <v>733</v>
      </c>
    </row>
    <row r="146" spans="1:2" ht="31.5" x14ac:dyDescent="0.2">
      <c r="A146" s="70">
        <v>73936</v>
      </c>
      <c r="B146" s="63" t="s">
        <v>734</v>
      </c>
    </row>
    <row r="147" spans="1:2" ht="31.5" x14ac:dyDescent="0.2">
      <c r="A147" s="157" t="s">
        <v>527</v>
      </c>
      <c r="B147" s="63" t="s">
        <v>735</v>
      </c>
    </row>
    <row r="148" spans="1:2" x14ac:dyDescent="0.2">
      <c r="A148" s="157" t="s">
        <v>528</v>
      </c>
      <c r="B148" s="63" t="s">
        <v>738</v>
      </c>
    </row>
    <row r="149" spans="1:2" ht="31.5" x14ac:dyDescent="0.2">
      <c r="A149" s="157" t="s">
        <v>529</v>
      </c>
      <c r="B149" s="63" t="s">
        <v>736</v>
      </c>
    </row>
    <row r="150" spans="1:2" ht="31.5" x14ac:dyDescent="0.2">
      <c r="A150" s="167" t="s">
        <v>523</v>
      </c>
      <c r="B150" s="168" t="s">
        <v>737</v>
      </c>
    </row>
    <row r="151" spans="1:2" ht="31.5" x14ac:dyDescent="0.2">
      <c r="A151" s="170" t="s">
        <v>725</v>
      </c>
      <c r="B151" s="171" t="s">
        <v>777</v>
      </c>
    </row>
    <row r="152" spans="1:2" ht="31.5" x14ac:dyDescent="0.25">
      <c r="A152" s="170" t="s">
        <v>819</v>
      </c>
      <c r="B152" s="199" t="s">
        <v>820</v>
      </c>
    </row>
    <row r="153" spans="1:2" ht="47.25" customHeight="1" x14ac:dyDescent="0.25">
      <c r="A153" s="170" t="s">
        <v>864</v>
      </c>
      <c r="B153" s="199" t="s">
        <v>865</v>
      </c>
    </row>
    <row r="154" spans="1:2" ht="46.5" customHeight="1" x14ac:dyDescent="0.25">
      <c r="A154" s="155">
        <v>76936</v>
      </c>
      <c r="B154" s="199" t="s">
        <v>866</v>
      </c>
    </row>
    <row r="155" spans="1:2" ht="24" customHeight="1" x14ac:dyDescent="0.25">
      <c r="A155" s="309">
        <v>77266</v>
      </c>
      <c r="B155" s="199" t="s">
        <v>849</v>
      </c>
    </row>
    <row r="156" spans="1:2" ht="24.75" customHeight="1" x14ac:dyDescent="0.2">
      <c r="A156" s="169" t="s">
        <v>783</v>
      </c>
      <c r="B156" s="222" t="s">
        <v>744</v>
      </c>
    </row>
    <row r="157" spans="1:2" ht="47.25" x14ac:dyDescent="0.2">
      <c r="A157" s="68" t="s">
        <v>745</v>
      </c>
      <c r="B157" s="60" t="s">
        <v>746</v>
      </c>
    </row>
    <row r="158" spans="1:2" x14ac:dyDescent="0.2">
      <c r="A158" s="68" t="s">
        <v>747</v>
      </c>
      <c r="B158" s="60" t="s">
        <v>748</v>
      </c>
    </row>
    <row r="159" spans="1:2" ht="16.5" thickBot="1" x14ac:dyDescent="0.25">
      <c r="A159" s="69" t="s">
        <v>749</v>
      </c>
      <c r="B159" s="62" t="s">
        <v>750</v>
      </c>
    </row>
  </sheetData>
  <phoneticPr fontId="61" type="noConversion"/>
  <pageMargins left="0.70866141732283472" right="0.70866141732283472" top="0.74803149606299213" bottom="0.74803149606299213" header="0.51181102362204722" footer="0.51181102362204722"/>
  <pageSetup paperSize="9" scale="64" fitToHeight="0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904" workbookViewId="0">
      <selection activeCell="B1930" sqref="B1930"/>
    </sheetView>
  </sheetViews>
  <sheetFormatPr defaultColWidth="9.140625" defaultRowHeight="12.75" x14ac:dyDescent="0.2"/>
  <cols>
    <col min="1" max="1" width="7.140625" style="15" customWidth="1"/>
    <col min="2" max="2" width="128" style="16" customWidth="1"/>
    <col min="3" max="16384" width="9.140625" style="14"/>
  </cols>
  <sheetData>
    <row r="1" spans="2:2" hidden="1" x14ac:dyDescent="0.2">
      <c r="B1" s="17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8">
        <v>100</v>
      </c>
      <c r="B1820" s="19" t="s">
        <v>495</v>
      </c>
    </row>
    <row r="1821" spans="1:2" x14ac:dyDescent="0.2">
      <c r="A1821" s="18">
        <v>110</v>
      </c>
      <c r="B1821" s="19" t="s">
        <v>398</v>
      </c>
    </row>
    <row r="1822" spans="1:2" x14ac:dyDescent="0.2">
      <c r="A1822" s="18">
        <v>111</v>
      </c>
      <c r="B1822" s="19" t="s">
        <v>399</v>
      </c>
    </row>
    <row r="1823" spans="1:2" x14ac:dyDescent="0.2">
      <c r="A1823" s="18">
        <v>112</v>
      </c>
      <c r="B1823" s="19" t="s">
        <v>400</v>
      </c>
    </row>
    <row r="1824" spans="1:2" x14ac:dyDescent="0.2">
      <c r="A1824" s="18">
        <v>120</v>
      </c>
      <c r="B1824" s="19" t="s">
        <v>401</v>
      </c>
    </row>
    <row r="1825" spans="1:2" x14ac:dyDescent="0.2">
      <c r="A1825" s="18">
        <v>121</v>
      </c>
      <c r="B1825" s="19" t="s">
        <v>399</v>
      </c>
    </row>
    <row r="1826" spans="1:2" x14ac:dyDescent="0.2">
      <c r="A1826" s="18">
        <v>122</v>
      </c>
      <c r="B1826" s="19" t="s">
        <v>400</v>
      </c>
    </row>
    <row r="1827" spans="1:2" x14ac:dyDescent="0.2">
      <c r="A1827" s="18">
        <v>130</v>
      </c>
      <c r="B1827" s="19" t="s">
        <v>402</v>
      </c>
    </row>
    <row r="1828" spans="1:2" x14ac:dyDescent="0.2">
      <c r="A1828" s="18">
        <v>131</v>
      </c>
      <c r="B1828" s="19" t="s">
        <v>403</v>
      </c>
    </row>
    <row r="1829" spans="1:2" x14ac:dyDescent="0.2">
      <c r="A1829" s="18">
        <v>132</v>
      </c>
      <c r="B1829" s="19" t="s">
        <v>404</v>
      </c>
    </row>
    <row r="1830" spans="1:2" x14ac:dyDescent="0.2">
      <c r="A1830" s="18">
        <v>133</v>
      </c>
      <c r="B1830" s="19" t="s">
        <v>405</v>
      </c>
    </row>
    <row r="1831" spans="1:2" x14ac:dyDescent="0.2">
      <c r="A1831" s="18">
        <v>134</v>
      </c>
      <c r="B1831" s="19" t="s">
        <v>406</v>
      </c>
    </row>
    <row r="1832" spans="1:2" x14ac:dyDescent="0.2">
      <c r="A1832" s="18">
        <v>140</v>
      </c>
      <c r="B1832" s="19" t="s">
        <v>407</v>
      </c>
    </row>
    <row r="1833" spans="1:2" x14ac:dyDescent="0.2">
      <c r="A1833" s="18">
        <v>141</v>
      </c>
      <c r="B1833" s="19" t="s">
        <v>399</v>
      </c>
    </row>
    <row r="1834" spans="1:2" ht="25.5" x14ac:dyDescent="0.2">
      <c r="A1834" s="18">
        <v>142</v>
      </c>
      <c r="B1834" s="19" t="s">
        <v>408</v>
      </c>
    </row>
    <row r="1835" spans="1:2" ht="25.5" x14ac:dyDescent="0.2">
      <c r="A1835" s="18">
        <v>200</v>
      </c>
      <c r="B1835" s="19" t="s">
        <v>494</v>
      </c>
    </row>
    <row r="1836" spans="1:2" x14ac:dyDescent="0.2">
      <c r="A1836" s="18">
        <v>210</v>
      </c>
      <c r="B1836" s="19" t="s">
        <v>409</v>
      </c>
    </row>
    <row r="1837" spans="1:2" ht="25.5" x14ac:dyDescent="0.2">
      <c r="A1837" s="18">
        <v>211</v>
      </c>
      <c r="B1837" s="19" t="s">
        <v>410</v>
      </c>
    </row>
    <row r="1838" spans="1:2" ht="25.5" x14ac:dyDescent="0.2">
      <c r="A1838" s="18">
        <v>212</v>
      </c>
      <c r="B1838" s="19" t="s">
        <v>411</v>
      </c>
    </row>
    <row r="1839" spans="1:2" ht="25.5" x14ac:dyDescent="0.2">
      <c r="A1839" s="18">
        <v>213</v>
      </c>
      <c r="B1839" s="19" t="s">
        <v>412</v>
      </c>
    </row>
    <row r="1840" spans="1:2" ht="25.5" x14ac:dyDescent="0.2">
      <c r="A1840" s="18">
        <v>214</v>
      </c>
      <c r="B1840" s="19" t="s">
        <v>413</v>
      </c>
    </row>
    <row r="1841" spans="1:2" ht="25.5" x14ac:dyDescent="0.2">
      <c r="A1841" s="18">
        <v>215</v>
      </c>
      <c r="B1841" s="19" t="s">
        <v>414</v>
      </c>
    </row>
    <row r="1842" spans="1:2" ht="25.5" x14ac:dyDescent="0.2">
      <c r="A1842" s="18">
        <v>216</v>
      </c>
      <c r="B1842" s="19" t="s">
        <v>415</v>
      </c>
    </row>
    <row r="1843" spans="1:2" ht="25.5" x14ac:dyDescent="0.2">
      <c r="A1843" s="18">
        <v>217</v>
      </c>
      <c r="B1843" s="19" t="s">
        <v>416</v>
      </c>
    </row>
    <row r="1844" spans="1:2" ht="25.5" x14ac:dyDescent="0.2">
      <c r="A1844" s="18">
        <v>218</v>
      </c>
      <c r="B1844" s="19" t="s">
        <v>417</v>
      </c>
    </row>
    <row r="1845" spans="1:2" x14ac:dyDescent="0.2">
      <c r="A1845" s="18">
        <v>219</v>
      </c>
      <c r="B1845" s="19" t="s">
        <v>418</v>
      </c>
    </row>
    <row r="1846" spans="1:2" ht="25.5" x14ac:dyDescent="0.2">
      <c r="A1846" s="18">
        <v>220</v>
      </c>
      <c r="B1846" s="19" t="s">
        <v>419</v>
      </c>
    </row>
    <row r="1847" spans="1:2" x14ac:dyDescent="0.2">
      <c r="A1847" s="18">
        <v>221</v>
      </c>
      <c r="B1847" s="19" t="s">
        <v>420</v>
      </c>
    </row>
    <row r="1848" spans="1:2" x14ac:dyDescent="0.2">
      <c r="A1848" s="18">
        <v>222</v>
      </c>
      <c r="B1848" s="19" t="s">
        <v>421</v>
      </c>
    </row>
    <row r="1849" spans="1:2" x14ac:dyDescent="0.2">
      <c r="A1849" s="18">
        <v>223</v>
      </c>
      <c r="B1849" s="19" t="s">
        <v>392</v>
      </c>
    </row>
    <row r="1850" spans="1:2" x14ac:dyDescent="0.2">
      <c r="A1850" s="18">
        <v>224</v>
      </c>
      <c r="B1850" s="19" t="s">
        <v>393</v>
      </c>
    </row>
    <row r="1851" spans="1:2" x14ac:dyDescent="0.2">
      <c r="A1851" s="18">
        <v>225</v>
      </c>
      <c r="B1851" s="19" t="s">
        <v>394</v>
      </c>
    </row>
    <row r="1852" spans="1:2" x14ac:dyDescent="0.2">
      <c r="A1852" s="18">
        <v>226</v>
      </c>
      <c r="B1852" s="19" t="s">
        <v>395</v>
      </c>
    </row>
    <row r="1853" spans="1:2" x14ac:dyDescent="0.2">
      <c r="A1853" s="18">
        <v>230</v>
      </c>
      <c r="B1853" s="19" t="s">
        <v>422</v>
      </c>
    </row>
    <row r="1854" spans="1:2" x14ac:dyDescent="0.2">
      <c r="A1854" s="18">
        <v>240</v>
      </c>
      <c r="B1854" s="19" t="s">
        <v>423</v>
      </c>
    </row>
    <row r="1855" spans="1:2" x14ac:dyDescent="0.2">
      <c r="A1855" s="18">
        <v>241</v>
      </c>
      <c r="B1855" s="19" t="s">
        <v>424</v>
      </c>
    </row>
    <row r="1856" spans="1:2" x14ac:dyDescent="0.2">
      <c r="A1856" s="18">
        <v>242</v>
      </c>
      <c r="B1856" s="19" t="s">
        <v>425</v>
      </c>
    </row>
    <row r="1857" spans="1:2" x14ac:dyDescent="0.2">
      <c r="A1857" s="18">
        <v>243</v>
      </c>
      <c r="B1857" s="19" t="s">
        <v>426</v>
      </c>
    </row>
    <row r="1858" spans="1:2" x14ac:dyDescent="0.2">
      <c r="A1858" s="18">
        <v>244</v>
      </c>
      <c r="B1858" s="19" t="s">
        <v>493</v>
      </c>
    </row>
    <row r="1859" spans="1:2" x14ac:dyDescent="0.2">
      <c r="A1859" s="18">
        <v>300</v>
      </c>
      <c r="B1859" s="19" t="s">
        <v>195</v>
      </c>
    </row>
    <row r="1860" spans="1:2" x14ac:dyDescent="0.2">
      <c r="A1860" s="18">
        <v>310</v>
      </c>
      <c r="B1860" s="19" t="s">
        <v>427</v>
      </c>
    </row>
    <row r="1861" spans="1:2" x14ac:dyDescent="0.2">
      <c r="A1861" s="18">
        <v>311</v>
      </c>
      <c r="B1861" s="19" t="s">
        <v>428</v>
      </c>
    </row>
    <row r="1862" spans="1:2" x14ac:dyDescent="0.2">
      <c r="A1862" s="18">
        <v>312</v>
      </c>
      <c r="B1862" s="19" t="s">
        <v>429</v>
      </c>
    </row>
    <row r="1863" spans="1:2" x14ac:dyDescent="0.2">
      <c r="A1863" s="18">
        <v>313</v>
      </c>
      <c r="B1863" s="19" t="s">
        <v>430</v>
      </c>
    </row>
    <row r="1864" spans="1:2" x14ac:dyDescent="0.2">
      <c r="A1864" s="18">
        <v>314</v>
      </c>
      <c r="B1864" s="19" t="s">
        <v>431</v>
      </c>
    </row>
    <row r="1865" spans="1:2" x14ac:dyDescent="0.2">
      <c r="A1865" s="18">
        <v>320</v>
      </c>
      <c r="B1865" s="19" t="s">
        <v>432</v>
      </c>
    </row>
    <row r="1866" spans="1:2" x14ac:dyDescent="0.2">
      <c r="A1866" s="18">
        <v>321</v>
      </c>
      <c r="B1866" s="19" t="s">
        <v>433</v>
      </c>
    </row>
    <row r="1867" spans="1:2" x14ac:dyDescent="0.2">
      <c r="A1867" s="18">
        <v>322</v>
      </c>
      <c r="B1867" s="19" t="s">
        <v>434</v>
      </c>
    </row>
    <row r="1868" spans="1:2" x14ac:dyDescent="0.2">
      <c r="A1868" s="18">
        <v>323</v>
      </c>
      <c r="B1868" s="19" t="s">
        <v>435</v>
      </c>
    </row>
    <row r="1869" spans="1:2" x14ac:dyDescent="0.2">
      <c r="A1869" s="18">
        <v>330</v>
      </c>
      <c r="B1869" s="19" t="s">
        <v>436</v>
      </c>
    </row>
    <row r="1870" spans="1:2" x14ac:dyDescent="0.2">
      <c r="A1870" s="18">
        <v>340</v>
      </c>
      <c r="B1870" s="19" t="s">
        <v>437</v>
      </c>
    </row>
    <row r="1871" spans="1:2" x14ac:dyDescent="0.2">
      <c r="A1871" s="18">
        <v>350</v>
      </c>
      <c r="B1871" s="19" t="s">
        <v>438</v>
      </c>
    </row>
    <row r="1872" spans="1:2" x14ac:dyDescent="0.2">
      <c r="A1872" s="18">
        <v>360</v>
      </c>
      <c r="B1872" s="19" t="s">
        <v>439</v>
      </c>
    </row>
    <row r="1873" spans="1:2" ht="12.75" customHeight="1" x14ac:dyDescent="0.2">
      <c r="A1873" s="18">
        <v>400</v>
      </c>
      <c r="B1873" s="19" t="s">
        <v>496</v>
      </c>
    </row>
    <row r="1874" spans="1:2" x14ac:dyDescent="0.2">
      <c r="A1874" s="18">
        <v>410</v>
      </c>
      <c r="B1874" s="19" t="s">
        <v>440</v>
      </c>
    </row>
    <row r="1875" spans="1:2" x14ac:dyDescent="0.2">
      <c r="A1875" s="18">
        <v>411</v>
      </c>
      <c r="B1875" s="19" t="s">
        <v>441</v>
      </c>
    </row>
    <row r="1876" spans="1:2" x14ac:dyDescent="0.2">
      <c r="A1876" s="18">
        <v>412</v>
      </c>
      <c r="B1876" s="19" t="s">
        <v>442</v>
      </c>
    </row>
    <row r="1877" spans="1:2" x14ac:dyDescent="0.2">
      <c r="A1877" s="18">
        <v>413</v>
      </c>
      <c r="B1877" s="19" t="s">
        <v>443</v>
      </c>
    </row>
    <row r="1878" spans="1:2" x14ac:dyDescent="0.2">
      <c r="A1878" s="18">
        <v>414</v>
      </c>
      <c r="B1878" s="19" t="s">
        <v>444</v>
      </c>
    </row>
    <row r="1879" spans="1:2" x14ac:dyDescent="0.2">
      <c r="A1879" s="18">
        <v>415</v>
      </c>
      <c r="B1879" s="19" t="s">
        <v>445</v>
      </c>
    </row>
    <row r="1880" spans="1:2" x14ac:dyDescent="0.2">
      <c r="A1880" s="18">
        <v>420</v>
      </c>
      <c r="B1880" s="19" t="s">
        <v>446</v>
      </c>
    </row>
    <row r="1881" spans="1:2" ht="25.5" x14ac:dyDescent="0.2">
      <c r="A1881" s="18">
        <v>421</v>
      </c>
      <c r="B1881" s="19" t="s">
        <v>447</v>
      </c>
    </row>
    <row r="1882" spans="1:2" ht="25.5" x14ac:dyDescent="0.2">
      <c r="A1882" s="18">
        <v>422</v>
      </c>
      <c r="B1882" s="19" t="s">
        <v>448</v>
      </c>
    </row>
    <row r="1883" spans="1:2" x14ac:dyDescent="0.2">
      <c r="A1883" s="18">
        <v>430</v>
      </c>
      <c r="B1883" s="19" t="s">
        <v>449</v>
      </c>
    </row>
    <row r="1884" spans="1:2" x14ac:dyDescent="0.2">
      <c r="A1884" s="18">
        <v>440</v>
      </c>
      <c r="B1884" s="19" t="s">
        <v>450</v>
      </c>
    </row>
    <row r="1885" spans="1:2" x14ac:dyDescent="0.2">
      <c r="A1885" s="18">
        <v>500</v>
      </c>
      <c r="B1885" s="19" t="s">
        <v>205</v>
      </c>
    </row>
    <row r="1886" spans="1:2" x14ac:dyDescent="0.2">
      <c r="A1886" s="18">
        <v>510</v>
      </c>
      <c r="B1886" s="19" t="s">
        <v>397</v>
      </c>
    </row>
    <row r="1887" spans="1:2" x14ac:dyDescent="0.2">
      <c r="A1887" s="18">
        <v>511</v>
      </c>
      <c r="B1887" s="19" t="s">
        <v>451</v>
      </c>
    </row>
    <row r="1888" spans="1:2" x14ac:dyDescent="0.2">
      <c r="A1888" s="18">
        <v>512</v>
      </c>
      <c r="B1888" s="19" t="s">
        <v>452</v>
      </c>
    </row>
    <row r="1889" spans="1:2" ht="25.5" x14ac:dyDescent="0.2">
      <c r="A1889" s="18">
        <v>513</v>
      </c>
      <c r="B1889" s="19" t="s">
        <v>453</v>
      </c>
    </row>
    <row r="1890" spans="1:2" x14ac:dyDescent="0.2">
      <c r="A1890" s="18">
        <v>514</v>
      </c>
      <c r="B1890" s="19" t="s">
        <v>454</v>
      </c>
    </row>
    <row r="1891" spans="1:2" x14ac:dyDescent="0.2">
      <c r="A1891" s="18">
        <v>515</v>
      </c>
      <c r="B1891" s="19" t="s">
        <v>168</v>
      </c>
    </row>
    <row r="1892" spans="1:2" x14ac:dyDescent="0.2">
      <c r="A1892" s="18">
        <v>520</v>
      </c>
      <c r="B1892" s="19" t="s">
        <v>396</v>
      </c>
    </row>
    <row r="1893" spans="1:2" ht="25.5" x14ac:dyDescent="0.2">
      <c r="A1893" s="18">
        <v>521</v>
      </c>
      <c r="B1893" s="19" t="s">
        <v>455</v>
      </c>
    </row>
    <row r="1894" spans="1:2" x14ac:dyDescent="0.2">
      <c r="A1894" s="18">
        <v>522</v>
      </c>
      <c r="B1894" s="19" t="s">
        <v>456</v>
      </c>
    </row>
    <row r="1895" spans="1:2" x14ac:dyDescent="0.2">
      <c r="A1895" s="18">
        <v>530</v>
      </c>
      <c r="B1895" s="19" t="s">
        <v>457</v>
      </c>
    </row>
    <row r="1896" spans="1:2" x14ac:dyDescent="0.2">
      <c r="A1896" s="18">
        <v>540</v>
      </c>
      <c r="B1896" s="19" t="s">
        <v>458</v>
      </c>
    </row>
    <row r="1897" spans="1:2" x14ac:dyDescent="0.2">
      <c r="A1897" s="18">
        <v>560</v>
      </c>
      <c r="B1897" s="19" t="s">
        <v>459</v>
      </c>
    </row>
    <row r="1898" spans="1:2" x14ac:dyDescent="0.2">
      <c r="A1898" s="18">
        <v>570</v>
      </c>
      <c r="B1898" s="19" t="s">
        <v>460</v>
      </c>
    </row>
    <row r="1899" spans="1:2" x14ac:dyDescent="0.2">
      <c r="A1899" s="18">
        <v>580</v>
      </c>
      <c r="B1899" s="19" t="s">
        <v>461</v>
      </c>
    </row>
    <row r="1900" spans="1:2" x14ac:dyDescent="0.2">
      <c r="A1900" s="18">
        <v>600</v>
      </c>
      <c r="B1900" s="19" t="s">
        <v>199</v>
      </c>
    </row>
    <row r="1901" spans="1:2" x14ac:dyDescent="0.2">
      <c r="A1901" s="18">
        <v>610</v>
      </c>
      <c r="B1901" s="19" t="s">
        <v>462</v>
      </c>
    </row>
    <row r="1902" spans="1:2" x14ac:dyDescent="0.2">
      <c r="A1902" s="18">
        <v>611</v>
      </c>
      <c r="B1902" s="19" t="s">
        <v>201</v>
      </c>
    </row>
    <row r="1903" spans="1:2" x14ac:dyDescent="0.2">
      <c r="A1903" s="18">
        <v>612</v>
      </c>
      <c r="B1903" s="19" t="s">
        <v>463</v>
      </c>
    </row>
    <row r="1904" spans="1:2" x14ac:dyDescent="0.2">
      <c r="A1904" s="18">
        <v>620</v>
      </c>
      <c r="B1904" s="19" t="s">
        <v>464</v>
      </c>
    </row>
    <row r="1905" spans="1:2" x14ac:dyDescent="0.2">
      <c r="A1905" s="18">
        <v>621</v>
      </c>
      <c r="B1905" s="19" t="s">
        <v>465</v>
      </c>
    </row>
    <row r="1906" spans="1:2" x14ac:dyDescent="0.2">
      <c r="A1906" s="18">
        <v>622</v>
      </c>
      <c r="B1906" s="19" t="s">
        <v>466</v>
      </c>
    </row>
    <row r="1907" spans="1:2" x14ac:dyDescent="0.2">
      <c r="A1907" s="18">
        <v>630</v>
      </c>
      <c r="B1907" s="19" t="s">
        <v>467</v>
      </c>
    </row>
    <row r="1908" spans="1:2" x14ac:dyDescent="0.2">
      <c r="A1908" s="18">
        <v>700</v>
      </c>
      <c r="B1908" s="19" t="s">
        <v>206</v>
      </c>
    </row>
    <row r="1909" spans="1:2" x14ac:dyDescent="0.2">
      <c r="A1909" s="18">
        <v>710</v>
      </c>
      <c r="B1909" s="19" t="s">
        <v>206</v>
      </c>
    </row>
    <row r="1910" spans="1:2" x14ac:dyDescent="0.2">
      <c r="A1910" s="18">
        <v>800</v>
      </c>
      <c r="B1910" s="19" t="s">
        <v>194</v>
      </c>
    </row>
    <row r="1911" spans="1:2" x14ac:dyDescent="0.2">
      <c r="A1911" s="18">
        <v>810</v>
      </c>
      <c r="B1911" s="19" t="s">
        <v>468</v>
      </c>
    </row>
    <row r="1912" spans="1:2" x14ac:dyDescent="0.2">
      <c r="A1912" s="18">
        <v>820</v>
      </c>
      <c r="B1912" s="19" t="s">
        <v>469</v>
      </c>
    </row>
    <row r="1913" spans="1:2" x14ac:dyDescent="0.2">
      <c r="A1913" s="18">
        <v>821</v>
      </c>
      <c r="B1913" s="19" t="s">
        <v>470</v>
      </c>
    </row>
    <row r="1914" spans="1:2" x14ac:dyDescent="0.2">
      <c r="A1914" s="18">
        <v>822</v>
      </c>
      <c r="B1914" s="19" t="s">
        <v>471</v>
      </c>
    </row>
    <row r="1915" spans="1:2" x14ac:dyDescent="0.2">
      <c r="A1915" s="18">
        <v>823</v>
      </c>
      <c r="B1915" s="19" t="s">
        <v>472</v>
      </c>
    </row>
    <row r="1916" spans="1:2" x14ac:dyDescent="0.2">
      <c r="A1916" s="18">
        <v>830</v>
      </c>
      <c r="B1916" s="19" t="s">
        <v>473</v>
      </c>
    </row>
    <row r="1917" spans="1:2" ht="38.25" x14ac:dyDescent="0.2">
      <c r="A1917" s="18">
        <v>831</v>
      </c>
      <c r="B1917" s="20" t="s">
        <v>474</v>
      </c>
    </row>
    <row r="1918" spans="1:2" ht="51" x14ac:dyDescent="0.2">
      <c r="A1918" s="18">
        <v>832</v>
      </c>
      <c r="B1918" s="20" t="s">
        <v>475</v>
      </c>
    </row>
    <row r="1919" spans="1:2" x14ac:dyDescent="0.2">
      <c r="A1919" s="18">
        <v>833</v>
      </c>
      <c r="B1919" s="19" t="s">
        <v>476</v>
      </c>
    </row>
    <row r="1920" spans="1:2" ht="25.5" x14ac:dyDescent="0.2">
      <c r="A1920" s="18">
        <v>840</v>
      </c>
      <c r="B1920" s="19" t="s">
        <v>477</v>
      </c>
    </row>
    <row r="1921" spans="1:2" x14ac:dyDescent="0.2">
      <c r="A1921" s="18">
        <v>841</v>
      </c>
      <c r="B1921" s="19" t="s">
        <v>478</v>
      </c>
    </row>
    <row r="1922" spans="1:2" x14ac:dyDescent="0.2">
      <c r="A1922" s="18">
        <v>850</v>
      </c>
      <c r="B1922" s="19" t="s">
        <v>479</v>
      </c>
    </row>
    <row r="1923" spans="1:2" x14ac:dyDescent="0.2">
      <c r="A1923" s="18">
        <v>851</v>
      </c>
      <c r="B1923" s="19" t="s">
        <v>480</v>
      </c>
    </row>
    <row r="1924" spans="1:2" ht="12.75" customHeight="1" x14ac:dyDescent="0.2">
      <c r="A1924" s="18">
        <v>852</v>
      </c>
      <c r="B1924" s="19" t="s">
        <v>481</v>
      </c>
    </row>
    <row r="1925" spans="1:2" x14ac:dyDescent="0.2">
      <c r="A1925" s="18">
        <v>860</v>
      </c>
      <c r="B1925" s="19" t="s">
        <v>482</v>
      </c>
    </row>
    <row r="1926" spans="1:2" x14ac:dyDescent="0.2">
      <c r="A1926" s="18">
        <v>861</v>
      </c>
      <c r="B1926" s="19" t="s">
        <v>483</v>
      </c>
    </row>
    <row r="1927" spans="1:2" x14ac:dyDescent="0.2">
      <c r="A1927" s="18">
        <v>862</v>
      </c>
      <c r="B1927" s="19" t="s">
        <v>484</v>
      </c>
    </row>
    <row r="1928" spans="1:2" x14ac:dyDescent="0.2">
      <c r="A1928" s="18">
        <v>863</v>
      </c>
      <c r="B1928" s="19" t="s">
        <v>485</v>
      </c>
    </row>
    <row r="1929" spans="1:2" x14ac:dyDescent="0.2">
      <c r="A1929" s="18">
        <v>870</v>
      </c>
      <c r="B1929" s="19" t="s">
        <v>486</v>
      </c>
    </row>
    <row r="1930" spans="1:2" x14ac:dyDescent="0.2">
      <c r="A1930" s="18">
        <v>880</v>
      </c>
      <c r="B1930" s="19" t="s">
        <v>487</v>
      </c>
    </row>
  </sheetData>
  <printOptions gridLinesSet="0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showGridLines="0" view="pageBreakPreview" zoomScale="90" zoomScaleSheetLayoutView="90" workbookViewId="0">
      <selection activeCell="A6" sqref="A6:K6"/>
    </sheetView>
  </sheetViews>
  <sheetFormatPr defaultColWidth="9.140625" defaultRowHeight="15" x14ac:dyDescent="0.2"/>
  <cols>
    <col min="1" max="1" width="5.140625" style="77" bestFit="1" customWidth="1"/>
    <col min="2" max="2" width="3" style="77" bestFit="1" customWidth="1"/>
    <col min="3" max="4" width="3.42578125" style="77" customWidth="1"/>
    <col min="5" max="5" width="6.85546875" style="77" customWidth="1"/>
    <col min="6" max="6" width="3" style="77" customWidth="1"/>
    <col min="7" max="7" width="5.85546875" style="99" customWidth="1"/>
    <col min="8" max="8" width="4.85546875" style="77" bestFit="1" customWidth="1"/>
    <col min="9" max="9" width="46.85546875" style="80" customWidth="1"/>
    <col min="10" max="10" width="19.7109375" style="80" hidden="1" customWidth="1"/>
    <col min="11" max="11" width="20.42578125" style="80" customWidth="1"/>
    <col min="12" max="12" width="9.140625" style="80"/>
    <col min="13" max="13" width="15" style="80" bestFit="1" customWidth="1"/>
    <col min="14" max="16384" width="9.140625" style="80"/>
  </cols>
  <sheetData>
    <row r="1" spans="1:11" ht="15.75" x14ac:dyDescent="0.25">
      <c r="G1" s="436" t="s">
        <v>62</v>
      </c>
      <c r="H1" s="436"/>
      <c r="I1" s="436"/>
      <c r="J1" s="436"/>
      <c r="K1" s="437"/>
    </row>
    <row r="2" spans="1:11" ht="15.75" x14ac:dyDescent="0.25">
      <c r="G2" s="438" t="s">
        <v>894</v>
      </c>
      <c r="H2" s="438"/>
      <c r="I2" s="438"/>
      <c r="J2" s="439"/>
      <c r="K2" s="439"/>
    </row>
    <row r="3" spans="1:11" ht="15.75" x14ac:dyDescent="0.25">
      <c r="G3" s="438" t="s">
        <v>895</v>
      </c>
      <c r="H3" s="438"/>
      <c r="I3" s="438"/>
      <c r="J3" s="439"/>
      <c r="K3" s="439"/>
    </row>
    <row r="4" spans="1:11" ht="15.75" x14ac:dyDescent="0.25">
      <c r="G4" s="438" t="s">
        <v>925</v>
      </c>
      <c r="H4" s="438"/>
      <c r="I4" s="438"/>
      <c r="J4" s="438"/>
      <c r="K4" s="438"/>
    </row>
    <row r="5" spans="1:11" ht="15.75" x14ac:dyDescent="0.2">
      <c r="G5" s="78"/>
      <c r="H5" s="79"/>
    </row>
    <row r="6" spans="1:11" ht="41.25" customHeight="1" x14ac:dyDescent="0.2">
      <c r="A6" s="445" t="s">
        <v>915</v>
      </c>
      <c r="B6" s="445"/>
      <c r="C6" s="445"/>
      <c r="D6" s="445"/>
      <c r="E6" s="445"/>
      <c r="F6" s="445"/>
      <c r="G6" s="445"/>
      <c r="H6" s="445"/>
      <c r="I6" s="445"/>
      <c r="J6" s="445"/>
      <c r="K6" s="445"/>
    </row>
    <row r="7" spans="1:11" ht="18.75" x14ac:dyDescent="0.2">
      <c r="G7" s="81"/>
      <c r="H7" s="82"/>
      <c r="I7" s="82"/>
    </row>
    <row r="8" spans="1:11" ht="15.75" customHeight="1" x14ac:dyDescent="0.2">
      <c r="A8" s="444" t="s">
        <v>1</v>
      </c>
      <c r="B8" s="444"/>
      <c r="C8" s="444"/>
      <c r="D8" s="444"/>
      <c r="E8" s="444"/>
      <c r="F8" s="444"/>
      <c r="G8" s="444"/>
      <c r="H8" s="444"/>
      <c r="I8" s="444" t="s">
        <v>2</v>
      </c>
      <c r="J8" s="444" t="s">
        <v>66</v>
      </c>
      <c r="K8" s="444" t="s">
        <v>884</v>
      </c>
    </row>
    <row r="9" spans="1:11" ht="131.25" customHeight="1" x14ac:dyDescent="0.2">
      <c r="A9" s="353" t="s">
        <v>3</v>
      </c>
      <c r="B9" s="353" t="s">
        <v>4</v>
      </c>
      <c r="C9" s="353" t="s">
        <v>5</v>
      </c>
      <c r="D9" s="353" t="s">
        <v>6</v>
      </c>
      <c r="E9" s="354" t="s">
        <v>7</v>
      </c>
      <c r="F9" s="353" t="s">
        <v>8</v>
      </c>
      <c r="G9" s="355" t="s">
        <v>9</v>
      </c>
      <c r="H9" s="354" t="s">
        <v>10</v>
      </c>
      <c r="I9" s="444"/>
      <c r="J9" s="444"/>
      <c r="K9" s="444"/>
    </row>
    <row r="10" spans="1:11" ht="15.75" x14ac:dyDescent="0.2">
      <c r="A10" s="83" t="s">
        <v>11</v>
      </c>
      <c r="B10" s="83" t="s">
        <v>12</v>
      </c>
      <c r="C10" s="83" t="s">
        <v>13</v>
      </c>
      <c r="D10" s="83" t="s">
        <v>13</v>
      </c>
      <c r="E10" s="83" t="s">
        <v>11</v>
      </c>
      <c r="F10" s="83" t="s">
        <v>13</v>
      </c>
      <c r="G10" s="83" t="s">
        <v>14</v>
      </c>
      <c r="H10" s="83" t="s">
        <v>11</v>
      </c>
      <c r="I10" s="84" t="s">
        <v>607</v>
      </c>
      <c r="J10" s="85">
        <f>J11+J13+J15+J17+J20+J22+J30+J32+J38+J44</f>
        <v>112474850</v>
      </c>
      <c r="K10" s="85">
        <f>K11+K13+K15+K17+K20+K22+K30+K32+K38+K44</f>
        <v>74901110.969999999</v>
      </c>
    </row>
    <row r="11" spans="1:11" ht="15.75" x14ac:dyDescent="0.2">
      <c r="A11" s="83" t="s">
        <v>11</v>
      </c>
      <c r="B11" s="83" t="s">
        <v>12</v>
      </c>
      <c r="C11" s="83" t="s">
        <v>15</v>
      </c>
      <c r="D11" s="83" t="s">
        <v>13</v>
      </c>
      <c r="E11" s="83" t="s">
        <v>11</v>
      </c>
      <c r="F11" s="83" t="s">
        <v>13</v>
      </c>
      <c r="G11" s="83" t="s">
        <v>14</v>
      </c>
      <c r="H11" s="83" t="s">
        <v>11</v>
      </c>
      <c r="I11" s="84" t="s">
        <v>16</v>
      </c>
      <c r="J11" s="86">
        <f>J12</f>
        <v>47719000</v>
      </c>
      <c r="K11" s="86">
        <f>K12</f>
        <v>37339176.810000002</v>
      </c>
    </row>
    <row r="12" spans="1:11" s="356" customFormat="1" ht="15.75" x14ac:dyDescent="0.2">
      <c r="A12" s="93" t="s">
        <v>17</v>
      </c>
      <c r="B12" s="93" t="s">
        <v>12</v>
      </c>
      <c r="C12" s="93" t="s">
        <v>15</v>
      </c>
      <c r="D12" s="93" t="s">
        <v>18</v>
      </c>
      <c r="E12" s="93" t="s">
        <v>11</v>
      </c>
      <c r="F12" s="93" t="s">
        <v>15</v>
      </c>
      <c r="G12" s="93" t="s">
        <v>14</v>
      </c>
      <c r="H12" s="93" t="s">
        <v>19</v>
      </c>
      <c r="I12" s="95" t="s">
        <v>20</v>
      </c>
      <c r="J12" s="98">
        <v>47719000</v>
      </c>
      <c r="K12" s="98">
        <v>37339176.810000002</v>
      </c>
    </row>
    <row r="13" spans="1:11" ht="47.25" x14ac:dyDescent="0.2">
      <c r="A13" s="83" t="s">
        <v>23</v>
      </c>
      <c r="B13" s="83" t="s">
        <v>12</v>
      </c>
      <c r="C13" s="83" t="s">
        <v>21</v>
      </c>
      <c r="D13" s="83" t="s">
        <v>13</v>
      </c>
      <c r="E13" s="83" t="s">
        <v>11</v>
      </c>
      <c r="F13" s="83" t="s">
        <v>13</v>
      </c>
      <c r="G13" s="83" t="s">
        <v>14</v>
      </c>
      <c r="H13" s="83" t="s">
        <v>11</v>
      </c>
      <c r="I13" s="84" t="s">
        <v>22</v>
      </c>
      <c r="J13" s="86">
        <f>J14</f>
        <v>2760850</v>
      </c>
      <c r="K13" s="86">
        <f t="shared" ref="K13" si="0">K14</f>
        <v>2047266.46</v>
      </c>
    </row>
    <row r="14" spans="1:11" s="356" customFormat="1" ht="47.25" x14ac:dyDescent="0.2">
      <c r="A14" s="93" t="s">
        <v>23</v>
      </c>
      <c r="B14" s="93" t="s">
        <v>12</v>
      </c>
      <c r="C14" s="93" t="s">
        <v>21</v>
      </c>
      <c r="D14" s="93" t="s">
        <v>18</v>
      </c>
      <c r="E14" s="93" t="s">
        <v>11</v>
      </c>
      <c r="F14" s="93" t="s">
        <v>15</v>
      </c>
      <c r="G14" s="93" t="s">
        <v>14</v>
      </c>
      <c r="H14" s="93" t="s">
        <v>19</v>
      </c>
      <c r="I14" s="95" t="s">
        <v>24</v>
      </c>
      <c r="J14" s="98">
        <v>2760850</v>
      </c>
      <c r="K14" s="98">
        <v>2047266.46</v>
      </c>
    </row>
    <row r="15" spans="1:11" ht="15.75" x14ac:dyDescent="0.2">
      <c r="A15" s="83" t="s">
        <v>11</v>
      </c>
      <c r="B15" s="83" t="s">
        <v>12</v>
      </c>
      <c r="C15" s="83" t="s">
        <v>25</v>
      </c>
      <c r="D15" s="83" t="s">
        <v>13</v>
      </c>
      <c r="E15" s="83" t="s">
        <v>11</v>
      </c>
      <c r="F15" s="83" t="s">
        <v>13</v>
      </c>
      <c r="G15" s="90" t="s">
        <v>14</v>
      </c>
      <c r="H15" s="90" t="s">
        <v>11</v>
      </c>
      <c r="I15" s="84" t="s">
        <v>26</v>
      </c>
      <c r="J15" s="91">
        <f>J16</f>
        <v>74000</v>
      </c>
      <c r="K15" s="91">
        <f>K16</f>
        <v>54768.01</v>
      </c>
    </row>
    <row r="16" spans="1:11" s="356" customFormat="1" ht="15.75" x14ac:dyDescent="0.2">
      <c r="A16" s="93" t="s">
        <v>17</v>
      </c>
      <c r="B16" s="93" t="s">
        <v>12</v>
      </c>
      <c r="C16" s="93" t="s">
        <v>25</v>
      </c>
      <c r="D16" s="93" t="s">
        <v>21</v>
      </c>
      <c r="E16" s="93" t="s">
        <v>11</v>
      </c>
      <c r="F16" s="93" t="s">
        <v>15</v>
      </c>
      <c r="G16" s="94" t="s">
        <v>14</v>
      </c>
      <c r="H16" s="94" t="s">
        <v>19</v>
      </c>
      <c r="I16" s="95" t="s">
        <v>27</v>
      </c>
      <c r="J16" s="98">
        <v>74000</v>
      </c>
      <c r="K16" s="98">
        <v>54768.01</v>
      </c>
    </row>
    <row r="17" spans="1:11" ht="15.75" x14ac:dyDescent="0.2">
      <c r="A17" s="83" t="s">
        <v>11</v>
      </c>
      <c r="B17" s="83" t="s">
        <v>12</v>
      </c>
      <c r="C17" s="83" t="s">
        <v>40</v>
      </c>
      <c r="D17" s="83" t="s">
        <v>13</v>
      </c>
      <c r="E17" s="83" t="s">
        <v>11</v>
      </c>
      <c r="F17" s="83" t="s">
        <v>13</v>
      </c>
      <c r="G17" s="90" t="s">
        <v>14</v>
      </c>
      <c r="H17" s="90" t="s">
        <v>11</v>
      </c>
      <c r="I17" s="84" t="s">
        <v>608</v>
      </c>
      <c r="J17" s="91">
        <f>J18+J19</f>
        <v>44005000</v>
      </c>
      <c r="K17" s="91">
        <f t="shared" ref="K17" si="1">K18+K19</f>
        <v>21285816.210000001</v>
      </c>
    </row>
    <row r="18" spans="1:11" s="356" customFormat="1" ht="15.75" x14ac:dyDescent="0.2">
      <c r="A18" s="93" t="s">
        <v>17</v>
      </c>
      <c r="B18" s="93" t="s">
        <v>12</v>
      </c>
      <c r="C18" s="93" t="s">
        <v>40</v>
      </c>
      <c r="D18" s="93" t="s">
        <v>15</v>
      </c>
      <c r="E18" s="93" t="s">
        <v>11</v>
      </c>
      <c r="F18" s="93" t="s">
        <v>13</v>
      </c>
      <c r="G18" s="94" t="s">
        <v>14</v>
      </c>
      <c r="H18" s="94" t="s">
        <v>19</v>
      </c>
      <c r="I18" s="95" t="s">
        <v>609</v>
      </c>
      <c r="J18" s="98">
        <v>20573000</v>
      </c>
      <c r="K18" s="98">
        <v>3052651.5</v>
      </c>
    </row>
    <row r="19" spans="1:11" s="356" customFormat="1" ht="15.75" x14ac:dyDescent="0.2">
      <c r="A19" s="93" t="s">
        <v>17</v>
      </c>
      <c r="B19" s="93" t="s">
        <v>12</v>
      </c>
      <c r="C19" s="93" t="s">
        <v>40</v>
      </c>
      <c r="D19" s="93" t="s">
        <v>40</v>
      </c>
      <c r="E19" s="93" t="s">
        <v>11</v>
      </c>
      <c r="F19" s="93" t="s">
        <v>13</v>
      </c>
      <c r="G19" s="94" t="s">
        <v>14</v>
      </c>
      <c r="H19" s="94" t="s">
        <v>19</v>
      </c>
      <c r="I19" s="95" t="s">
        <v>610</v>
      </c>
      <c r="J19" s="98">
        <v>23432000</v>
      </c>
      <c r="K19" s="98">
        <v>18233164.710000001</v>
      </c>
    </row>
    <row r="20" spans="1:11" ht="50.25" customHeight="1" x14ac:dyDescent="0.2">
      <c r="A20" s="83" t="s">
        <v>11</v>
      </c>
      <c r="B20" s="83" t="s">
        <v>12</v>
      </c>
      <c r="C20" s="83" t="s">
        <v>28</v>
      </c>
      <c r="D20" s="83" t="s">
        <v>13</v>
      </c>
      <c r="E20" s="83" t="s">
        <v>11</v>
      </c>
      <c r="F20" s="83" t="s">
        <v>13</v>
      </c>
      <c r="G20" s="90" t="s">
        <v>14</v>
      </c>
      <c r="H20" s="90" t="s">
        <v>11</v>
      </c>
      <c r="I20" s="84" t="s">
        <v>885</v>
      </c>
      <c r="J20" s="91">
        <f>J21</f>
        <v>0</v>
      </c>
      <c r="K20" s="91">
        <f>K21</f>
        <v>-134.47999999999999</v>
      </c>
    </row>
    <row r="21" spans="1:11" s="356" customFormat="1" ht="15.75" x14ac:dyDescent="0.2">
      <c r="A21" s="93" t="s">
        <v>17</v>
      </c>
      <c r="B21" s="93" t="s">
        <v>12</v>
      </c>
      <c r="C21" s="93" t="s">
        <v>28</v>
      </c>
      <c r="D21" s="93" t="s">
        <v>886</v>
      </c>
      <c r="E21" s="93" t="s">
        <v>11</v>
      </c>
      <c r="F21" s="93" t="s">
        <v>13</v>
      </c>
      <c r="G21" s="94" t="s">
        <v>14</v>
      </c>
      <c r="H21" s="94" t="s">
        <v>19</v>
      </c>
      <c r="I21" s="95" t="s">
        <v>608</v>
      </c>
      <c r="J21" s="98">
        <v>0</v>
      </c>
      <c r="K21" s="98">
        <v>-134.47999999999999</v>
      </c>
    </row>
    <row r="22" spans="1:11" ht="47.25" x14ac:dyDescent="0.2">
      <c r="A22" s="83" t="s">
        <v>11</v>
      </c>
      <c r="B22" s="83" t="s">
        <v>12</v>
      </c>
      <c r="C22" s="83" t="s">
        <v>29</v>
      </c>
      <c r="D22" s="83" t="s">
        <v>13</v>
      </c>
      <c r="E22" s="83" t="s">
        <v>11</v>
      </c>
      <c r="F22" s="83" t="s">
        <v>13</v>
      </c>
      <c r="G22" s="90" t="s">
        <v>14</v>
      </c>
      <c r="H22" s="90" t="s">
        <v>11</v>
      </c>
      <c r="I22" s="84" t="s">
        <v>30</v>
      </c>
      <c r="J22" s="91">
        <f>J23+J27</f>
        <v>12860000</v>
      </c>
      <c r="K22" s="91">
        <f>K23+K27</f>
        <v>9816418.1900000013</v>
      </c>
    </row>
    <row r="23" spans="1:11" s="357" customFormat="1" ht="141.75" x14ac:dyDescent="0.2">
      <c r="A23" s="93" t="s">
        <v>11</v>
      </c>
      <c r="B23" s="93" t="s">
        <v>12</v>
      </c>
      <c r="C23" s="93" t="s">
        <v>29</v>
      </c>
      <c r="D23" s="93" t="s">
        <v>25</v>
      </c>
      <c r="E23" s="93" t="s">
        <v>11</v>
      </c>
      <c r="F23" s="93" t="s">
        <v>13</v>
      </c>
      <c r="G23" s="94" t="s">
        <v>14</v>
      </c>
      <c r="H23" s="94" t="s">
        <v>31</v>
      </c>
      <c r="I23" s="95" t="s">
        <v>33</v>
      </c>
      <c r="J23" s="96">
        <f>J24+J25+J26</f>
        <v>3640000</v>
      </c>
      <c r="K23" s="96">
        <f>K24+K25+K26</f>
        <v>3488045.13</v>
      </c>
    </row>
    <row r="24" spans="1:11" s="357" customFormat="1" ht="94.5" x14ac:dyDescent="0.2">
      <c r="A24" s="87" t="s">
        <v>11</v>
      </c>
      <c r="B24" s="87" t="s">
        <v>12</v>
      </c>
      <c r="C24" s="87" t="s">
        <v>29</v>
      </c>
      <c r="D24" s="87" t="s">
        <v>25</v>
      </c>
      <c r="E24" s="87" t="s">
        <v>34</v>
      </c>
      <c r="F24" s="87" t="s">
        <v>13</v>
      </c>
      <c r="G24" s="92" t="s">
        <v>14</v>
      </c>
      <c r="H24" s="92" t="s">
        <v>31</v>
      </c>
      <c r="I24" s="88" t="s">
        <v>35</v>
      </c>
      <c r="J24" s="97">
        <v>3250000</v>
      </c>
      <c r="K24" s="97">
        <v>2924803.82</v>
      </c>
    </row>
    <row r="25" spans="1:11" s="357" customFormat="1" ht="126" x14ac:dyDescent="0.2">
      <c r="A25" s="87" t="s">
        <v>11</v>
      </c>
      <c r="B25" s="87" t="s">
        <v>12</v>
      </c>
      <c r="C25" s="87" t="s">
        <v>29</v>
      </c>
      <c r="D25" s="87" t="s">
        <v>25</v>
      </c>
      <c r="E25" s="87" t="s">
        <v>611</v>
      </c>
      <c r="F25" s="87" t="s">
        <v>13</v>
      </c>
      <c r="G25" s="92" t="s">
        <v>14</v>
      </c>
      <c r="H25" s="92" t="s">
        <v>31</v>
      </c>
      <c r="I25" s="88" t="s">
        <v>612</v>
      </c>
      <c r="J25" s="97">
        <v>270000</v>
      </c>
      <c r="K25" s="97">
        <v>485246.33</v>
      </c>
    </row>
    <row r="26" spans="1:11" s="357" customFormat="1" ht="63" x14ac:dyDescent="0.2">
      <c r="A26" s="87" t="s">
        <v>11</v>
      </c>
      <c r="B26" s="87" t="s">
        <v>12</v>
      </c>
      <c r="C26" s="87" t="s">
        <v>29</v>
      </c>
      <c r="D26" s="87" t="s">
        <v>25</v>
      </c>
      <c r="E26" s="87" t="s">
        <v>752</v>
      </c>
      <c r="F26" s="87" t="s">
        <v>13</v>
      </c>
      <c r="G26" s="92" t="s">
        <v>14</v>
      </c>
      <c r="H26" s="92" t="s">
        <v>31</v>
      </c>
      <c r="I26" s="88" t="s">
        <v>751</v>
      </c>
      <c r="J26" s="97">
        <v>120000</v>
      </c>
      <c r="K26" s="97">
        <v>77994.98</v>
      </c>
    </row>
    <row r="27" spans="1:11" s="357" customFormat="1" ht="126" x14ac:dyDescent="0.2">
      <c r="A27" s="93" t="s">
        <v>11</v>
      </c>
      <c r="B27" s="93" t="s">
        <v>12</v>
      </c>
      <c r="C27" s="93" t="s">
        <v>29</v>
      </c>
      <c r="D27" s="93" t="s">
        <v>28</v>
      </c>
      <c r="E27" s="93" t="s">
        <v>11</v>
      </c>
      <c r="F27" s="93" t="s">
        <v>13</v>
      </c>
      <c r="G27" s="94" t="s">
        <v>14</v>
      </c>
      <c r="H27" s="94" t="s">
        <v>31</v>
      </c>
      <c r="I27" s="95" t="s">
        <v>614</v>
      </c>
      <c r="J27" s="96">
        <f>J28+J29</f>
        <v>9220000</v>
      </c>
      <c r="K27" s="96">
        <f>K28+K29</f>
        <v>6328373.0600000005</v>
      </c>
    </row>
    <row r="28" spans="1:11" s="357" customFormat="1" ht="126" x14ac:dyDescent="0.2">
      <c r="A28" s="87" t="s">
        <v>11</v>
      </c>
      <c r="B28" s="87" t="s">
        <v>12</v>
      </c>
      <c r="C28" s="87" t="s">
        <v>29</v>
      </c>
      <c r="D28" s="87" t="s">
        <v>28</v>
      </c>
      <c r="E28" s="87" t="s">
        <v>613</v>
      </c>
      <c r="F28" s="87" t="s">
        <v>13</v>
      </c>
      <c r="G28" s="92" t="s">
        <v>14</v>
      </c>
      <c r="H28" s="92" t="s">
        <v>31</v>
      </c>
      <c r="I28" s="88" t="s">
        <v>615</v>
      </c>
      <c r="J28" s="97">
        <v>8520000</v>
      </c>
      <c r="K28" s="97">
        <v>5403845.54</v>
      </c>
    </row>
    <row r="29" spans="1:11" s="357" customFormat="1" ht="157.5" x14ac:dyDescent="0.2">
      <c r="A29" s="87" t="s">
        <v>11</v>
      </c>
      <c r="B29" s="87" t="s">
        <v>12</v>
      </c>
      <c r="C29" s="87" t="s">
        <v>29</v>
      </c>
      <c r="D29" s="87" t="s">
        <v>28</v>
      </c>
      <c r="E29" s="87" t="s">
        <v>876</v>
      </c>
      <c r="F29" s="87" t="s">
        <v>13</v>
      </c>
      <c r="G29" s="92" t="s">
        <v>14</v>
      </c>
      <c r="H29" s="92" t="s">
        <v>31</v>
      </c>
      <c r="I29" s="88" t="s">
        <v>878</v>
      </c>
      <c r="J29" s="97">
        <v>700000</v>
      </c>
      <c r="K29" s="97">
        <v>924527.52</v>
      </c>
    </row>
    <row r="30" spans="1:11" ht="31.5" x14ac:dyDescent="0.2">
      <c r="A30" s="83" t="s">
        <v>11</v>
      </c>
      <c r="B30" s="83" t="s">
        <v>12</v>
      </c>
      <c r="C30" s="83" t="s">
        <v>36</v>
      </c>
      <c r="D30" s="83" t="s">
        <v>13</v>
      </c>
      <c r="E30" s="83" t="s">
        <v>11</v>
      </c>
      <c r="F30" s="83" t="s">
        <v>13</v>
      </c>
      <c r="G30" s="90" t="s">
        <v>14</v>
      </c>
      <c r="H30" s="90" t="s">
        <v>11</v>
      </c>
      <c r="I30" s="84" t="s">
        <v>794</v>
      </c>
      <c r="J30" s="91">
        <f>J31</f>
        <v>0</v>
      </c>
      <c r="K30" s="91">
        <f>K31</f>
        <v>17579.099999999999</v>
      </c>
    </row>
    <row r="31" spans="1:11" s="356" customFormat="1" ht="31.5" x14ac:dyDescent="0.2">
      <c r="A31" s="93" t="s">
        <v>11</v>
      </c>
      <c r="B31" s="93" t="s">
        <v>12</v>
      </c>
      <c r="C31" s="93" t="s">
        <v>36</v>
      </c>
      <c r="D31" s="93" t="s">
        <v>18</v>
      </c>
      <c r="E31" s="93" t="s">
        <v>11</v>
      </c>
      <c r="F31" s="93" t="s">
        <v>13</v>
      </c>
      <c r="G31" s="94" t="s">
        <v>14</v>
      </c>
      <c r="H31" s="94" t="s">
        <v>37</v>
      </c>
      <c r="I31" s="95" t="s">
        <v>616</v>
      </c>
      <c r="J31" s="98">
        <v>0</v>
      </c>
      <c r="K31" s="98">
        <v>17579.099999999999</v>
      </c>
    </row>
    <row r="32" spans="1:11" ht="31.5" x14ac:dyDescent="0.2">
      <c r="A32" s="83" t="s">
        <v>11</v>
      </c>
      <c r="B32" s="83" t="s">
        <v>12</v>
      </c>
      <c r="C32" s="83" t="s">
        <v>38</v>
      </c>
      <c r="D32" s="83" t="s">
        <v>13</v>
      </c>
      <c r="E32" s="83" t="s">
        <v>11</v>
      </c>
      <c r="F32" s="83" t="s">
        <v>13</v>
      </c>
      <c r="G32" s="90" t="s">
        <v>14</v>
      </c>
      <c r="H32" s="90" t="s">
        <v>11</v>
      </c>
      <c r="I32" s="84" t="s">
        <v>39</v>
      </c>
      <c r="J32" s="91">
        <f>J33+J35</f>
        <v>4025000</v>
      </c>
      <c r="K32" s="91">
        <f t="shared" ref="K32" si="2">K33+K35</f>
        <v>2928414.8600000003</v>
      </c>
    </row>
    <row r="33" spans="1:13" ht="126" x14ac:dyDescent="0.2">
      <c r="A33" s="93" t="s">
        <v>11</v>
      </c>
      <c r="B33" s="93" t="s">
        <v>12</v>
      </c>
      <c r="C33" s="93" t="s">
        <v>38</v>
      </c>
      <c r="D33" s="93" t="s">
        <v>18</v>
      </c>
      <c r="E33" s="93" t="s">
        <v>11</v>
      </c>
      <c r="F33" s="93" t="s">
        <v>13</v>
      </c>
      <c r="G33" s="94" t="s">
        <v>14</v>
      </c>
      <c r="H33" s="94" t="s">
        <v>11</v>
      </c>
      <c r="I33" s="95" t="s">
        <v>617</v>
      </c>
      <c r="J33" s="98">
        <f>J34</f>
        <v>200000</v>
      </c>
      <c r="K33" s="98">
        <f>K34</f>
        <v>87500</v>
      </c>
    </row>
    <row r="34" spans="1:13" ht="126" x14ac:dyDescent="0.2">
      <c r="A34" s="87" t="s">
        <v>11</v>
      </c>
      <c r="B34" s="87" t="s">
        <v>12</v>
      </c>
      <c r="C34" s="87" t="s">
        <v>38</v>
      </c>
      <c r="D34" s="87" t="s">
        <v>18</v>
      </c>
      <c r="E34" s="87" t="s">
        <v>32</v>
      </c>
      <c r="F34" s="87" t="s">
        <v>36</v>
      </c>
      <c r="G34" s="92" t="s">
        <v>14</v>
      </c>
      <c r="H34" s="92" t="s">
        <v>618</v>
      </c>
      <c r="I34" s="88" t="s">
        <v>753</v>
      </c>
      <c r="J34" s="89">
        <v>200000</v>
      </c>
      <c r="K34" s="89">
        <v>87500</v>
      </c>
    </row>
    <row r="35" spans="1:13" ht="47.25" x14ac:dyDescent="0.2">
      <c r="A35" s="93" t="s">
        <v>11</v>
      </c>
      <c r="B35" s="93" t="s">
        <v>12</v>
      </c>
      <c r="C35" s="93" t="s">
        <v>38</v>
      </c>
      <c r="D35" s="93" t="s">
        <v>40</v>
      </c>
      <c r="E35" s="93" t="s">
        <v>11</v>
      </c>
      <c r="F35" s="93" t="s">
        <v>13</v>
      </c>
      <c r="G35" s="94" t="s">
        <v>14</v>
      </c>
      <c r="H35" s="94" t="s">
        <v>41</v>
      </c>
      <c r="I35" s="95" t="s">
        <v>42</v>
      </c>
      <c r="J35" s="98">
        <f>J36+J37</f>
        <v>3825000</v>
      </c>
      <c r="K35" s="98">
        <f>K36+K37</f>
        <v>2840914.8600000003</v>
      </c>
    </row>
    <row r="36" spans="1:13" ht="47.25" x14ac:dyDescent="0.2">
      <c r="A36" s="87" t="s">
        <v>11</v>
      </c>
      <c r="B36" s="87" t="s">
        <v>12</v>
      </c>
      <c r="C36" s="87" t="s">
        <v>38</v>
      </c>
      <c r="D36" s="87" t="s">
        <v>40</v>
      </c>
      <c r="E36" s="87" t="s">
        <v>34</v>
      </c>
      <c r="F36" s="87" t="s">
        <v>13</v>
      </c>
      <c r="G36" s="92" t="s">
        <v>14</v>
      </c>
      <c r="H36" s="92" t="s">
        <v>41</v>
      </c>
      <c r="I36" s="88" t="s">
        <v>619</v>
      </c>
      <c r="J36" s="89">
        <v>225000</v>
      </c>
      <c r="K36" s="89">
        <v>2344636.2200000002</v>
      </c>
    </row>
    <row r="37" spans="1:13" ht="78.75" x14ac:dyDescent="0.2">
      <c r="A37" s="87" t="s">
        <v>11</v>
      </c>
      <c r="B37" s="87" t="s">
        <v>12</v>
      </c>
      <c r="C37" s="87" t="s">
        <v>38</v>
      </c>
      <c r="D37" s="87" t="s">
        <v>40</v>
      </c>
      <c r="E37" s="87" t="s">
        <v>611</v>
      </c>
      <c r="F37" s="87" t="s">
        <v>13</v>
      </c>
      <c r="G37" s="92" t="s">
        <v>14</v>
      </c>
      <c r="H37" s="92" t="s">
        <v>41</v>
      </c>
      <c r="I37" s="88" t="s">
        <v>620</v>
      </c>
      <c r="J37" s="89">
        <v>3600000</v>
      </c>
      <c r="K37" s="89">
        <v>496278.64</v>
      </c>
    </row>
    <row r="38" spans="1:13" ht="15.75" x14ac:dyDescent="0.2">
      <c r="A38" s="83" t="s">
        <v>11</v>
      </c>
      <c r="B38" s="83" t="s">
        <v>12</v>
      </c>
      <c r="C38" s="83" t="s">
        <v>44</v>
      </c>
      <c r="D38" s="83" t="s">
        <v>13</v>
      </c>
      <c r="E38" s="83" t="s">
        <v>11</v>
      </c>
      <c r="F38" s="83" t="s">
        <v>13</v>
      </c>
      <c r="G38" s="90" t="s">
        <v>14</v>
      </c>
      <c r="H38" s="90" t="s">
        <v>11</v>
      </c>
      <c r="I38" s="84" t="s">
        <v>45</v>
      </c>
      <c r="J38" s="91">
        <f>J39+J41</f>
        <v>700000</v>
      </c>
      <c r="K38" s="91">
        <f>K39+K41</f>
        <v>806314</v>
      </c>
    </row>
    <row r="39" spans="1:13" ht="63" x14ac:dyDescent="0.2">
      <c r="A39" s="93" t="s">
        <v>11</v>
      </c>
      <c r="B39" s="93" t="s">
        <v>12</v>
      </c>
      <c r="C39" s="93" t="s">
        <v>44</v>
      </c>
      <c r="D39" s="93" t="s">
        <v>18</v>
      </c>
      <c r="E39" s="93" t="s">
        <v>11</v>
      </c>
      <c r="F39" s="93" t="s">
        <v>18</v>
      </c>
      <c r="G39" s="94" t="s">
        <v>14</v>
      </c>
      <c r="H39" s="94" t="s">
        <v>754</v>
      </c>
      <c r="I39" s="95" t="s">
        <v>755</v>
      </c>
      <c r="J39" s="98">
        <f>J40</f>
        <v>700000</v>
      </c>
      <c r="K39" s="98">
        <f t="shared" ref="K39" si="3">K40</f>
        <v>804014</v>
      </c>
    </row>
    <row r="40" spans="1:13" ht="63" x14ac:dyDescent="0.2">
      <c r="A40" s="87" t="s">
        <v>877</v>
      </c>
      <c r="B40" s="87" t="s">
        <v>12</v>
      </c>
      <c r="C40" s="87" t="s">
        <v>44</v>
      </c>
      <c r="D40" s="87" t="s">
        <v>18</v>
      </c>
      <c r="E40" s="87" t="s">
        <v>611</v>
      </c>
      <c r="F40" s="87" t="s">
        <v>18</v>
      </c>
      <c r="G40" s="92" t="s">
        <v>14</v>
      </c>
      <c r="H40" s="92" t="s">
        <v>754</v>
      </c>
      <c r="I40" s="88" t="s">
        <v>621</v>
      </c>
      <c r="J40" s="89">
        <v>700000</v>
      </c>
      <c r="K40" s="89">
        <v>804014</v>
      </c>
    </row>
    <row r="41" spans="1:13" ht="31.5" x14ac:dyDescent="0.2">
      <c r="A41" s="93" t="s">
        <v>11</v>
      </c>
      <c r="B41" s="93" t="s">
        <v>12</v>
      </c>
      <c r="C41" s="93" t="s">
        <v>44</v>
      </c>
      <c r="D41" s="93" t="s">
        <v>43</v>
      </c>
      <c r="E41" s="93" t="s">
        <v>11</v>
      </c>
      <c r="F41" s="93" t="s">
        <v>13</v>
      </c>
      <c r="G41" s="94" t="s">
        <v>14</v>
      </c>
      <c r="H41" s="94" t="s">
        <v>754</v>
      </c>
      <c r="I41" s="95" t="s">
        <v>890</v>
      </c>
      <c r="J41" s="98">
        <f>J42+J43</f>
        <v>0</v>
      </c>
      <c r="K41" s="98">
        <f>K42+K43</f>
        <v>2300</v>
      </c>
    </row>
    <row r="42" spans="1:13" ht="94.5" x14ac:dyDescent="0.2">
      <c r="A42" s="87" t="s">
        <v>877</v>
      </c>
      <c r="B42" s="87" t="s">
        <v>12</v>
      </c>
      <c r="C42" s="87" t="s">
        <v>44</v>
      </c>
      <c r="D42" s="87" t="s">
        <v>43</v>
      </c>
      <c r="E42" s="87" t="s">
        <v>887</v>
      </c>
      <c r="F42" s="87" t="s">
        <v>36</v>
      </c>
      <c r="G42" s="92" t="s">
        <v>14</v>
      </c>
      <c r="H42" s="92" t="s">
        <v>754</v>
      </c>
      <c r="I42" s="88" t="s">
        <v>764</v>
      </c>
      <c r="J42" s="89">
        <v>0</v>
      </c>
      <c r="K42" s="89">
        <v>1300</v>
      </c>
    </row>
    <row r="43" spans="1:13" ht="94.5" x14ac:dyDescent="0.2">
      <c r="A43" s="87" t="s">
        <v>877</v>
      </c>
      <c r="B43" s="87" t="s">
        <v>12</v>
      </c>
      <c r="C43" s="87" t="s">
        <v>44</v>
      </c>
      <c r="D43" s="87" t="s">
        <v>43</v>
      </c>
      <c r="E43" s="87" t="s">
        <v>888</v>
      </c>
      <c r="F43" s="87" t="s">
        <v>15</v>
      </c>
      <c r="G43" s="92" t="s">
        <v>889</v>
      </c>
      <c r="H43" s="92" t="s">
        <v>754</v>
      </c>
      <c r="I43" s="88" t="s">
        <v>891</v>
      </c>
      <c r="J43" s="89">
        <v>0</v>
      </c>
      <c r="K43" s="89">
        <v>1000</v>
      </c>
    </row>
    <row r="44" spans="1:13" ht="15.75" x14ac:dyDescent="0.2">
      <c r="A44" s="83" t="s">
        <v>11</v>
      </c>
      <c r="B44" s="83" t="s">
        <v>12</v>
      </c>
      <c r="C44" s="83" t="s">
        <v>46</v>
      </c>
      <c r="D44" s="83" t="s">
        <v>13</v>
      </c>
      <c r="E44" s="83" t="s">
        <v>11</v>
      </c>
      <c r="F44" s="83" t="s">
        <v>13</v>
      </c>
      <c r="G44" s="90" t="s">
        <v>14</v>
      </c>
      <c r="H44" s="90" t="s">
        <v>11</v>
      </c>
      <c r="I44" s="84" t="s">
        <v>47</v>
      </c>
      <c r="J44" s="91">
        <f>J45</f>
        <v>331000</v>
      </c>
      <c r="K44" s="91">
        <f>K45</f>
        <v>605491.81000000006</v>
      </c>
    </row>
    <row r="45" spans="1:13" ht="15.75" x14ac:dyDescent="0.2">
      <c r="A45" s="93" t="s">
        <v>11</v>
      </c>
      <c r="B45" s="93" t="s">
        <v>12</v>
      </c>
      <c r="C45" s="93" t="s">
        <v>46</v>
      </c>
      <c r="D45" s="93" t="s">
        <v>25</v>
      </c>
      <c r="E45" s="93" t="s">
        <v>11</v>
      </c>
      <c r="F45" s="93" t="s">
        <v>13</v>
      </c>
      <c r="G45" s="94" t="s">
        <v>14</v>
      </c>
      <c r="H45" s="94" t="s">
        <v>622</v>
      </c>
      <c r="I45" s="95" t="s">
        <v>47</v>
      </c>
      <c r="J45" s="98">
        <f>J46</f>
        <v>331000</v>
      </c>
      <c r="K45" s="98">
        <f>K46</f>
        <v>605491.81000000006</v>
      </c>
    </row>
    <row r="46" spans="1:13" ht="31.5" x14ac:dyDescent="0.2">
      <c r="A46" s="87" t="s">
        <v>11</v>
      </c>
      <c r="B46" s="87" t="s">
        <v>12</v>
      </c>
      <c r="C46" s="87" t="s">
        <v>46</v>
      </c>
      <c r="D46" s="87" t="s">
        <v>25</v>
      </c>
      <c r="E46" s="87" t="s">
        <v>32</v>
      </c>
      <c r="F46" s="87" t="s">
        <v>36</v>
      </c>
      <c r="G46" s="92" t="s">
        <v>14</v>
      </c>
      <c r="H46" s="92" t="s">
        <v>622</v>
      </c>
      <c r="I46" s="88" t="s">
        <v>185</v>
      </c>
      <c r="J46" s="89">
        <v>331000</v>
      </c>
      <c r="K46" s="89">
        <v>605491.81000000006</v>
      </c>
    </row>
    <row r="47" spans="1:13" ht="15.75" x14ac:dyDescent="0.2">
      <c r="A47" s="83" t="s">
        <v>11</v>
      </c>
      <c r="B47" s="83" t="s">
        <v>48</v>
      </c>
      <c r="C47" s="83" t="s">
        <v>13</v>
      </c>
      <c r="D47" s="83" t="s">
        <v>13</v>
      </c>
      <c r="E47" s="83" t="s">
        <v>11</v>
      </c>
      <c r="F47" s="83" t="s">
        <v>13</v>
      </c>
      <c r="G47" s="90" t="s">
        <v>14</v>
      </c>
      <c r="H47" s="90" t="s">
        <v>11</v>
      </c>
      <c r="I47" s="84" t="s">
        <v>49</v>
      </c>
      <c r="J47" s="91">
        <f>J48+J80</f>
        <v>346664186</v>
      </c>
      <c r="K47" s="91">
        <f>K48+K80</f>
        <v>168008532.10999998</v>
      </c>
    </row>
    <row r="48" spans="1:13" ht="47.25" x14ac:dyDescent="0.2">
      <c r="A48" s="83" t="s">
        <v>11</v>
      </c>
      <c r="B48" s="83" t="s">
        <v>48</v>
      </c>
      <c r="C48" s="83" t="s">
        <v>18</v>
      </c>
      <c r="D48" s="83" t="s">
        <v>13</v>
      </c>
      <c r="E48" s="83" t="s">
        <v>11</v>
      </c>
      <c r="F48" s="83" t="s">
        <v>13</v>
      </c>
      <c r="G48" s="90" t="s">
        <v>14</v>
      </c>
      <c r="H48" s="90" t="s">
        <v>11</v>
      </c>
      <c r="I48" s="84" t="s">
        <v>50</v>
      </c>
      <c r="J48" s="91">
        <f>J49+J55+J76</f>
        <v>345476552</v>
      </c>
      <c r="K48" s="91">
        <f>K49+K55+K76</f>
        <v>167508226.57999998</v>
      </c>
      <c r="M48" s="358"/>
    </row>
    <row r="49" spans="1:13" s="356" customFormat="1" ht="31.5" x14ac:dyDescent="0.2">
      <c r="A49" s="93" t="s">
        <v>11</v>
      </c>
      <c r="B49" s="93" t="s">
        <v>48</v>
      </c>
      <c r="C49" s="93" t="s">
        <v>18</v>
      </c>
      <c r="D49" s="93" t="s">
        <v>43</v>
      </c>
      <c r="E49" s="93" t="s">
        <v>11</v>
      </c>
      <c r="F49" s="93" t="s">
        <v>13</v>
      </c>
      <c r="G49" s="94" t="s">
        <v>14</v>
      </c>
      <c r="H49" s="94" t="s">
        <v>624</v>
      </c>
      <c r="I49" s="95" t="s">
        <v>623</v>
      </c>
      <c r="J49" s="98">
        <f>J50+J51+J52</f>
        <v>53967500</v>
      </c>
      <c r="K49" s="98">
        <f>K50+K51+K52</f>
        <v>23535000</v>
      </c>
    </row>
    <row r="50" spans="1:13" ht="31.5" x14ac:dyDescent="0.2">
      <c r="A50" s="87" t="s">
        <v>51</v>
      </c>
      <c r="B50" s="87" t="s">
        <v>48</v>
      </c>
      <c r="C50" s="87" t="s">
        <v>18</v>
      </c>
      <c r="D50" s="87" t="s">
        <v>228</v>
      </c>
      <c r="E50" s="87" t="s">
        <v>52</v>
      </c>
      <c r="F50" s="87" t="s">
        <v>13</v>
      </c>
      <c r="G50" s="92" t="s">
        <v>14</v>
      </c>
      <c r="H50" s="92" t="s">
        <v>624</v>
      </c>
      <c r="I50" s="88" t="s">
        <v>625</v>
      </c>
      <c r="J50" s="89">
        <v>31384000</v>
      </c>
      <c r="K50" s="89">
        <v>23535000</v>
      </c>
    </row>
    <row r="51" spans="1:13" ht="31.5" hidden="1" x14ac:dyDescent="0.2">
      <c r="A51" s="87" t="s">
        <v>671</v>
      </c>
      <c r="B51" s="87" t="s">
        <v>48</v>
      </c>
      <c r="C51" s="87" t="s">
        <v>18</v>
      </c>
      <c r="D51" s="87" t="s">
        <v>228</v>
      </c>
      <c r="E51" s="87" t="s">
        <v>686</v>
      </c>
      <c r="F51" s="87" t="s">
        <v>13</v>
      </c>
      <c r="G51" s="92" t="s">
        <v>14</v>
      </c>
      <c r="H51" s="92" t="s">
        <v>624</v>
      </c>
      <c r="I51" s="88" t="s">
        <v>687</v>
      </c>
      <c r="J51" s="89">
        <v>0</v>
      </c>
      <c r="K51" s="89"/>
    </row>
    <row r="52" spans="1:13" ht="15.75" hidden="1" x14ac:dyDescent="0.2">
      <c r="A52" s="87" t="s">
        <v>11</v>
      </c>
      <c r="B52" s="87" t="s">
        <v>48</v>
      </c>
      <c r="C52" s="87" t="s">
        <v>18</v>
      </c>
      <c r="D52" s="87" t="s">
        <v>832</v>
      </c>
      <c r="E52" s="87" t="s">
        <v>717</v>
      </c>
      <c r="F52" s="87" t="s">
        <v>13</v>
      </c>
      <c r="G52" s="92" t="s">
        <v>14</v>
      </c>
      <c r="H52" s="92" t="s">
        <v>624</v>
      </c>
      <c r="I52" s="88" t="s">
        <v>833</v>
      </c>
      <c r="J52" s="89">
        <f>J53+J54</f>
        <v>22583500</v>
      </c>
      <c r="K52" s="89">
        <f>K53+K54</f>
        <v>0</v>
      </c>
    </row>
    <row r="53" spans="1:13" ht="63" hidden="1" x14ac:dyDescent="0.2">
      <c r="A53" s="87" t="s">
        <v>51</v>
      </c>
      <c r="B53" s="87" t="s">
        <v>48</v>
      </c>
      <c r="C53" s="87" t="s">
        <v>18</v>
      </c>
      <c r="D53" s="87" t="s">
        <v>832</v>
      </c>
      <c r="E53" s="87" t="s">
        <v>717</v>
      </c>
      <c r="F53" s="87" t="s">
        <v>36</v>
      </c>
      <c r="G53" s="92" t="s">
        <v>880</v>
      </c>
      <c r="H53" s="92" t="s">
        <v>624</v>
      </c>
      <c r="I53" s="88" t="s">
        <v>883</v>
      </c>
      <c r="J53" s="89">
        <v>583500</v>
      </c>
      <c r="K53" s="89">
        <v>0</v>
      </c>
    </row>
    <row r="54" spans="1:13" ht="31.5" hidden="1" x14ac:dyDescent="0.2">
      <c r="A54" s="87" t="s">
        <v>671</v>
      </c>
      <c r="B54" s="87" t="s">
        <v>48</v>
      </c>
      <c r="C54" s="87" t="s">
        <v>18</v>
      </c>
      <c r="D54" s="87" t="s">
        <v>832</v>
      </c>
      <c r="E54" s="87" t="s">
        <v>717</v>
      </c>
      <c r="F54" s="87" t="s">
        <v>36</v>
      </c>
      <c r="G54" s="92" t="s">
        <v>881</v>
      </c>
      <c r="H54" s="92" t="s">
        <v>624</v>
      </c>
      <c r="I54" s="88" t="s">
        <v>882</v>
      </c>
      <c r="J54" s="89">
        <v>22000000</v>
      </c>
      <c r="K54" s="89">
        <v>0</v>
      </c>
    </row>
    <row r="55" spans="1:13" s="356" customFormat="1" ht="47.25" x14ac:dyDescent="0.2">
      <c r="A55" s="93" t="s">
        <v>11</v>
      </c>
      <c r="B55" s="93" t="s">
        <v>48</v>
      </c>
      <c r="C55" s="93" t="s">
        <v>18</v>
      </c>
      <c r="D55" s="93" t="s">
        <v>682</v>
      </c>
      <c r="E55" s="93" t="s">
        <v>11</v>
      </c>
      <c r="F55" s="93" t="s">
        <v>13</v>
      </c>
      <c r="G55" s="94" t="s">
        <v>14</v>
      </c>
      <c r="H55" s="94" t="s">
        <v>624</v>
      </c>
      <c r="I55" s="95" t="s">
        <v>683</v>
      </c>
      <c r="J55" s="98">
        <f>J56+J58+J60+J62+J64+J66+J68+J70+J72</f>
        <v>208384052</v>
      </c>
      <c r="K55" s="98">
        <f>K56+K58+K60+K62+K64+K66+K68+K70+K72</f>
        <v>60848226.579999998</v>
      </c>
      <c r="M55" s="359"/>
    </row>
    <row r="56" spans="1:13" ht="94.5" x14ac:dyDescent="0.2">
      <c r="A56" s="87" t="s">
        <v>11</v>
      </c>
      <c r="B56" s="87" t="s">
        <v>48</v>
      </c>
      <c r="C56" s="87" t="s">
        <v>18</v>
      </c>
      <c r="D56" s="87" t="s">
        <v>682</v>
      </c>
      <c r="E56" s="87" t="s">
        <v>756</v>
      </c>
      <c r="F56" s="87" t="s">
        <v>13</v>
      </c>
      <c r="G56" s="92" t="s">
        <v>14</v>
      </c>
      <c r="H56" s="92" t="s">
        <v>624</v>
      </c>
      <c r="I56" s="88" t="s">
        <v>696</v>
      </c>
      <c r="J56" s="89">
        <f>J57</f>
        <v>13901864</v>
      </c>
      <c r="K56" s="89">
        <f>K57</f>
        <v>12809541.369999999</v>
      </c>
    </row>
    <row r="57" spans="1:13" ht="94.5" x14ac:dyDescent="0.2">
      <c r="A57" s="87" t="s">
        <v>671</v>
      </c>
      <c r="B57" s="87" t="s">
        <v>48</v>
      </c>
      <c r="C57" s="87" t="s">
        <v>18</v>
      </c>
      <c r="D57" s="87" t="s">
        <v>682</v>
      </c>
      <c r="E57" s="87" t="s">
        <v>756</v>
      </c>
      <c r="F57" s="87" t="s">
        <v>36</v>
      </c>
      <c r="G57" s="92" t="s">
        <v>14</v>
      </c>
      <c r="H57" s="92" t="s">
        <v>624</v>
      </c>
      <c r="I57" s="88" t="s">
        <v>696</v>
      </c>
      <c r="J57" s="89">
        <v>13901864</v>
      </c>
      <c r="K57" s="89">
        <v>12809541.369999999</v>
      </c>
    </row>
    <row r="58" spans="1:13" ht="94.5" hidden="1" x14ac:dyDescent="0.2">
      <c r="A58" s="87" t="s">
        <v>11</v>
      </c>
      <c r="B58" s="87" t="s">
        <v>48</v>
      </c>
      <c r="C58" s="87" t="s">
        <v>18</v>
      </c>
      <c r="D58" s="87" t="s">
        <v>682</v>
      </c>
      <c r="E58" s="87" t="s">
        <v>834</v>
      </c>
      <c r="F58" s="87" t="s">
        <v>13</v>
      </c>
      <c r="G58" s="92" t="s">
        <v>14</v>
      </c>
      <c r="H58" s="92" t="s">
        <v>624</v>
      </c>
      <c r="I58" s="88" t="s">
        <v>835</v>
      </c>
      <c r="J58" s="89">
        <f>J59</f>
        <v>75230257</v>
      </c>
      <c r="K58" s="89">
        <f>K59</f>
        <v>0</v>
      </c>
    </row>
    <row r="59" spans="1:13" ht="94.5" hidden="1" x14ac:dyDescent="0.2">
      <c r="A59" s="87" t="s">
        <v>671</v>
      </c>
      <c r="B59" s="87" t="s">
        <v>48</v>
      </c>
      <c r="C59" s="87" t="s">
        <v>18</v>
      </c>
      <c r="D59" s="87" t="s">
        <v>682</v>
      </c>
      <c r="E59" s="87" t="s">
        <v>834</v>
      </c>
      <c r="F59" s="87" t="s">
        <v>36</v>
      </c>
      <c r="G59" s="92" t="s">
        <v>14</v>
      </c>
      <c r="H59" s="92" t="s">
        <v>624</v>
      </c>
      <c r="I59" s="88" t="s">
        <v>862</v>
      </c>
      <c r="J59" s="89">
        <v>75230257</v>
      </c>
      <c r="K59" s="89">
        <v>0</v>
      </c>
    </row>
    <row r="60" spans="1:13" ht="173.25" x14ac:dyDescent="0.2">
      <c r="A60" s="87" t="s">
        <v>11</v>
      </c>
      <c r="B60" s="87" t="s">
        <v>48</v>
      </c>
      <c r="C60" s="87" t="s">
        <v>18</v>
      </c>
      <c r="D60" s="87" t="s">
        <v>682</v>
      </c>
      <c r="E60" s="87" t="s">
        <v>867</v>
      </c>
      <c r="F60" s="87" t="s">
        <v>13</v>
      </c>
      <c r="G60" s="92" t="s">
        <v>14</v>
      </c>
      <c r="H60" s="92" t="s">
        <v>624</v>
      </c>
      <c r="I60" s="88" t="s">
        <v>868</v>
      </c>
      <c r="J60" s="89">
        <f>J61</f>
        <v>47372153</v>
      </c>
      <c r="K60" s="89">
        <f>K61</f>
        <v>28193196.350000001</v>
      </c>
    </row>
    <row r="61" spans="1:13" ht="173.25" x14ac:dyDescent="0.2">
      <c r="A61" s="87" t="s">
        <v>671</v>
      </c>
      <c r="B61" s="87" t="s">
        <v>48</v>
      </c>
      <c r="C61" s="87" t="s">
        <v>18</v>
      </c>
      <c r="D61" s="87" t="s">
        <v>682</v>
      </c>
      <c r="E61" s="87" t="s">
        <v>867</v>
      </c>
      <c r="F61" s="87" t="s">
        <v>36</v>
      </c>
      <c r="G61" s="92" t="s">
        <v>14</v>
      </c>
      <c r="H61" s="92" t="s">
        <v>624</v>
      </c>
      <c r="I61" s="88" t="s">
        <v>718</v>
      </c>
      <c r="J61" s="89">
        <v>47372153</v>
      </c>
      <c r="K61" s="89">
        <v>28193196.350000001</v>
      </c>
    </row>
    <row r="62" spans="1:13" ht="126" x14ac:dyDescent="0.2">
      <c r="A62" s="87" t="s">
        <v>11</v>
      </c>
      <c r="B62" s="87" t="s">
        <v>48</v>
      </c>
      <c r="C62" s="87" t="s">
        <v>18</v>
      </c>
      <c r="D62" s="87" t="s">
        <v>682</v>
      </c>
      <c r="E62" s="87" t="s">
        <v>767</v>
      </c>
      <c r="F62" s="87" t="s">
        <v>13</v>
      </c>
      <c r="G62" s="92" t="s">
        <v>14</v>
      </c>
      <c r="H62" s="92" t="s">
        <v>624</v>
      </c>
      <c r="I62" s="88" t="s">
        <v>768</v>
      </c>
      <c r="J62" s="89">
        <f>J63</f>
        <v>3019021</v>
      </c>
      <c r="K62" s="89">
        <f>K63</f>
        <v>2297934.7599999998</v>
      </c>
    </row>
    <row r="63" spans="1:13" ht="126" x14ac:dyDescent="0.2">
      <c r="A63" s="87" t="s">
        <v>671</v>
      </c>
      <c r="B63" s="87" t="s">
        <v>48</v>
      </c>
      <c r="C63" s="87" t="s">
        <v>18</v>
      </c>
      <c r="D63" s="87" t="s">
        <v>682</v>
      </c>
      <c r="E63" s="87" t="s">
        <v>767</v>
      </c>
      <c r="F63" s="87" t="s">
        <v>36</v>
      </c>
      <c r="G63" s="92" t="s">
        <v>14</v>
      </c>
      <c r="H63" s="92" t="s">
        <v>624</v>
      </c>
      <c r="I63" s="88" t="s">
        <v>719</v>
      </c>
      <c r="J63" s="89">
        <v>3019021</v>
      </c>
      <c r="K63" s="89">
        <v>2297934.7599999998</v>
      </c>
    </row>
    <row r="64" spans="1:13" ht="31.5" hidden="1" x14ac:dyDescent="0.2">
      <c r="A64" s="87" t="s">
        <v>11</v>
      </c>
      <c r="B64" s="87" t="s">
        <v>48</v>
      </c>
      <c r="C64" s="87" t="s">
        <v>18</v>
      </c>
      <c r="D64" s="87" t="s">
        <v>688</v>
      </c>
      <c r="E64" s="87" t="s">
        <v>715</v>
      </c>
      <c r="F64" s="87" t="s">
        <v>13</v>
      </c>
      <c r="G64" s="92" t="s">
        <v>14</v>
      </c>
      <c r="H64" s="92" t="s">
        <v>624</v>
      </c>
      <c r="I64" s="88" t="s">
        <v>757</v>
      </c>
      <c r="J64" s="89">
        <f>J65</f>
        <v>0</v>
      </c>
      <c r="K64" s="89">
        <f>K65</f>
        <v>0</v>
      </c>
    </row>
    <row r="65" spans="1:11" ht="31.5" hidden="1" x14ac:dyDescent="0.2">
      <c r="A65" s="87" t="s">
        <v>671</v>
      </c>
      <c r="B65" s="87" t="s">
        <v>48</v>
      </c>
      <c r="C65" s="87" t="s">
        <v>18</v>
      </c>
      <c r="D65" s="87" t="s">
        <v>688</v>
      </c>
      <c r="E65" s="87" t="s">
        <v>715</v>
      </c>
      <c r="F65" s="87" t="s">
        <v>36</v>
      </c>
      <c r="G65" s="92" t="s">
        <v>14</v>
      </c>
      <c r="H65" s="92" t="s">
        <v>624</v>
      </c>
      <c r="I65" s="88" t="s">
        <v>873</v>
      </c>
      <c r="J65" s="89">
        <v>0</v>
      </c>
      <c r="K65" s="89"/>
    </row>
    <row r="66" spans="1:11" ht="78.75" hidden="1" x14ac:dyDescent="0.2">
      <c r="A66" s="87" t="s">
        <v>11</v>
      </c>
      <c r="B66" s="87" t="s">
        <v>48</v>
      </c>
      <c r="C66" s="87" t="s">
        <v>18</v>
      </c>
      <c r="D66" s="87" t="s">
        <v>688</v>
      </c>
      <c r="E66" s="87" t="s">
        <v>673</v>
      </c>
      <c r="F66" s="87" t="s">
        <v>13</v>
      </c>
      <c r="G66" s="92" t="s">
        <v>14</v>
      </c>
      <c r="H66" s="92" t="s">
        <v>624</v>
      </c>
      <c r="I66" s="88" t="s">
        <v>766</v>
      </c>
      <c r="J66" s="89">
        <f>J67</f>
        <v>40000000</v>
      </c>
      <c r="K66" s="89">
        <f>K67</f>
        <v>0</v>
      </c>
    </row>
    <row r="67" spans="1:11" ht="78.75" hidden="1" x14ac:dyDescent="0.2">
      <c r="A67" s="87" t="s">
        <v>671</v>
      </c>
      <c r="B67" s="87" t="s">
        <v>48</v>
      </c>
      <c r="C67" s="87" t="s">
        <v>18</v>
      </c>
      <c r="D67" s="87" t="s">
        <v>688</v>
      </c>
      <c r="E67" s="87" t="s">
        <v>673</v>
      </c>
      <c r="F67" s="87" t="s">
        <v>36</v>
      </c>
      <c r="G67" s="92" t="s">
        <v>14</v>
      </c>
      <c r="H67" s="92" t="s">
        <v>624</v>
      </c>
      <c r="I67" s="88" t="s">
        <v>769</v>
      </c>
      <c r="J67" s="89">
        <v>40000000</v>
      </c>
      <c r="K67" s="89">
        <v>0</v>
      </c>
    </row>
    <row r="68" spans="1:11" ht="47.25" x14ac:dyDescent="0.2">
      <c r="A68" s="87" t="s">
        <v>11</v>
      </c>
      <c r="B68" s="87" t="s">
        <v>48</v>
      </c>
      <c r="C68" s="87" t="s">
        <v>18</v>
      </c>
      <c r="D68" s="87" t="s">
        <v>688</v>
      </c>
      <c r="E68" s="87" t="s">
        <v>691</v>
      </c>
      <c r="F68" s="87" t="s">
        <v>13</v>
      </c>
      <c r="G68" s="92" t="s">
        <v>14</v>
      </c>
      <c r="H68" s="92" t="s">
        <v>624</v>
      </c>
      <c r="I68" s="88" t="s">
        <v>758</v>
      </c>
      <c r="J68" s="89">
        <f>J69</f>
        <v>2380519</v>
      </c>
      <c r="K68" s="89">
        <f>K69</f>
        <v>2362481.02</v>
      </c>
    </row>
    <row r="69" spans="1:11" ht="47.25" x14ac:dyDescent="0.2">
      <c r="A69" s="87" t="s">
        <v>671</v>
      </c>
      <c r="B69" s="87" t="s">
        <v>48</v>
      </c>
      <c r="C69" s="87" t="s">
        <v>18</v>
      </c>
      <c r="D69" s="87" t="s">
        <v>688</v>
      </c>
      <c r="E69" s="87" t="s">
        <v>691</v>
      </c>
      <c r="F69" s="87" t="s">
        <v>36</v>
      </c>
      <c r="G69" s="92" t="s">
        <v>14</v>
      </c>
      <c r="H69" s="92" t="s">
        <v>624</v>
      </c>
      <c r="I69" s="88" t="s">
        <v>765</v>
      </c>
      <c r="J69" s="89">
        <f>2698879-204549-113811</f>
        <v>2380519</v>
      </c>
      <c r="K69" s="89">
        <v>2362481.02</v>
      </c>
    </row>
    <row r="70" spans="1:11" ht="47.25" x14ac:dyDescent="0.2">
      <c r="A70" s="87" t="s">
        <v>11</v>
      </c>
      <c r="B70" s="87" t="s">
        <v>48</v>
      </c>
      <c r="C70" s="87" t="s">
        <v>18</v>
      </c>
      <c r="D70" s="87" t="s">
        <v>688</v>
      </c>
      <c r="E70" s="87" t="s">
        <v>689</v>
      </c>
      <c r="F70" s="87" t="s">
        <v>13</v>
      </c>
      <c r="G70" s="92" t="s">
        <v>14</v>
      </c>
      <c r="H70" s="92" t="s">
        <v>624</v>
      </c>
      <c r="I70" s="88" t="s">
        <v>759</v>
      </c>
      <c r="J70" s="89">
        <f>J71</f>
        <v>18260217</v>
      </c>
      <c r="K70" s="89">
        <f>K71</f>
        <v>15092818.609999999</v>
      </c>
    </row>
    <row r="71" spans="1:11" ht="47.25" x14ac:dyDescent="0.2">
      <c r="A71" s="87" t="s">
        <v>671</v>
      </c>
      <c r="B71" s="87" t="s">
        <v>48</v>
      </c>
      <c r="C71" s="87" t="s">
        <v>18</v>
      </c>
      <c r="D71" s="87" t="s">
        <v>688</v>
      </c>
      <c r="E71" s="87" t="s">
        <v>689</v>
      </c>
      <c r="F71" s="87" t="s">
        <v>36</v>
      </c>
      <c r="G71" s="92" t="s">
        <v>14</v>
      </c>
      <c r="H71" s="92" t="s">
        <v>624</v>
      </c>
      <c r="I71" s="88" t="s">
        <v>690</v>
      </c>
      <c r="J71" s="89">
        <f>17375671+35382+849164</f>
        <v>18260217</v>
      </c>
      <c r="K71" s="89">
        <v>15092818.609999999</v>
      </c>
    </row>
    <row r="72" spans="1:11" ht="15.75" x14ac:dyDescent="0.2">
      <c r="A72" s="87" t="s">
        <v>11</v>
      </c>
      <c r="B72" s="87" t="s">
        <v>48</v>
      </c>
      <c r="C72" s="87" t="s">
        <v>18</v>
      </c>
      <c r="D72" s="87" t="s">
        <v>716</v>
      </c>
      <c r="E72" s="87" t="s">
        <v>717</v>
      </c>
      <c r="F72" s="87" t="s">
        <v>13</v>
      </c>
      <c r="G72" s="92" t="s">
        <v>14</v>
      </c>
      <c r="H72" s="92" t="s">
        <v>624</v>
      </c>
      <c r="I72" s="88" t="s">
        <v>760</v>
      </c>
      <c r="J72" s="89">
        <f>J73+J74+J75</f>
        <v>8220021</v>
      </c>
      <c r="K72" s="89">
        <f>K73+K74+K75</f>
        <v>92254.47</v>
      </c>
    </row>
    <row r="73" spans="1:11" ht="78.75" x14ac:dyDescent="0.2">
      <c r="A73" s="87" t="s">
        <v>671</v>
      </c>
      <c r="B73" s="87" t="s">
        <v>48</v>
      </c>
      <c r="C73" s="87" t="s">
        <v>18</v>
      </c>
      <c r="D73" s="87" t="s">
        <v>716</v>
      </c>
      <c r="E73" s="87" t="s">
        <v>717</v>
      </c>
      <c r="F73" s="87" t="s">
        <v>36</v>
      </c>
      <c r="G73" s="92" t="s">
        <v>836</v>
      </c>
      <c r="H73" s="92" t="s">
        <v>624</v>
      </c>
      <c r="I73" s="88" t="s">
        <v>838</v>
      </c>
      <c r="J73" s="89">
        <v>160000</v>
      </c>
      <c r="K73" s="89">
        <v>22254.47</v>
      </c>
    </row>
    <row r="74" spans="1:11" ht="47.25" x14ac:dyDescent="0.2">
      <c r="A74" s="87" t="s">
        <v>671</v>
      </c>
      <c r="B74" s="87" t="s">
        <v>48</v>
      </c>
      <c r="C74" s="87" t="s">
        <v>18</v>
      </c>
      <c r="D74" s="87" t="s">
        <v>716</v>
      </c>
      <c r="E74" s="87" t="s">
        <v>717</v>
      </c>
      <c r="F74" s="87" t="s">
        <v>36</v>
      </c>
      <c r="G74" s="92" t="s">
        <v>837</v>
      </c>
      <c r="H74" s="92" t="s">
        <v>624</v>
      </c>
      <c r="I74" s="88" t="s">
        <v>839</v>
      </c>
      <c r="J74" s="89">
        <v>70000</v>
      </c>
      <c r="K74" s="89">
        <v>70000</v>
      </c>
    </row>
    <row r="75" spans="1:11" ht="63" hidden="1" x14ac:dyDescent="0.2">
      <c r="A75" s="87" t="s">
        <v>671</v>
      </c>
      <c r="B75" s="87" t="s">
        <v>48</v>
      </c>
      <c r="C75" s="87" t="s">
        <v>18</v>
      </c>
      <c r="D75" s="87" t="s">
        <v>716</v>
      </c>
      <c r="E75" s="87" t="s">
        <v>717</v>
      </c>
      <c r="F75" s="87" t="s">
        <v>36</v>
      </c>
      <c r="G75" s="92" t="s">
        <v>871</v>
      </c>
      <c r="H75" s="92" t="s">
        <v>624</v>
      </c>
      <c r="I75" s="88" t="s">
        <v>872</v>
      </c>
      <c r="J75" s="89">
        <v>7990021</v>
      </c>
      <c r="K75" s="89">
        <v>0</v>
      </c>
    </row>
    <row r="76" spans="1:11" s="356" customFormat="1" ht="15.75" x14ac:dyDescent="0.2">
      <c r="A76" s="93" t="s">
        <v>11</v>
      </c>
      <c r="B76" s="93" t="s">
        <v>48</v>
      </c>
      <c r="C76" s="93" t="s">
        <v>18</v>
      </c>
      <c r="D76" s="93" t="s">
        <v>674</v>
      </c>
      <c r="E76" s="93" t="s">
        <v>11</v>
      </c>
      <c r="F76" s="93" t="s">
        <v>13</v>
      </c>
      <c r="G76" s="94" t="s">
        <v>14</v>
      </c>
      <c r="H76" s="94" t="s">
        <v>624</v>
      </c>
      <c r="I76" s="95" t="s">
        <v>675</v>
      </c>
      <c r="J76" s="98">
        <f>J77+J78</f>
        <v>83125000</v>
      </c>
      <c r="K76" s="98">
        <f>K77+K78</f>
        <v>83125000</v>
      </c>
    </row>
    <row r="77" spans="1:11" ht="78.75" hidden="1" x14ac:dyDescent="0.2">
      <c r="A77" s="87" t="s">
        <v>671</v>
      </c>
      <c r="B77" s="87" t="s">
        <v>48</v>
      </c>
      <c r="C77" s="87" t="s">
        <v>18</v>
      </c>
      <c r="D77" s="87" t="s">
        <v>672</v>
      </c>
      <c r="E77" s="87" t="s">
        <v>673</v>
      </c>
      <c r="F77" s="87" t="s">
        <v>13</v>
      </c>
      <c r="G77" s="92" t="s">
        <v>14</v>
      </c>
      <c r="H77" s="92" t="s">
        <v>624</v>
      </c>
      <c r="I77" s="88" t="s">
        <v>761</v>
      </c>
      <c r="J77" s="89">
        <v>0</v>
      </c>
      <c r="K77" s="89">
        <v>0</v>
      </c>
    </row>
    <row r="78" spans="1:11" ht="94.5" x14ac:dyDescent="0.2">
      <c r="A78" s="87" t="s">
        <v>671</v>
      </c>
      <c r="B78" s="87" t="s">
        <v>48</v>
      </c>
      <c r="C78" s="87" t="s">
        <v>18</v>
      </c>
      <c r="D78" s="87" t="s">
        <v>672</v>
      </c>
      <c r="E78" s="87" t="s">
        <v>681</v>
      </c>
      <c r="F78" s="87" t="s">
        <v>13</v>
      </c>
      <c r="G78" s="92" t="s">
        <v>14</v>
      </c>
      <c r="H78" s="92" t="s">
        <v>624</v>
      </c>
      <c r="I78" s="88" t="s">
        <v>762</v>
      </c>
      <c r="J78" s="89">
        <f>J79</f>
        <v>83125000</v>
      </c>
      <c r="K78" s="89">
        <f>K79</f>
        <v>83125000</v>
      </c>
    </row>
    <row r="79" spans="1:11" ht="110.25" x14ac:dyDescent="0.2">
      <c r="A79" s="87" t="s">
        <v>671</v>
      </c>
      <c r="B79" s="87" t="s">
        <v>48</v>
      </c>
      <c r="C79" s="87" t="s">
        <v>18</v>
      </c>
      <c r="D79" s="87" t="s">
        <v>672</v>
      </c>
      <c r="E79" s="87" t="s">
        <v>681</v>
      </c>
      <c r="F79" s="87" t="s">
        <v>36</v>
      </c>
      <c r="G79" s="92" t="s">
        <v>14</v>
      </c>
      <c r="H79" s="92" t="s">
        <v>624</v>
      </c>
      <c r="I79" s="88" t="s">
        <v>763</v>
      </c>
      <c r="J79" s="89">
        <v>83125000</v>
      </c>
      <c r="K79" s="89">
        <v>83125000</v>
      </c>
    </row>
    <row r="80" spans="1:11" ht="15.75" x14ac:dyDescent="0.2">
      <c r="A80" s="83" t="s">
        <v>11</v>
      </c>
      <c r="B80" s="83" t="s">
        <v>48</v>
      </c>
      <c r="C80" s="83" t="s">
        <v>692</v>
      </c>
      <c r="D80" s="83" t="s">
        <v>13</v>
      </c>
      <c r="E80" s="83" t="s">
        <v>11</v>
      </c>
      <c r="F80" s="83" t="s">
        <v>13</v>
      </c>
      <c r="G80" s="90" t="s">
        <v>14</v>
      </c>
      <c r="H80" s="90" t="s">
        <v>11</v>
      </c>
      <c r="I80" s="84" t="s">
        <v>694</v>
      </c>
      <c r="J80" s="91">
        <f>J81</f>
        <v>1187634</v>
      </c>
      <c r="K80" s="91">
        <f>K81</f>
        <v>500305.53</v>
      </c>
    </row>
    <row r="81" spans="1:13" s="356" customFormat="1" ht="31.5" x14ac:dyDescent="0.2">
      <c r="A81" s="93" t="s">
        <v>11</v>
      </c>
      <c r="B81" s="93" t="s">
        <v>48</v>
      </c>
      <c r="C81" s="93" t="s">
        <v>692</v>
      </c>
      <c r="D81" s="93" t="s">
        <v>25</v>
      </c>
      <c r="E81" s="93" t="s">
        <v>11</v>
      </c>
      <c r="F81" s="93" t="s">
        <v>36</v>
      </c>
      <c r="G81" s="94" t="s">
        <v>14</v>
      </c>
      <c r="H81" s="94" t="s">
        <v>624</v>
      </c>
      <c r="I81" s="95" t="s">
        <v>695</v>
      </c>
      <c r="J81" s="98">
        <f>J82</f>
        <v>1187634</v>
      </c>
      <c r="K81" s="98">
        <f>K82</f>
        <v>500305.53</v>
      </c>
    </row>
    <row r="82" spans="1:13" ht="31.5" x14ac:dyDescent="0.2">
      <c r="A82" s="87" t="s">
        <v>11</v>
      </c>
      <c r="B82" s="87" t="s">
        <v>48</v>
      </c>
      <c r="C82" s="87" t="s">
        <v>692</v>
      </c>
      <c r="D82" s="87" t="s">
        <v>25</v>
      </c>
      <c r="E82" s="87" t="s">
        <v>693</v>
      </c>
      <c r="F82" s="87" t="s">
        <v>36</v>
      </c>
      <c r="G82" s="92" t="s">
        <v>14</v>
      </c>
      <c r="H82" s="92" t="s">
        <v>624</v>
      </c>
      <c r="I82" s="88" t="s">
        <v>695</v>
      </c>
      <c r="J82" s="89">
        <f>J83+J84+J85+J86+J87+J88</f>
        <v>1187634</v>
      </c>
      <c r="K82" s="89">
        <f>K83+K84+K85+K86+K87+K88</f>
        <v>500305.53</v>
      </c>
    </row>
    <row r="83" spans="1:13" ht="63" hidden="1" x14ac:dyDescent="0.2">
      <c r="A83" s="87" t="s">
        <v>671</v>
      </c>
      <c r="B83" s="87" t="s">
        <v>48</v>
      </c>
      <c r="C83" s="87" t="s">
        <v>692</v>
      </c>
      <c r="D83" s="87" t="s">
        <v>25</v>
      </c>
      <c r="E83" s="87" t="s">
        <v>693</v>
      </c>
      <c r="F83" s="87" t="s">
        <v>36</v>
      </c>
      <c r="G83" s="92" t="s">
        <v>52</v>
      </c>
      <c r="H83" s="92" t="s">
        <v>624</v>
      </c>
      <c r="I83" s="88" t="s">
        <v>843</v>
      </c>
      <c r="J83" s="89">
        <v>284771</v>
      </c>
      <c r="K83" s="89">
        <v>0</v>
      </c>
    </row>
    <row r="84" spans="1:13" ht="63" hidden="1" x14ac:dyDescent="0.2">
      <c r="A84" s="87" t="s">
        <v>671</v>
      </c>
      <c r="B84" s="87" t="s">
        <v>48</v>
      </c>
      <c r="C84" s="87" t="s">
        <v>692</v>
      </c>
      <c r="D84" s="87" t="s">
        <v>25</v>
      </c>
      <c r="E84" s="87" t="s">
        <v>693</v>
      </c>
      <c r="F84" s="87" t="s">
        <v>36</v>
      </c>
      <c r="G84" s="92" t="s">
        <v>686</v>
      </c>
      <c r="H84" s="92" t="s">
        <v>624</v>
      </c>
      <c r="I84" s="88" t="s">
        <v>847</v>
      </c>
      <c r="J84" s="89">
        <v>261136</v>
      </c>
      <c r="K84" s="89">
        <v>0</v>
      </c>
    </row>
    <row r="85" spans="1:13" ht="63" hidden="1" x14ac:dyDescent="0.2">
      <c r="A85" s="87" t="s">
        <v>671</v>
      </c>
      <c r="B85" s="87" t="s">
        <v>48</v>
      </c>
      <c r="C85" s="87" t="s">
        <v>692</v>
      </c>
      <c r="D85" s="87" t="s">
        <v>25</v>
      </c>
      <c r="E85" s="87" t="s">
        <v>693</v>
      </c>
      <c r="F85" s="87" t="s">
        <v>36</v>
      </c>
      <c r="G85" s="92" t="s">
        <v>840</v>
      </c>
      <c r="H85" s="92" t="s">
        <v>624</v>
      </c>
      <c r="I85" s="88" t="s">
        <v>844</v>
      </c>
      <c r="J85" s="89">
        <v>271091</v>
      </c>
      <c r="K85" s="89">
        <v>0</v>
      </c>
    </row>
    <row r="86" spans="1:13" ht="63" x14ac:dyDescent="0.2">
      <c r="A86" s="87" t="s">
        <v>671</v>
      </c>
      <c r="B86" s="87" t="s">
        <v>48</v>
      </c>
      <c r="C86" s="87" t="s">
        <v>692</v>
      </c>
      <c r="D86" s="87" t="s">
        <v>25</v>
      </c>
      <c r="E86" s="87" t="s">
        <v>693</v>
      </c>
      <c r="F86" s="87" t="s">
        <v>36</v>
      </c>
      <c r="G86" s="92" t="s">
        <v>841</v>
      </c>
      <c r="H86" s="92" t="s">
        <v>624</v>
      </c>
      <c r="I86" s="88" t="s">
        <v>845</v>
      </c>
      <c r="J86" s="89">
        <v>93273</v>
      </c>
      <c r="K86" s="89">
        <v>88759.27</v>
      </c>
    </row>
    <row r="87" spans="1:13" ht="63" x14ac:dyDescent="0.2">
      <c r="A87" s="87" t="s">
        <v>671</v>
      </c>
      <c r="B87" s="87" t="s">
        <v>48</v>
      </c>
      <c r="C87" s="87" t="s">
        <v>692</v>
      </c>
      <c r="D87" s="87" t="s">
        <v>25</v>
      </c>
      <c r="E87" s="87" t="s">
        <v>693</v>
      </c>
      <c r="F87" s="87" t="s">
        <v>36</v>
      </c>
      <c r="G87" s="92" t="s">
        <v>842</v>
      </c>
      <c r="H87" s="92" t="s">
        <v>624</v>
      </c>
      <c r="I87" s="88" t="s">
        <v>846</v>
      </c>
      <c r="J87" s="89">
        <v>277363</v>
      </c>
      <c r="K87" s="89">
        <v>274942.68</v>
      </c>
    </row>
    <row r="88" spans="1:13" ht="63" x14ac:dyDescent="0.2">
      <c r="A88" s="87" t="s">
        <v>671</v>
      </c>
      <c r="B88" s="87" t="s">
        <v>48</v>
      </c>
      <c r="C88" s="87" t="s">
        <v>692</v>
      </c>
      <c r="D88" s="87" t="s">
        <v>25</v>
      </c>
      <c r="E88" s="87" t="s">
        <v>693</v>
      </c>
      <c r="F88" s="87" t="s">
        <v>36</v>
      </c>
      <c r="G88" s="92" t="s">
        <v>892</v>
      </c>
      <c r="H88" s="92" t="s">
        <v>624</v>
      </c>
      <c r="I88" s="88" t="s">
        <v>893</v>
      </c>
      <c r="J88" s="89">
        <v>0</v>
      </c>
      <c r="K88" s="89">
        <v>136603.57999999999</v>
      </c>
    </row>
    <row r="89" spans="1:13" s="360" customFormat="1" ht="15.75" x14ac:dyDescent="0.2">
      <c r="A89" s="87"/>
      <c r="B89" s="87"/>
      <c r="C89" s="87"/>
      <c r="D89" s="87"/>
      <c r="E89" s="87"/>
      <c r="F89" s="87"/>
      <c r="G89" s="92"/>
      <c r="H89" s="92"/>
      <c r="I89" s="84" t="s">
        <v>61</v>
      </c>
      <c r="J89" s="91">
        <f>J10+J47</f>
        <v>459139036</v>
      </c>
      <c r="K89" s="91">
        <f>K10+K47</f>
        <v>242909643.07999998</v>
      </c>
      <c r="M89" s="361"/>
    </row>
  </sheetData>
  <mergeCells count="9">
    <mergeCell ref="K8:K9"/>
    <mergeCell ref="G1:K1"/>
    <mergeCell ref="G2:K2"/>
    <mergeCell ref="G3:K3"/>
    <mergeCell ref="G4:K4"/>
    <mergeCell ref="A6:K6"/>
    <mergeCell ref="J8:J9"/>
    <mergeCell ref="I8:I9"/>
    <mergeCell ref="A8:H8"/>
  </mergeCells>
  <printOptions gridLinesSet="0"/>
  <pageMargins left="0.70866141732283472" right="0.70866141732283472" top="0.74803149606299213" bottom="0.74803149606299213" header="0.51181102362204722" footer="0.51181102362204722"/>
  <pageSetup paperSize="9" scale="86" fitToHeight="5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9"/>
  <sheetViews>
    <sheetView showGridLines="0" view="pageBreakPreview" zoomScale="115" zoomScaleSheetLayoutView="115" workbookViewId="0">
      <selection activeCell="B8" sqref="B8"/>
    </sheetView>
  </sheetViews>
  <sheetFormatPr defaultColWidth="11.85546875" defaultRowHeight="15" x14ac:dyDescent="0.25"/>
  <cols>
    <col min="1" max="1" width="6.42578125" style="327" customWidth="1"/>
    <col min="2" max="2" width="59.42578125" style="164" customWidth="1"/>
    <col min="3" max="3" width="15.5703125" style="326" hidden="1" customWidth="1"/>
    <col min="4" max="4" width="15.42578125" style="326" customWidth="1"/>
    <col min="5" max="5" width="10.28515625" style="326" hidden="1" customWidth="1"/>
    <col min="6" max="6" width="43.42578125" style="326" customWidth="1"/>
    <col min="7" max="16384" width="11.85546875" style="326"/>
  </cols>
  <sheetData>
    <row r="1" spans="1:5" s="164" customFormat="1" ht="15.75" x14ac:dyDescent="0.25">
      <c r="A1" s="436" t="s">
        <v>63</v>
      </c>
      <c r="B1" s="436"/>
      <c r="C1" s="436"/>
      <c r="D1" s="436"/>
      <c r="E1" s="437"/>
    </row>
    <row r="2" spans="1:5" s="164" customFormat="1" ht="15.75" x14ac:dyDescent="0.25">
      <c r="A2" s="438" t="s">
        <v>894</v>
      </c>
      <c r="B2" s="438"/>
      <c r="C2" s="438"/>
      <c r="D2" s="439"/>
      <c r="E2" s="439"/>
    </row>
    <row r="3" spans="1:5" s="164" customFormat="1" ht="15.75" x14ac:dyDescent="0.25">
      <c r="A3" s="438" t="s">
        <v>895</v>
      </c>
      <c r="B3" s="438"/>
      <c r="C3" s="438"/>
      <c r="D3" s="439"/>
      <c r="E3" s="439"/>
    </row>
    <row r="4" spans="1:5" s="324" customFormat="1" ht="15.75" x14ac:dyDescent="0.25">
      <c r="A4" s="438" t="s">
        <v>925</v>
      </c>
      <c r="B4" s="438"/>
      <c r="C4" s="438"/>
      <c r="D4" s="438"/>
      <c r="E4" s="438"/>
    </row>
    <row r="5" spans="1:5" s="164" customFormat="1" x14ac:dyDescent="0.25">
      <c r="A5" s="162"/>
      <c r="B5" s="163"/>
    </row>
    <row r="6" spans="1:5" s="164" customFormat="1" ht="48" customHeight="1" x14ac:dyDescent="0.25">
      <c r="A6" s="448" t="s">
        <v>900</v>
      </c>
      <c r="B6" s="448"/>
      <c r="C6" s="448"/>
      <c r="D6" s="448"/>
      <c r="E6" s="448"/>
    </row>
    <row r="7" spans="1:5" s="164" customFormat="1" ht="21.75" customHeight="1" x14ac:dyDescent="0.25">
      <c r="A7" s="165"/>
    </row>
    <row r="8" spans="1:5" s="321" customFormat="1" ht="56.25" customHeight="1" x14ac:dyDescent="0.2">
      <c r="A8" s="296" t="s">
        <v>64</v>
      </c>
      <c r="B8" s="338" t="s">
        <v>65</v>
      </c>
      <c r="C8" s="352" t="s">
        <v>896</v>
      </c>
      <c r="D8" s="352" t="s">
        <v>901</v>
      </c>
      <c r="E8" s="338" t="s">
        <v>897</v>
      </c>
    </row>
    <row r="9" spans="1:5" s="325" customFormat="1" ht="14.25" x14ac:dyDescent="0.2">
      <c r="A9" s="341">
        <v>100</v>
      </c>
      <c r="B9" s="342" t="s">
        <v>67</v>
      </c>
      <c r="C9" s="328">
        <f>SUM(C10:C22)</f>
        <v>31696250</v>
      </c>
      <c r="D9" s="328">
        <f t="shared" ref="D9" si="0">SUM(D10:D22)</f>
        <v>24346000.480000004</v>
      </c>
      <c r="E9" s="395">
        <f>D9/C9*100</f>
        <v>76.810349741688697</v>
      </c>
    </row>
    <row r="10" spans="1:5" s="325" customFormat="1" hidden="1" x14ac:dyDescent="0.25">
      <c r="A10" s="343">
        <v>101</v>
      </c>
      <c r="B10" s="322" t="s">
        <v>68</v>
      </c>
      <c r="C10" s="329">
        <f>SUMIF(Пр6!C10:C262,101,Пр6!G10:G262)</f>
        <v>0</v>
      </c>
      <c r="D10" s="329">
        <f>SUMIF(Пр6!D10:D262,101,Пр6!H10:H262)</f>
        <v>0</v>
      </c>
      <c r="E10" s="395" t="e">
        <f t="shared" ref="E10:E73" si="1">D10/C10*100</f>
        <v>#DIV/0!</v>
      </c>
    </row>
    <row r="11" spans="1:5" s="325" customFormat="1" ht="30" hidden="1" x14ac:dyDescent="0.25">
      <c r="A11" s="343">
        <v>102</v>
      </c>
      <c r="B11" s="323" t="s">
        <v>69</v>
      </c>
      <c r="C11" s="329">
        <f>SUMIF(Пр6!C7:C280,102,Пр6!G7:G280)</f>
        <v>0</v>
      </c>
      <c r="D11" s="329">
        <f>SUMIF(Пр6!D7:D280,102,Пр6!H7:H280)</f>
        <v>0</v>
      </c>
      <c r="E11" s="395" t="e">
        <f t="shared" si="1"/>
        <v>#DIV/0!</v>
      </c>
    </row>
    <row r="12" spans="1:5" s="325" customFormat="1" ht="45" x14ac:dyDescent="0.25">
      <c r="A12" s="343">
        <v>103</v>
      </c>
      <c r="B12" s="323" t="s">
        <v>70</v>
      </c>
      <c r="C12" s="329">
        <f>SUMIF(Пр6!C8:C281,103,Пр6!G8:G281)</f>
        <v>1024716</v>
      </c>
      <c r="D12" s="329">
        <f>SUMIF(Пр6!$C7:$C280,103,Пр6!H7:H280)</f>
        <v>746513.02</v>
      </c>
      <c r="E12" s="398">
        <f t="shared" si="1"/>
        <v>72.850723517540473</v>
      </c>
    </row>
    <row r="13" spans="1:5" ht="45" hidden="1" x14ac:dyDescent="0.25">
      <c r="A13" s="343">
        <v>104</v>
      </c>
      <c r="B13" s="323" t="s">
        <v>71</v>
      </c>
      <c r="C13" s="329">
        <f>SUMIF(Пр6!$C9:$C282,104,Пр6!G9:G282)</f>
        <v>0</v>
      </c>
      <c r="D13" s="329">
        <f>SUMIF(Пр6!$C9:$C282,104,Пр6!H9:H282)</f>
        <v>0</v>
      </c>
      <c r="E13" s="398" t="e">
        <f t="shared" si="1"/>
        <v>#DIV/0!</v>
      </c>
    </row>
    <row r="14" spans="1:5" hidden="1" x14ac:dyDescent="0.25">
      <c r="A14" s="343">
        <v>105</v>
      </c>
      <c r="B14" s="323" t="s">
        <v>72</v>
      </c>
      <c r="C14" s="329">
        <f>SUMIF(Пр6!C7:C262,105,Пр6!G7:G262)</f>
        <v>0</v>
      </c>
      <c r="D14" s="329">
        <f>SUMIF(Пр6!C10:C283,105,Пр6!H10:H283)</f>
        <v>0</v>
      </c>
      <c r="E14" s="398" t="e">
        <f t="shared" si="1"/>
        <v>#DIV/0!</v>
      </c>
    </row>
    <row r="15" spans="1:5" ht="33.75" customHeight="1" x14ac:dyDescent="0.25">
      <c r="A15" s="343">
        <v>106</v>
      </c>
      <c r="B15" s="323" t="s">
        <v>73</v>
      </c>
      <c r="C15" s="329">
        <f>SUMIF(Пр6!$C10:$C283,106,Пр6!G10:G283)</f>
        <v>53095</v>
      </c>
      <c r="D15" s="329">
        <f>SUMIF(Пр6!$C10:$C283,106,Пр6!H10:H283)</f>
        <v>53095</v>
      </c>
      <c r="E15" s="398">
        <f t="shared" si="1"/>
        <v>100</v>
      </c>
    </row>
    <row r="16" spans="1:5" hidden="1" x14ac:dyDescent="0.25">
      <c r="A16" s="343">
        <v>107</v>
      </c>
      <c r="B16" s="323" t="s">
        <v>74</v>
      </c>
      <c r="C16" s="329">
        <f>SUMIF(Пр6!C10:C262,107,Пр6!G10:G262)</f>
        <v>0</v>
      </c>
      <c r="D16" s="329">
        <f>SUMIF(Пр6!D10:D262,107,Пр6!H10:H262)</f>
        <v>0</v>
      </c>
      <c r="E16" s="398" t="e">
        <f t="shared" si="1"/>
        <v>#DIV/0!</v>
      </c>
    </row>
    <row r="17" spans="1:5" s="325" customFormat="1" hidden="1" x14ac:dyDescent="0.25">
      <c r="A17" s="343">
        <v>108</v>
      </c>
      <c r="B17" s="323" t="s">
        <v>75</v>
      </c>
      <c r="C17" s="329">
        <f>SUMIF(Пр6!C10:C262,108,Пр6!G10:G262)</f>
        <v>0</v>
      </c>
      <c r="D17" s="329">
        <f>SUMIF(Пр6!D10:D262,108,Пр6!H10:H262)</f>
        <v>0</v>
      </c>
      <c r="E17" s="398" t="e">
        <f t="shared" si="1"/>
        <v>#DIV/0!</v>
      </c>
    </row>
    <row r="18" spans="1:5" hidden="1" x14ac:dyDescent="0.25">
      <c r="A18" s="343">
        <v>109</v>
      </c>
      <c r="B18" s="323" t="s">
        <v>76</v>
      </c>
      <c r="C18" s="329">
        <f>SUMIF(Пр6!C10:C262,109,Пр6!G10:G262)</f>
        <v>0</v>
      </c>
      <c r="D18" s="329">
        <f>SUMIF(Пр6!D10:D262,109,Пр6!H10:H262)</f>
        <v>0</v>
      </c>
      <c r="E18" s="398" t="e">
        <f t="shared" si="1"/>
        <v>#DIV/0!</v>
      </c>
    </row>
    <row r="19" spans="1:5" hidden="1" x14ac:dyDescent="0.25">
      <c r="A19" s="343">
        <v>110</v>
      </c>
      <c r="B19" s="323" t="s">
        <v>77</v>
      </c>
      <c r="C19" s="329">
        <f>SUMIF(Пр6!C10:C262,110,Пр6!G10:G262)</f>
        <v>0</v>
      </c>
      <c r="D19" s="329">
        <f>SUMIF(Пр6!D10:D262,110,Пр6!H10:H262)</f>
        <v>0</v>
      </c>
      <c r="E19" s="398" t="e">
        <f t="shared" si="1"/>
        <v>#DIV/0!</v>
      </c>
    </row>
    <row r="20" spans="1:5" s="325" customFormat="1" hidden="1" x14ac:dyDescent="0.25">
      <c r="A20" s="343">
        <v>111</v>
      </c>
      <c r="B20" s="323" t="s">
        <v>78</v>
      </c>
      <c r="C20" s="329">
        <f>SUMIF(Пр6!$C10:$C262,111,Пр6!G10:G262)</f>
        <v>0</v>
      </c>
      <c r="D20" s="329">
        <f>SUMIF(Пр6!$C10:$C262,111,Пр6!H10:H262)</f>
        <v>0</v>
      </c>
      <c r="E20" s="398" t="e">
        <f t="shared" si="1"/>
        <v>#DIV/0!</v>
      </c>
    </row>
    <row r="21" spans="1:5" ht="30" hidden="1" x14ac:dyDescent="0.25">
      <c r="A21" s="343">
        <v>112</v>
      </c>
      <c r="B21" s="323" t="s">
        <v>79</v>
      </c>
      <c r="C21" s="329">
        <f>SUMIF(Пр6!C10:C262,112,Пр6!G10:G262)</f>
        <v>0</v>
      </c>
      <c r="D21" s="329">
        <f>SUMIF(Пр6!D10:D262,112,Пр6!H10:H262)</f>
        <v>0</v>
      </c>
      <c r="E21" s="398" t="e">
        <f t="shared" si="1"/>
        <v>#DIV/0!</v>
      </c>
    </row>
    <row r="22" spans="1:5" x14ac:dyDescent="0.25">
      <c r="A22" s="343">
        <v>113</v>
      </c>
      <c r="B22" s="323" t="s">
        <v>80</v>
      </c>
      <c r="C22" s="329">
        <f>SUMIF(Пр6!$C10:$C280,113,Пр6!G10:G280)</f>
        <v>30618439</v>
      </c>
      <c r="D22" s="329">
        <f>SUMIF(Пр6!$C10:$C280,113,Пр6!H10:H280)</f>
        <v>23546392.460000005</v>
      </c>
      <c r="E22" s="398">
        <f t="shared" si="1"/>
        <v>76.902654834885624</v>
      </c>
    </row>
    <row r="23" spans="1:5" hidden="1" x14ac:dyDescent="0.25">
      <c r="A23" s="341">
        <v>200</v>
      </c>
      <c r="B23" s="330" t="s">
        <v>81</v>
      </c>
      <c r="C23" s="328">
        <f>SUM(C24:C32)</f>
        <v>0</v>
      </c>
      <c r="D23" s="328">
        <f t="shared" ref="D23" si="2">SUM(D24:D32)</f>
        <v>0</v>
      </c>
      <c r="E23" s="395" t="e">
        <f t="shared" si="1"/>
        <v>#DIV/0!</v>
      </c>
    </row>
    <row r="24" spans="1:5" hidden="1" x14ac:dyDescent="0.25">
      <c r="A24" s="343">
        <v>201</v>
      </c>
      <c r="B24" s="323" t="s">
        <v>82</v>
      </c>
      <c r="C24" s="329">
        <f>SUMIF(Пр6!C10:C262,201,Пр6!G10:G262)</f>
        <v>0</v>
      </c>
      <c r="D24" s="329">
        <f>SUMIF(Пр6!D10:D262,201,Пр6!H10:H262)</f>
        <v>0</v>
      </c>
      <c r="E24" s="395" t="e">
        <f t="shared" si="1"/>
        <v>#DIV/0!</v>
      </c>
    </row>
    <row r="25" spans="1:5" s="325" customFormat="1" ht="30" hidden="1" x14ac:dyDescent="0.25">
      <c r="A25" s="343">
        <v>202</v>
      </c>
      <c r="B25" s="323" t="s">
        <v>83</v>
      </c>
      <c r="C25" s="329">
        <f>SUMIF(Пр6!C10:C262,202,Пр6!G10:G262)</f>
        <v>0</v>
      </c>
      <c r="D25" s="329">
        <f>SUMIF(Пр6!D10:D262,202,Пр6!H10:H262)</f>
        <v>0</v>
      </c>
      <c r="E25" s="395" t="e">
        <f t="shared" si="1"/>
        <v>#DIV/0!</v>
      </c>
    </row>
    <row r="26" spans="1:5" s="325" customFormat="1" hidden="1" x14ac:dyDescent="0.25">
      <c r="A26" s="343">
        <v>203</v>
      </c>
      <c r="B26" s="323" t="s">
        <v>84</v>
      </c>
      <c r="C26" s="329">
        <f>SUMIF(Пр6!$C10:$C262,203,Пр6!G10:G262)</f>
        <v>0</v>
      </c>
      <c r="D26" s="329">
        <f>SUMIF(Пр6!$C10:$C262,203,Пр6!H10:H262)</f>
        <v>0</v>
      </c>
      <c r="E26" s="395" t="e">
        <f t="shared" si="1"/>
        <v>#DIV/0!</v>
      </c>
    </row>
    <row r="27" spans="1:5" hidden="1" x14ac:dyDescent="0.25">
      <c r="A27" s="343">
        <v>204</v>
      </c>
      <c r="B27" s="323" t="s">
        <v>85</v>
      </c>
      <c r="C27" s="329">
        <f>SUMIF(Пр6!C10:C262,204,Пр6!G10:G262)</f>
        <v>0</v>
      </c>
      <c r="D27" s="329">
        <f>SUMIF(Пр6!D10:D262,204,Пр6!H10:H262)</f>
        <v>0</v>
      </c>
      <c r="E27" s="395" t="e">
        <f t="shared" si="1"/>
        <v>#DIV/0!</v>
      </c>
    </row>
    <row r="28" spans="1:5" ht="30" hidden="1" x14ac:dyDescent="0.25">
      <c r="A28" s="343">
        <v>205</v>
      </c>
      <c r="B28" s="323" t="s">
        <v>86</v>
      </c>
      <c r="C28" s="329">
        <f>SUMIF(Пр6!C10:C262,205,Пр6!G10:G262)</f>
        <v>0</v>
      </c>
      <c r="D28" s="329">
        <f>SUMIF(Пр6!D10:D262,205,Пр6!H10:H262)</f>
        <v>0</v>
      </c>
      <c r="E28" s="395" t="e">
        <f t="shared" si="1"/>
        <v>#DIV/0!</v>
      </c>
    </row>
    <row r="29" spans="1:5" hidden="1" x14ac:dyDescent="0.25">
      <c r="A29" s="343">
        <v>206</v>
      </c>
      <c r="B29" s="323" t="s">
        <v>87</v>
      </c>
      <c r="C29" s="329">
        <f>SUMIF(Пр6!C10:C262,206,Пр6!G10:G262)</f>
        <v>0</v>
      </c>
      <c r="D29" s="329">
        <f>SUMIF(Пр6!D10:D262,206,Пр6!H10:H262)</f>
        <v>0</v>
      </c>
      <c r="E29" s="395" t="e">
        <f t="shared" si="1"/>
        <v>#DIV/0!</v>
      </c>
    </row>
    <row r="30" spans="1:5" s="325" customFormat="1" ht="30" hidden="1" x14ac:dyDescent="0.25">
      <c r="A30" s="343">
        <v>207</v>
      </c>
      <c r="B30" s="323" t="s">
        <v>88</v>
      </c>
      <c r="C30" s="329">
        <f>SUMIF(Пр6!C10:C262,207,Пр6!G10:G262)</f>
        <v>0</v>
      </c>
      <c r="D30" s="329">
        <f>SUMIF(Пр6!D10:D262,207,Пр6!H10:H262)</f>
        <v>0</v>
      </c>
      <c r="E30" s="395" t="e">
        <f t="shared" si="1"/>
        <v>#DIV/0!</v>
      </c>
    </row>
    <row r="31" spans="1:5" ht="30" hidden="1" x14ac:dyDescent="0.25">
      <c r="A31" s="343">
        <v>208</v>
      </c>
      <c r="B31" s="323" t="s">
        <v>89</v>
      </c>
      <c r="C31" s="329">
        <f>SUMIF(Пр6!C10:C262,208,Пр6!G10:G262)</f>
        <v>0</v>
      </c>
      <c r="D31" s="329">
        <f>SUMIF(Пр6!D10:D262,208,Пр6!H10:H262)</f>
        <v>0</v>
      </c>
      <c r="E31" s="395" t="e">
        <f t="shared" si="1"/>
        <v>#DIV/0!</v>
      </c>
    </row>
    <row r="32" spans="1:5" hidden="1" x14ac:dyDescent="0.25">
      <c r="A32" s="343">
        <v>209</v>
      </c>
      <c r="B32" s="323" t="s">
        <v>90</v>
      </c>
      <c r="C32" s="329">
        <f>SUMIF(Пр6!C10:C262,209,Пр6!G10:G262)</f>
        <v>0</v>
      </c>
      <c r="D32" s="329">
        <f>SUMIF(Пр6!D10:D262,209,Пр6!H10:H262)</f>
        <v>0</v>
      </c>
      <c r="E32" s="395" t="e">
        <f t="shared" si="1"/>
        <v>#DIV/0!</v>
      </c>
    </row>
    <row r="33" spans="1:5" ht="28.5" x14ac:dyDescent="0.25">
      <c r="A33" s="341">
        <v>300</v>
      </c>
      <c r="B33" s="330" t="s">
        <v>91</v>
      </c>
      <c r="C33" s="328">
        <f>SUM(C34:C45)</f>
        <v>3022975</v>
      </c>
      <c r="D33" s="328">
        <f t="shared" ref="D33" si="3">SUM(D34:D45)</f>
        <v>1914204.75</v>
      </c>
      <c r="E33" s="395">
        <f t="shared" si="1"/>
        <v>63.32188489815497</v>
      </c>
    </row>
    <row r="34" spans="1:5" hidden="1" x14ac:dyDescent="0.25">
      <c r="A34" s="343">
        <v>303</v>
      </c>
      <c r="B34" s="322" t="s">
        <v>854</v>
      </c>
      <c r="C34" s="329">
        <f>SUMIF(Пр6!C10:C262,303,Пр6!G10:G262)</f>
        <v>0</v>
      </c>
      <c r="D34" s="329">
        <f>SUMIF(Пр6!D10:D262,303,Пр6!H10:H262)</f>
        <v>0</v>
      </c>
      <c r="E34" s="395" t="e">
        <f t="shared" si="1"/>
        <v>#DIV/0!</v>
      </c>
    </row>
    <row r="35" spans="1:5" s="325" customFormat="1" hidden="1" x14ac:dyDescent="0.25">
      <c r="A35" s="343">
        <v>304</v>
      </c>
      <c r="B35" s="322" t="s">
        <v>92</v>
      </c>
      <c r="C35" s="329">
        <f>SUMIF(Пр6!C10:C262,304,Пр6!G10:G262)</f>
        <v>0</v>
      </c>
      <c r="D35" s="329">
        <f>SUMIF(Пр6!D10:D262,304,Пр6!H10:H262)</f>
        <v>0</v>
      </c>
      <c r="E35" s="395" t="e">
        <f t="shared" si="1"/>
        <v>#DIV/0!</v>
      </c>
    </row>
    <row r="36" spans="1:5" hidden="1" x14ac:dyDescent="0.25">
      <c r="A36" s="343">
        <v>305</v>
      </c>
      <c r="B36" s="322" t="s">
        <v>93</v>
      </c>
      <c r="C36" s="329">
        <f>SUMIF(Пр6!C10:C262,305,Пр6!G10:G262)</f>
        <v>0</v>
      </c>
      <c r="D36" s="329">
        <f>SUMIF(Пр6!D10:D262,305,Пр6!H10:H262)</f>
        <v>0</v>
      </c>
      <c r="E36" s="395" t="e">
        <f t="shared" si="1"/>
        <v>#DIV/0!</v>
      </c>
    </row>
    <row r="37" spans="1:5" hidden="1" x14ac:dyDescent="0.25">
      <c r="A37" s="343">
        <v>306</v>
      </c>
      <c r="B37" s="322" t="s">
        <v>94</v>
      </c>
      <c r="C37" s="329">
        <f>SUMIF(Пр6!C10:C262,306,Пр6!G10:G262)</f>
        <v>0</v>
      </c>
      <c r="D37" s="329">
        <f>SUMIF(Пр6!D10:D262,306,Пр6!H10:H262)</f>
        <v>0</v>
      </c>
      <c r="E37" s="395" t="e">
        <f t="shared" si="1"/>
        <v>#DIV/0!</v>
      </c>
    </row>
    <row r="38" spans="1:5" hidden="1" x14ac:dyDescent="0.25">
      <c r="A38" s="343">
        <v>307</v>
      </c>
      <c r="B38" s="322" t="s">
        <v>95</v>
      </c>
      <c r="C38" s="329">
        <f>SUMIF(Пр6!C10:C262,307,Пр6!G10:G262)</f>
        <v>0</v>
      </c>
      <c r="D38" s="329">
        <f>SUMIF(Пр6!D10:D262,307,Пр6!H10:H262)</f>
        <v>0</v>
      </c>
      <c r="E38" s="395" t="e">
        <f t="shared" si="1"/>
        <v>#DIV/0!</v>
      </c>
    </row>
    <row r="39" spans="1:5" s="325" customFormat="1" ht="30" hidden="1" x14ac:dyDescent="0.25">
      <c r="A39" s="343">
        <v>308</v>
      </c>
      <c r="B39" s="323" t="s">
        <v>96</v>
      </c>
      <c r="C39" s="329">
        <f>SUMIF(Пр6!C10:C262,308,Пр6!G10:G262)</f>
        <v>0</v>
      </c>
      <c r="D39" s="329">
        <f>SUMIF(Пр6!D10:D262,308,Пр6!H10:H262)</f>
        <v>0</v>
      </c>
      <c r="E39" s="395" t="e">
        <f t="shared" si="1"/>
        <v>#DIV/0!</v>
      </c>
    </row>
    <row r="40" spans="1:5" hidden="1" x14ac:dyDescent="0.25">
      <c r="A40" s="343">
        <v>309</v>
      </c>
      <c r="B40" s="322" t="s">
        <v>855</v>
      </c>
      <c r="C40" s="329">
        <f>SUMIF(Пр6!C10:C262,309,Пр6!G10:G262)</f>
        <v>0</v>
      </c>
      <c r="D40" s="329">
        <f>SUMIF(Пр6!$C10:$C262,309,Пр6!H10:H262)</f>
        <v>0</v>
      </c>
      <c r="E40" s="395" t="e">
        <f t="shared" si="1"/>
        <v>#DIV/0!</v>
      </c>
    </row>
    <row r="41" spans="1:5" ht="30" x14ac:dyDescent="0.25">
      <c r="A41" s="343">
        <v>310</v>
      </c>
      <c r="B41" s="322" t="s">
        <v>856</v>
      </c>
      <c r="C41" s="329">
        <f>SUMIF(Пр6!C10:C262,310,Пр6!G10:G262)</f>
        <v>2842975</v>
      </c>
      <c r="D41" s="329">
        <f>SUMIF(Пр6!$C36:$C309,310,Пр6!H36:H309)</f>
        <v>1783083.95</v>
      </c>
      <c r="E41" s="398">
        <f t="shared" si="1"/>
        <v>62.718945822597803</v>
      </c>
    </row>
    <row r="42" spans="1:5" hidden="1" x14ac:dyDescent="0.25">
      <c r="A42" s="343">
        <v>311</v>
      </c>
      <c r="B42" s="322" t="s">
        <v>97</v>
      </c>
      <c r="C42" s="329">
        <f>SUMIF(Пр6!C10:C262,311,Пр6!G10:G262)</f>
        <v>0</v>
      </c>
      <c r="D42" s="329">
        <f>SUMIF(Пр6!$C69:$C310,314,Пр6!H69:H310)</f>
        <v>0</v>
      </c>
      <c r="E42" s="398" t="e">
        <f t="shared" si="1"/>
        <v>#DIV/0!</v>
      </c>
    </row>
    <row r="43" spans="1:5" ht="30" hidden="1" x14ac:dyDescent="0.25">
      <c r="A43" s="343">
        <v>312</v>
      </c>
      <c r="B43" s="322" t="s">
        <v>98</v>
      </c>
      <c r="C43" s="329">
        <f>SUMIF(Пр6!C10:C262,312,Пр6!G10:G262)</f>
        <v>0</v>
      </c>
      <c r="D43" s="329">
        <f>SUMIF(Пр6!$C70:$C311,314,Пр6!H70:H311)</f>
        <v>0</v>
      </c>
      <c r="E43" s="398" t="e">
        <f t="shared" si="1"/>
        <v>#DIV/0!</v>
      </c>
    </row>
    <row r="44" spans="1:5" ht="30" hidden="1" x14ac:dyDescent="0.25">
      <c r="A44" s="343">
        <v>313</v>
      </c>
      <c r="B44" s="322" t="s">
        <v>99</v>
      </c>
      <c r="C44" s="329">
        <f>SUMIF(Пр6!C10:C262,313,Пр6!G10:G262)</f>
        <v>0</v>
      </c>
      <c r="D44" s="329">
        <f>SUMIF(Пр6!$C71:$C312,314,Пр6!H71:H312)</f>
        <v>0</v>
      </c>
      <c r="E44" s="398" t="e">
        <f t="shared" si="1"/>
        <v>#DIV/0!</v>
      </c>
    </row>
    <row r="45" spans="1:5" ht="30" x14ac:dyDescent="0.25">
      <c r="A45" s="343">
        <v>314</v>
      </c>
      <c r="B45" s="323" t="s">
        <v>99</v>
      </c>
      <c r="C45" s="329">
        <f>SUMIF(Пр6!C10:C262,314,Пр6!G10:G262)</f>
        <v>180000</v>
      </c>
      <c r="D45" s="329">
        <f>SUMIF(Пр6!$C40:$C313,314,Пр6!H40:H313)</f>
        <v>131120.79999999999</v>
      </c>
      <c r="E45" s="398">
        <f t="shared" si="1"/>
        <v>72.844888888888875</v>
      </c>
    </row>
    <row r="46" spans="1:5" x14ac:dyDescent="0.25">
      <c r="A46" s="341">
        <v>400</v>
      </c>
      <c r="B46" s="330" t="s">
        <v>100</v>
      </c>
      <c r="C46" s="328">
        <f>C48+C51+C54+C55+C58+C52</f>
        <v>190403779</v>
      </c>
      <c r="D46" s="328">
        <f t="shared" ref="D46" si="4">D48+D51+D54+D55+D58+D52</f>
        <v>47519024.829999998</v>
      </c>
      <c r="E46" s="395">
        <f t="shared" si="1"/>
        <v>24.956975685865981</v>
      </c>
    </row>
    <row r="47" spans="1:5" hidden="1" x14ac:dyDescent="0.25">
      <c r="A47" s="343">
        <v>401</v>
      </c>
      <c r="B47" s="344" t="s">
        <v>101</v>
      </c>
      <c r="C47" s="329">
        <f>SUMIF(Пр6!C10:C262,401,Пр6!G10:G262)</f>
        <v>0</v>
      </c>
      <c r="D47" s="329">
        <f>SUMIF(Пр6!D10:D262,401,Пр6!H10:H262)</f>
        <v>0</v>
      </c>
      <c r="E47" s="395" t="e">
        <f t="shared" si="1"/>
        <v>#DIV/0!</v>
      </c>
    </row>
    <row r="48" spans="1:5" hidden="1" x14ac:dyDescent="0.25">
      <c r="A48" s="343">
        <v>402</v>
      </c>
      <c r="B48" s="322" t="s">
        <v>102</v>
      </c>
      <c r="C48" s="329">
        <f>SUMIF(Пр6!$C10:$C262,402,Пр6!G10:G262)</f>
        <v>0</v>
      </c>
      <c r="D48" s="329">
        <f>SUMIF(Пр6!$C10:$C262,402,Пр6!H10:H262)</f>
        <v>0</v>
      </c>
      <c r="E48" s="395" t="e">
        <f t="shared" si="1"/>
        <v>#DIV/0!</v>
      </c>
    </row>
    <row r="49" spans="1:5" hidden="1" x14ac:dyDescent="0.25">
      <c r="A49" s="343">
        <v>403</v>
      </c>
      <c r="B49" s="323" t="s">
        <v>103</v>
      </c>
      <c r="C49" s="329">
        <f>SUMIF(Пр6!C10:C262,403,Пр6!G10:G262)</f>
        <v>0</v>
      </c>
      <c r="D49" s="329">
        <f>SUMIF(Пр6!D10:D262,403,Пр6!H10:H262)</f>
        <v>0</v>
      </c>
      <c r="E49" s="395" t="e">
        <f t="shared" si="1"/>
        <v>#DIV/0!</v>
      </c>
    </row>
    <row r="50" spans="1:5" hidden="1" x14ac:dyDescent="0.25">
      <c r="A50" s="343">
        <v>404</v>
      </c>
      <c r="B50" s="323" t="s">
        <v>104</v>
      </c>
      <c r="C50" s="329">
        <f>SUMIF(Пр6!C10:C262,404,Пр6!G10:G262)</f>
        <v>0</v>
      </c>
      <c r="D50" s="329">
        <f>SUMIF(Пр6!D10:D262,404,Пр6!H10:H262)</f>
        <v>0</v>
      </c>
      <c r="E50" s="395" t="e">
        <f t="shared" si="1"/>
        <v>#DIV/0!</v>
      </c>
    </row>
    <row r="51" spans="1:5" hidden="1" x14ac:dyDescent="0.25">
      <c r="A51" s="343">
        <v>405</v>
      </c>
      <c r="B51" s="323" t="s">
        <v>105</v>
      </c>
      <c r="C51" s="329">
        <f>SUMIF(Пр6!$C10:$C262,405,Пр6!G10:G262)</f>
        <v>0</v>
      </c>
      <c r="D51" s="329">
        <f>SUMIF(Пр6!$C10:$C262,405,Пр6!H10:H262)</f>
        <v>0</v>
      </c>
      <c r="E51" s="395" t="e">
        <f t="shared" si="1"/>
        <v>#DIV/0!</v>
      </c>
    </row>
    <row r="52" spans="1:5" hidden="1" x14ac:dyDescent="0.25">
      <c r="A52" s="343">
        <v>406</v>
      </c>
      <c r="B52" s="323" t="s">
        <v>106</v>
      </c>
      <c r="C52" s="329">
        <f>SUMIF(Пр6!$C10:$C262,406,Пр6!G10:G262)</f>
        <v>0</v>
      </c>
      <c r="D52" s="329">
        <f>SUMIF(Пр6!$C10:$C262,406,Пр6!H10:H262)</f>
        <v>0</v>
      </c>
      <c r="E52" s="395" t="e">
        <f t="shared" si="1"/>
        <v>#DIV/0!</v>
      </c>
    </row>
    <row r="53" spans="1:5" hidden="1" x14ac:dyDescent="0.25">
      <c r="A53" s="343">
        <v>407</v>
      </c>
      <c r="B53" s="323" t="s">
        <v>107</v>
      </c>
      <c r="C53" s="329">
        <f>SUMIF(Пр6!C10:C262,407,Пр6!G10:G262)</f>
        <v>0</v>
      </c>
      <c r="D53" s="329">
        <f>SUMIF(Пр6!D10:D262,407,Пр6!H10:H262)</f>
        <v>0</v>
      </c>
      <c r="E53" s="395" t="e">
        <f t="shared" si="1"/>
        <v>#DIV/0!</v>
      </c>
    </row>
    <row r="54" spans="1:5" x14ac:dyDescent="0.25">
      <c r="A54" s="343">
        <v>408</v>
      </c>
      <c r="B54" s="323" t="s">
        <v>108</v>
      </c>
      <c r="C54" s="329">
        <f>SUMIF(Пр6!$C10:$C262,408,Пр6!G10:G262)</f>
        <v>755130</v>
      </c>
      <c r="D54" s="329">
        <f>SUMIF(Пр6!$C10:$C262,408,Пр6!H10:H262)</f>
        <v>465668.96</v>
      </c>
      <c r="E54" s="398">
        <f t="shared" si="1"/>
        <v>61.667389720975194</v>
      </c>
    </row>
    <row r="55" spans="1:5" x14ac:dyDescent="0.25">
      <c r="A55" s="343">
        <v>409</v>
      </c>
      <c r="B55" s="323" t="s">
        <v>109</v>
      </c>
      <c r="C55" s="329">
        <f>SUMIF(Пр6!$C10:$C262,409,Пр6!G10:G262)</f>
        <v>189148649</v>
      </c>
      <c r="D55" s="329">
        <f>SUMIF(Пр6!$C10:$C262,409,Пр6!H10:H262)</f>
        <v>46995036.989999995</v>
      </c>
      <c r="E55" s="398">
        <f t="shared" si="1"/>
        <v>24.845557839538149</v>
      </c>
    </row>
    <row r="56" spans="1:5" hidden="1" x14ac:dyDescent="0.25">
      <c r="A56" s="343">
        <v>410</v>
      </c>
      <c r="B56" s="323" t="s">
        <v>110</v>
      </c>
      <c r="C56" s="329">
        <f>SUMIF(Пр6!C10:C262,410,Пр6!G10:G262)</f>
        <v>0</v>
      </c>
      <c r="D56" s="329">
        <f>SUMIF(Пр6!D10:D262,410,Пр6!H10:H262)</f>
        <v>0</v>
      </c>
      <c r="E56" s="398" t="e">
        <f t="shared" si="1"/>
        <v>#DIV/0!</v>
      </c>
    </row>
    <row r="57" spans="1:5" ht="30" hidden="1" x14ac:dyDescent="0.25">
      <c r="A57" s="343">
        <v>411</v>
      </c>
      <c r="B57" s="323" t="s">
        <v>111</v>
      </c>
      <c r="C57" s="329">
        <f>SUMIF(Пр6!C10:C262,411,Пр6!G10:G262)</f>
        <v>0</v>
      </c>
      <c r="D57" s="329">
        <f>SUMIF(Пр6!D10:D262,411,Пр6!H10:H262)</f>
        <v>0</v>
      </c>
      <c r="E57" s="398" t="e">
        <f t="shared" si="1"/>
        <v>#DIV/0!</v>
      </c>
    </row>
    <row r="58" spans="1:5" x14ac:dyDescent="0.25">
      <c r="A58" s="343">
        <v>412</v>
      </c>
      <c r="B58" s="323" t="s">
        <v>112</v>
      </c>
      <c r="C58" s="329">
        <f>SUMIF(Пр6!$C10:$C262,412,Пр6!G10:G262)</f>
        <v>500000</v>
      </c>
      <c r="D58" s="329">
        <f>SUMIF(Пр6!$C10:$C262,412,Пр6!H10:H262)</f>
        <v>58318.879999999997</v>
      </c>
      <c r="E58" s="398">
        <f t="shared" si="1"/>
        <v>11.663775999999999</v>
      </c>
    </row>
    <row r="59" spans="1:5" x14ac:dyDescent="0.25">
      <c r="A59" s="341">
        <v>500</v>
      </c>
      <c r="B59" s="330" t="s">
        <v>113</v>
      </c>
      <c r="C59" s="328">
        <f>C60+C61+C62+C63+C64</f>
        <v>284840456</v>
      </c>
      <c r="D59" s="328">
        <f t="shared" ref="D59" si="5">D60+D61+D62+D63+D64</f>
        <v>194581800.40000001</v>
      </c>
      <c r="E59" s="395">
        <f t="shared" si="1"/>
        <v>68.312557539228209</v>
      </c>
    </row>
    <row r="60" spans="1:5" x14ac:dyDescent="0.25">
      <c r="A60" s="343">
        <v>501</v>
      </c>
      <c r="B60" s="323" t="s">
        <v>114</v>
      </c>
      <c r="C60" s="329">
        <f>SUMIF(Пр6!$C10:$C262,501,Пр6!G10:G262)</f>
        <v>102827233.40000001</v>
      </c>
      <c r="D60" s="329">
        <f>SUMIF(Пр6!$C10:$C262,501,Пр6!H10:H262)</f>
        <v>68852785.830000013</v>
      </c>
      <c r="E60" s="398">
        <f t="shared" si="1"/>
        <v>66.959679409209912</v>
      </c>
    </row>
    <row r="61" spans="1:5" x14ac:dyDescent="0.25">
      <c r="A61" s="343">
        <v>502</v>
      </c>
      <c r="B61" s="323" t="s">
        <v>115</v>
      </c>
      <c r="C61" s="329">
        <f>SUMIF(Пр6!$C10:$C262,502,Пр6!G10:G262)</f>
        <v>5836697</v>
      </c>
      <c r="D61" s="329">
        <f>SUMIF(Пр6!$C10:$C262,502,Пр6!H10:H262)</f>
        <v>2799856.41</v>
      </c>
      <c r="E61" s="398">
        <f t="shared" si="1"/>
        <v>47.969877655118985</v>
      </c>
    </row>
    <row r="62" spans="1:5" x14ac:dyDescent="0.25">
      <c r="A62" s="343">
        <v>503</v>
      </c>
      <c r="B62" s="322" t="s">
        <v>116</v>
      </c>
      <c r="C62" s="329">
        <f>SUMIF(Пр6!$C10:$C262,503,Пр6!G10:G262)</f>
        <v>176176525.59999999</v>
      </c>
      <c r="D62" s="329">
        <f>SUMIF(Пр6!$C10:$C262,503,Пр6!H10:H262)</f>
        <v>122929158.16</v>
      </c>
      <c r="E62" s="398">
        <f t="shared" si="1"/>
        <v>69.77612808593156</v>
      </c>
    </row>
    <row r="63" spans="1:5" ht="30" hidden="1" x14ac:dyDescent="0.25">
      <c r="A63" s="343">
        <v>504</v>
      </c>
      <c r="B63" s="323" t="s">
        <v>117</v>
      </c>
      <c r="C63" s="329">
        <f>SUMIF(Пр6!C10:C262,504,Пр6!G10:G262)</f>
        <v>0</v>
      </c>
      <c r="D63" s="329">
        <f>SUMIF(Пр6!D10:D262,504,Пр6!H10:H262)</f>
        <v>0</v>
      </c>
      <c r="E63" s="395" t="e">
        <f t="shared" si="1"/>
        <v>#DIV/0!</v>
      </c>
    </row>
    <row r="64" spans="1:5" hidden="1" x14ac:dyDescent="0.25">
      <c r="A64" s="343">
        <v>505</v>
      </c>
      <c r="B64" s="323" t="s">
        <v>118</v>
      </c>
      <c r="C64" s="329">
        <f>SUMIF(Пр6!$C10:$C262,505,Пр6!G10:G262)</f>
        <v>0</v>
      </c>
      <c r="D64" s="329">
        <f>SUMIF(Пр6!$C10:$C262,505,Пр6!H10:H262)</f>
        <v>0</v>
      </c>
      <c r="E64" s="395" t="e">
        <f t="shared" si="1"/>
        <v>#DIV/0!</v>
      </c>
    </row>
    <row r="65" spans="1:5" hidden="1" x14ac:dyDescent="0.25">
      <c r="A65" s="341">
        <v>600</v>
      </c>
      <c r="B65" s="345" t="s">
        <v>119</v>
      </c>
      <c r="C65" s="328">
        <f>SUM(C66:C70)</f>
        <v>100000</v>
      </c>
      <c r="D65" s="328">
        <f t="shared" ref="D65" si="6">SUM(D66:D70)</f>
        <v>0</v>
      </c>
      <c r="E65" s="395">
        <f t="shared" si="1"/>
        <v>0</v>
      </c>
    </row>
    <row r="66" spans="1:5" hidden="1" x14ac:dyDescent="0.25">
      <c r="A66" s="343">
        <v>601</v>
      </c>
      <c r="B66" s="322" t="s">
        <v>120</v>
      </c>
      <c r="C66" s="329">
        <f>SUMIF(Пр6!C10:C262,601,Пр6!G10:G262)</f>
        <v>0</v>
      </c>
      <c r="D66" s="329">
        <f>SUMIF(Пр6!D10:D262,601,Пр6!H10:H262)</f>
        <v>0</v>
      </c>
      <c r="E66" s="395" t="e">
        <f t="shared" si="1"/>
        <v>#DIV/0!</v>
      </c>
    </row>
    <row r="67" spans="1:5" hidden="1" x14ac:dyDescent="0.25">
      <c r="A67" s="343">
        <v>602</v>
      </c>
      <c r="B67" s="323" t="s">
        <v>121</v>
      </c>
      <c r="C67" s="329">
        <f>SUMIF(Пр6!C10:C262,602,Пр6!G10:G262)</f>
        <v>0</v>
      </c>
      <c r="D67" s="329">
        <f>SUMIF(Пр6!D10:D262,602,Пр6!H10:H262)</f>
        <v>0</v>
      </c>
      <c r="E67" s="395" t="e">
        <f t="shared" si="1"/>
        <v>#DIV/0!</v>
      </c>
    </row>
    <row r="68" spans="1:5" ht="30" hidden="1" x14ac:dyDescent="0.25">
      <c r="A68" s="343">
        <v>603</v>
      </c>
      <c r="B68" s="323" t="s">
        <v>122</v>
      </c>
      <c r="C68" s="329">
        <f>SUMIF(Пр6!C10:C262,603,Пр6!G10:G262)</f>
        <v>0</v>
      </c>
      <c r="D68" s="329">
        <f>SUMIF(Пр6!D10:D262,603,Пр6!H10:H262)</f>
        <v>0</v>
      </c>
      <c r="E68" s="395" t="e">
        <f t="shared" si="1"/>
        <v>#DIV/0!</v>
      </c>
    </row>
    <row r="69" spans="1:5" ht="30" hidden="1" x14ac:dyDescent="0.25">
      <c r="A69" s="343">
        <v>604</v>
      </c>
      <c r="B69" s="323" t="s">
        <v>123</v>
      </c>
      <c r="C69" s="329">
        <f>SUMIF(Пр6!C10:C262,604,Пр6!G10:G262)</f>
        <v>0</v>
      </c>
      <c r="D69" s="329">
        <f>SUMIF(Пр6!D10:D262,604,Пр6!H10:H262)</f>
        <v>0</v>
      </c>
      <c r="E69" s="395" t="e">
        <f t="shared" si="1"/>
        <v>#DIV/0!</v>
      </c>
    </row>
    <row r="70" spans="1:5" hidden="1" x14ac:dyDescent="0.25">
      <c r="A70" s="343">
        <v>605</v>
      </c>
      <c r="B70" s="323" t="s">
        <v>124</v>
      </c>
      <c r="C70" s="329">
        <f>SUMIF(Пр6!$C10:$C262,605,Пр6!G10:G262)</f>
        <v>100000</v>
      </c>
      <c r="D70" s="329">
        <f>SUMIF(Пр6!$C10:$C262,605,Пр6!H10:H262)</f>
        <v>0</v>
      </c>
      <c r="E70" s="398">
        <f t="shared" si="1"/>
        <v>0</v>
      </c>
    </row>
    <row r="71" spans="1:5" hidden="1" x14ac:dyDescent="0.25">
      <c r="A71" s="341">
        <v>700</v>
      </c>
      <c r="B71" s="345" t="s">
        <v>125</v>
      </c>
      <c r="C71" s="328">
        <f>C72+C73+C78+C80+C74+C76</f>
        <v>0</v>
      </c>
      <c r="D71" s="328">
        <f>D72+D73+D78+D80+D74+D76</f>
        <v>0</v>
      </c>
      <c r="E71" s="395" t="e">
        <f t="shared" si="1"/>
        <v>#DIV/0!</v>
      </c>
    </row>
    <row r="72" spans="1:5" hidden="1" x14ac:dyDescent="0.25">
      <c r="A72" s="343">
        <v>701</v>
      </c>
      <c r="B72" s="323" t="s">
        <v>126</v>
      </c>
      <c r="C72" s="329">
        <f>SUMIF(Пр6!$C10:$C262,701,Пр6!G10:G262)</f>
        <v>0</v>
      </c>
      <c r="D72" s="329">
        <f>SUMIF(Пр6!$C10:$C262,701,Пр6!H10:H262)</f>
        <v>0</v>
      </c>
      <c r="E72" s="395" t="e">
        <f t="shared" si="1"/>
        <v>#DIV/0!</v>
      </c>
    </row>
    <row r="73" spans="1:5" hidden="1" x14ac:dyDescent="0.25">
      <c r="A73" s="343">
        <v>702</v>
      </c>
      <c r="B73" s="323" t="s">
        <v>127</v>
      </c>
      <c r="C73" s="329">
        <f>SUMIF(Пр6!$C10:$C262,702,Пр6!G10:G262)</f>
        <v>0</v>
      </c>
      <c r="D73" s="329">
        <f>SUMIF(Пр6!$C10:$C262,702,Пр6!H10:H262)</f>
        <v>0</v>
      </c>
      <c r="E73" s="395" t="e">
        <f t="shared" si="1"/>
        <v>#DIV/0!</v>
      </c>
    </row>
    <row r="74" spans="1:5" hidden="1" x14ac:dyDescent="0.25">
      <c r="A74" s="343">
        <v>703</v>
      </c>
      <c r="B74" s="323" t="s">
        <v>491</v>
      </c>
      <c r="C74" s="329">
        <f>SUMIF(Пр6!$C10:$C262,703,Пр6!G10:G262)</f>
        <v>0</v>
      </c>
      <c r="D74" s="329">
        <f>SUMIF(Пр6!$C10:$C262,703,Пр6!H10:H262)</f>
        <v>0</v>
      </c>
      <c r="E74" s="395" t="e">
        <f t="shared" ref="E74:E118" si="7">D74/C74*100</f>
        <v>#DIV/0!</v>
      </c>
    </row>
    <row r="75" spans="1:5" hidden="1" x14ac:dyDescent="0.25">
      <c r="A75" s="343">
        <v>704</v>
      </c>
      <c r="B75" s="323" t="s">
        <v>128</v>
      </c>
      <c r="C75" s="329">
        <f>SUMIF(Пр6!C10:C262,704,Пр6!G10:G262)</f>
        <v>0</v>
      </c>
      <c r="D75" s="329">
        <f>SUMIF(Пр6!D10:D262,704,Пр6!H10:H262)</f>
        <v>0</v>
      </c>
      <c r="E75" s="395" t="e">
        <f t="shared" si="7"/>
        <v>#DIV/0!</v>
      </c>
    </row>
    <row r="76" spans="1:5" ht="30" hidden="1" x14ac:dyDescent="0.25">
      <c r="A76" s="343">
        <v>705</v>
      </c>
      <c r="B76" s="323" t="s">
        <v>129</v>
      </c>
      <c r="C76" s="331">
        <f>SUMIF(Пр6!C10:C262,705,Пр6!G10:G262)</f>
        <v>0</v>
      </c>
      <c r="D76" s="331">
        <f>SUMIF(Пр6!D10:D262,705,Пр6!H10:H262)</f>
        <v>0</v>
      </c>
      <c r="E76" s="395" t="e">
        <f t="shared" si="7"/>
        <v>#DIV/0!</v>
      </c>
    </row>
    <row r="77" spans="1:5" hidden="1" x14ac:dyDescent="0.25">
      <c r="A77" s="346">
        <v>706</v>
      </c>
      <c r="B77" s="322" t="s">
        <v>857</v>
      </c>
      <c r="C77" s="329">
        <f>SUMIF(Пр6!C10:C262,706,Пр6!G10:G262)</f>
        <v>0</v>
      </c>
      <c r="D77" s="329">
        <f>SUMIF(Пр6!D10:D262,706,Пр6!H10:H262)</f>
        <v>0</v>
      </c>
      <c r="E77" s="395" t="e">
        <f t="shared" si="7"/>
        <v>#DIV/0!</v>
      </c>
    </row>
    <row r="78" spans="1:5" hidden="1" x14ac:dyDescent="0.25">
      <c r="A78" s="343">
        <v>707</v>
      </c>
      <c r="B78" s="323" t="s">
        <v>492</v>
      </c>
      <c r="C78" s="329">
        <f>SUMIF(Пр6!$C10:$C262,707,Пр6!G10:G262)</f>
        <v>0</v>
      </c>
      <c r="D78" s="329">
        <f>SUMIF(Пр6!$C10:$C262,707,Пр6!H10:H262)</f>
        <v>0</v>
      </c>
      <c r="E78" s="395" t="e">
        <f t="shared" si="7"/>
        <v>#DIV/0!</v>
      </c>
    </row>
    <row r="79" spans="1:5" hidden="1" x14ac:dyDescent="0.25">
      <c r="A79" s="343">
        <v>708</v>
      </c>
      <c r="B79" s="323" t="s">
        <v>130</v>
      </c>
      <c r="C79" s="329">
        <f>SUMIF(Пр6!C10:C262,708,Пр6!G10:G262)</f>
        <v>0</v>
      </c>
      <c r="D79" s="329">
        <f>SUMIF(Пр6!D10:D262,708,Пр6!H10:H262)</f>
        <v>0</v>
      </c>
      <c r="E79" s="395" t="e">
        <f t="shared" si="7"/>
        <v>#DIV/0!</v>
      </c>
    </row>
    <row r="80" spans="1:5" hidden="1" x14ac:dyDescent="0.25">
      <c r="A80" s="343">
        <v>709</v>
      </c>
      <c r="B80" s="323" t="s">
        <v>131</v>
      </c>
      <c r="C80" s="329">
        <f>SUMIF(Пр6!$C10:$C262,709,Пр6!G10:G262)</f>
        <v>0</v>
      </c>
      <c r="D80" s="329">
        <f>SUMIF(Пр6!$C10:$C262,709,Пр6!H10:H262)</f>
        <v>0</v>
      </c>
      <c r="E80" s="395" t="e">
        <f t="shared" si="7"/>
        <v>#DIV/0!</v>
      </c>
    </row>
    <row r="81" spans="1:5" x14ac:dyDescent="0.25">
      <c r="A81" s="341">
        <v>800</v>
      </c>
      <c r="B81" s="345" t="s">
        <v>132</v>
      </c>
      <c r="C81" s="328">
        <f>C82+C85</f>
        <v>790000</v>
      </c>
      <c r="D81" s="328">
        <f t="shared" ref="D81" si="8">D82+D85</f>
        <v>518334.11</v>
      </c>
      <c r="E81" s="395">
        <f t="shared" si="7"/>
        <v>65.611912658227851</v>
      </c>
    </row>
    <row r="82" spans="1:5" x14ac:dyDescent="0.25">
      <c r="A82" s="343">
        <v>801</v>
      </c>
      <c r="B82" s="323" t="s">
        <v>133</v>
      </c>
      <c r="C82" s="329">
        <f>SUMIF(Пр6!$C10:$C262,801,Пр6!G10:G262)</f>
        <v>790000</v>
      </c>
      <c r="D82" s="329">
        <f>SUMIF(Пр6!$C10:$C262,801,Пр6!H10:H262)</f>
        <v>518334.11</v>
      </c>
      <c r="E82" s="398">
        <f t="shared" si="7"/>
        <v>65.611912658227851</v>
      </c>
    </row>
    <row r="83" spans="1:5" hidden="1" x14ac:dyDescent="0.25">
      <c r="A83" s="343">
        <v>802</v>
      </c>
      <c r="B83" s="323" t="s">
        <v>134</v>
      </c>
      <c r="C83" s="329">
        <f>SUMIF(Пр6!C10:C262,802,Пр6!G10:G262)</f>
        <v>0</v>
      </c>
      <c r="D83" s="329">
        <f>SUMIF(Пр6!D10:D262,802,Пр6!H10:H262)</f>
        <v>0</v>
      </c>
      <c r="E83" s="395" t="e">
        <f t="shared" si="7"/>
        <v>#DIV/0!</v>
      </c>
    </row>
    <row r="84" spans="1:5" ht="30" hidden="1" x14ac:dyDescent="0.25">
      <c r="A84" s="343">
        <v>803</v>
      </c>
      <c r="B84" s="323" t="s">
        <v>135</v>
      </c>
      <c r="C84" s="329">
        <f>SUMIF(Пр6!C10:C262,803,Пр6!G10:G262)</f>
        <v>0</v>
      </c>
      <c r="D84" s="329">
        <f>SUMIF(Пр6!D10:D262,803,Пр6!H10:H262)</f>
        <v>0</v>
      </c>
      <c r="E84" s="395" t="e">
        <f t="shared" si="7"/>
        <v>#DIV/0!</v>
      </c>
    </row>
    <row r="85" spans="1:5" hidden="1" x14ac:dyDescent="0.25">
      <c r="A85" s="343">
        <v>804</v>
      </c>
      <c r="B85" s="323" t="s">
        <v>136</v>
      </c>
      <c r="C85" s="329">
        <f>SUMIF(Пр6!$C10:$C262,804,Пр6!G10:G262)</f>
        <v>0</v>
      </c>
      <c r="D85" s="329">
        <f>SUMIF(Пр6!$C10:$C262,804,Пр6!H10:H262)</f>
        <v>0</v>
      </c>
      <c r="E85" s="395" t="e">
        <f t="shared" si="7"/>
        <v>#DIV/0!</v>
      </c>
    </row>
    <row r="86" spans="1:5" hidden="1" x14ac:dyDescent="0.25">
      <c r="A86" s="341">
        <v>900</v>
      </c>
      <c r="B86" s="345" t="s">
        <v>137</v>
      </c>
      <c r="C86" s="328">
        <f>SUM(C87:C95)</f>
        <v>0</v>
      </c>
      <c r="D86" s="328">
        <f t="shared" ref="D86" si="9">SUM(D87:D95)</f>
        <v>0</v>
      </c>
      <c r="E86" s="395" t="e">
        <f t="shared" si="7"/>
        <v>#DIV/0!</v>
      </c>
    </row>
    <row r="87" spans="1:5" hidden="1" x14ac:dyDescent="0.25">
      <c r="A87" s="343">
        <v>901</v>
      </c>
      <c r="B87" s="323" t="s">
        <v>138</v>
      </c>
      <c r="C87" s="329">
        <f>SUMIF(Пр6!C10:C262,901,Пр6!G10:G262)</f>
        <v>0</v>
      </c>
      <c r="D87" s="329">
        <f>SUMIF(Пр6!D10:D262,901,Пр6!H10:H262)</f>
        <v>0</v>
      </c>
      <c r="E87" s="395" t="e">
        <f t="shared" si="7"/>
        <v>#DIV/0!</v>
      </c>
    </row>
    <row r="88" spans="1:5" hidden="1" x14ac:dyDescent="0.25">
      <c r="A88" s="343">
        <v>902</v>
      </c>
      <c r="B88" s="323" t="s">
        <v>139</v>
      </c>
      <c r="C88" s="329">
        <f>SUMIF(Пр6!C10:C262,902,Пр6!G10:G262)</f>
        <v>0</v>
      </c>
      <c r="D88" s="329">
        <f>SUMIF(Пр6!D10:D262,902,Пр6!H10:H262)</f>
        <v>0</v>
      </c>
      <c r="E88" s="395" t="e">
        <f t="shared" si="7"/>
        <v>#DIV/0!</v>
      </c>
    </row>
    <row r="89" spans="1:5" hidden="1" x14ac:dyDescent="0.25">
      <c r="A89" s="343">
        <v>903</v>
      </c>
      <c r="B89" s="323" t="s">
        <v>140</v>
      </c>
      <c r="C89" s="329">
        <f>SUMIF(Пр6!C10:C262,903,Пр6!G10:G262)</f>
        <v>0</v>
      </c>
      <c r="D89" s="329">
        <f>SUMIF(Пр6!D10:D262,903,Пр6!H10:H262)</f>
        <v>0</v>
      </c>
      <c r="E89" s="395" t="e">
        <f t="shared" si="7"/>
        <v>#DIV/0!</v>
      </c>
    </row>
    <row r="90" spans="1:5" hidden="1" x14ac:dyDescent="0.25">
      <c r="A90" s="343">
        <v>904</v>
      </c>
      <c r="B90" s="323" t="s">
        <v>141</v>
      </c>
      <c r="C90" s="329">
        <f>SUMIF(Пр6!C10:C262,904,Пр6!G10:G262)</f>
        <v>0</v>
      </c>
      <c r="D90" s="329">
        <f>SUMIF(Пр6!D10:D262,904,Пр6!H10:H262)</f>
        <v>0</v>
      </c>
      <c r="E90" s="395" t="e">
        <f t="shared" si="7"/>
        <v>#DIV/0!</v>
      </c>
    </row>
    <row r="91" spans="1:5" hidden="1" x14ac:dyDescent="0.25">
      <c r="A91" s="343">
        <v>905</v>
      </c>
      <c r="B91" s="332" t="s">
        <v>142</v>
      </c>
      <c r="C91" s="329">
        <f>SUMIF(Пр6!C10:C262,905,Пр6!G10:G262)</f>
        <v>0</v>
      </c>
      <c r="D91" s="329">
        <f>SUMIF(Пр6!D10:D262,905,Пр6!H10:H262)</f>
        <v>0</v>
      </c>
      <c r="E91" s="395" t="e">
        <f t="shared" si="7"/>
        <v>#DIV/0!</v>
      </c>
    </row>
    <row r="92" spans="1:5" ht="30" hidden="1" x14ac:dyDescent="0.25">
      <c r="A92" s="343">
        <v>906</v>
      </c>
      <c r="B92" s="332" t="s">
        <v>143</v>
      </c>
      <c r="C92" s="329">
        <f>SUMIF(Пр6!C10:C262,906,Пр6!G10:G262)</f>
        <v>0</v>
      </c>
      <c r="D92" s="329">
        <f>SUMIF(Пр6!D10:D262,906,Пр6!H10:H262)</f>
        <v>0</v>
      </c>
      <c r="E92" s="395" t="e">
        <f t="shared" si="7"/>
        <v>#DIV/0!</v>
      </c>
    </row>
    <row r="93" spans="1:5" hidden="1" x14ac:dyDescent="0.25">
      <c r="A93" s="343">
        <v>907</v>
      </c>
      <c r="B93" s="323" t="s">
        <v>144</v>
      </c>
      <c r="C93" s="329">
        <f>SUMIF(Пр6!C10:C262,907,Пр6!G10:G262)</f>
        <v>0</v>
      </c>
      <c r="D93" s="329">
        <f>SUMIF(Пр6!D10:D262,907,Пр6!H10:H262)</f>
        <v>0</v>
      </c>
      <c r="E93" s="395" t="e">
        <f t="shared" si="7"/>
        <v>#DIV/0!</v>
      </c>
    </row>
    <row r="94" spans="1:5" ht="30" hidden="1" x14ac:dyDescent="0.25">
      <c r="A94" s="343">
        <v>908</v>
      </c>
      <c r="B94" s="322" t="s">
        <v>145</v>
      </c>
      <c r="C94" s="329">
        <f>SUMIF(Пр6!C10:C262,908,Пр6!G10:G262)</f>
        <v>0</v>
      </c>
      <c r="D94" s="329">
        <f>SUMIF(Пр6!D10:D262,908,Пр6!H10:H262)</f>
        <v>0</v>
      </c>
      <c r="E94" s="395" t="e">
        <f t="shared" si="7"/>
        <v>#DIV/0!</v>
      </c>
    </row>
    <row r="95" spans="1:5" hidden="1" x14ac:dyDescent="0.25">
      <c r="A95" s="343">
        <v>909</v>
      </c>
      <c r="B95" s="323" t="s">
        <v>146</v>
      </c>
      <c r="C95" s="329">
        <f>SUMIF(Пр6!C10:C262,909,Пр6!G10:G262)</f>
        <v>0</v>
      </c>
      <c r="D95" s="329">
        <f>SUMIF(Пр6!D10:D262,909,Пр6!H10:H262)</f>
        <v>0</v>
      </c>
      <c r="E95" s="395" t="e">
        <f t="shared" si="7"/>
        <v>#DIV/0!</v>
      </c>
    </row>
    <row r="96" spans="1:5" x14ac:dyDescent="0.25">
      <c r="A96" s="341">
        <v>1000</v>
      </c>
      <c r="B96" s="345" t="s">
        <v>147</v>
      </c>
      <c r="C96" s="328">
        <f>C97+C98+C99+C100+C102</f>
        <v>4830365</v>
      </c>
      <c r="D96" s="328">
        <f t="shared" ref="D96" si="10">D97+D98+D99+D100+D102</f>
        <v>4364760.79</v>
      </c>
      <c r="E96" s="395">
        <f t="shared" si="7"/>
        <v>90.360889705022302</v>
      </c>
    </row>
    <row r="97" spans="1:5" x14ac:dyDescent="0.25">
      <c r="A97" s="343">
        <v>1001</v>
      </c>
      <c r="B97" s="323" t="s">
        <v>148</v>
      </c>
      <c r="C97" s="329">
        <f>SUMIF(Пр6!$C10:$C262,1001,Пр6!G10:G262)</f>
        <v>650346</v>
      </c>
      <c r="D97" s="329">
        <f>SUMIF(Пр6!$C10:$C262,1001,Пр6!H10:H262)</f>
        <v>452577.17</v>
      </c>
      <c r="E97" s="398">
        <f t="shared" si="7"/>
        <v>69.590213517112431</v>
      </c>
    </row>
    <row r="98" spans="1:5" hidden="1" x14ac:dyDescent="0.25">
      <c r="A98" s="343">
        <v>1002</v>
      </c>
      <c r="B98" s="323" t="s">
        <v>149</v>
      </c>
      <c r="C98" s="329">
        <f>SUMIF(Пр6!$C10:$C262,1002,Пр6!G10:G262)</f>
        <v>0</v>
      </c>
      <c r="D98" s="329">
        <f>SUMIF(Пр6!$C10:$C262,1002,Пр6!H10:H262)</f>
        <v>0</v>
      </c>
      <c r="E98" s="398" t="e">
        <f t="shared" si="7"/>
        <v>#DIV/0!</v>
      </c>
    </row>
    <row r="99" spans="1:5" x14ac:dyDescent="0.25">
      <c r="A99" s="343">
        <v>1003</v>
      </c>
      <c r="B99" s="323" t="s">
        <v>150</v>
      </c>
      <c r="C99" s="329">
        <f>SUMIF(Пр6!$C10:$C262,1003,Пр6!G10:G262)</f>
        <v>4180019</v>
      </c>
      <c r="D99" s="329">
        <f>SUMIF(Пр6!$C10:$C262,1003,Пр6!H10:H262)</f>
        <v>3912183.62</v>
      </c>
      <c r="E99" s="398">
        <f t="shared" si="7"/>
        <v>93.59248414899551</v>
      </c>
    </row>
    <row r="100" spans="1:5" hidden="1" x14ac:dyDescent="0.25">
      <c r="A100" s="343">
        <v>1004</v>
      </c>
      <c r="B100" s="322" t="s">
        <v>151</v>
      </c>
      <c r="C100" s="329">
        <f>SUMIF(Пр6!$C10:$C262,1004,Пр6!G10:G262)</f>
        <v>0</v>
      </c>
      <c r="D100" s="329">
        <f>SUMIF(Пр6!$C10:$C262,1004,Пр6!H10:H262)</f>
        <v>0</v>
      </c>
      <c r="E100" s="395" t="e">
        <f t="shared" si="7"/>
        <v>#DIV/0!</v>
      </c>
    </row>
    <row r="101" spans="1:5" ht="30" hidden="1" x14ac:dyDescent="0.25">
      <c r="A101" s="343">
        <v>1005</v>
      </c>
      <c r="B101" s="323" t="s">
        <v>152</v>
      </c>
      <c r="C101" s="329">
        <f>SUMIF(Пр6!C10:C262,1005,Пр6!G10:G262)</f>
        <v>0</v>
      </c>
      <c r="D101" s="329">
        <f>SUMIF(Пр6!D10:D262,1005,Пр6!H10:H262)</f>
        <v>0</v>
      </c>
      <c r="E101" s="395" t="e">
        <f t="shared" si="7"/>
        <v>#DIV/0!</v>
      </c>
    </row>
    <row r="102" spans="1:5" hidden="1" x14ac:dyDescent="0.25">
      <c r="A102" s="343">
        <v>1006</v>
      </c>
      <c r="B102" s="323" t="s">
        <v>153</v>
      </c>
      <c r="C102" s="329">
        <f>SUMIF(Пр6!$C10:$C262,1006,Пр6!G10:G262)</f>
        <v>0</v>
      </c>
      <c r="D102" s="329">
        <f>SUMIF(Пр6!$C10:$C262,1006,Пр6!H10:H262)</f>
        <v>0</v>
      </c>
      <c r="E102" s="395" t="e">
        <f t="shared" si="7"/>
        <v>#DIV/0!</v>
      </c>
    </row>
    <row r="103" spans="1:5" x14ac:dyDescent="0.25">
      <c r="A103" s="341">
        <v>1100</v>
      </c>
      <c r="B103" s="345" t="s">
        <v>154</v>
      </c>
      <c r="C103" s="328">
        <f>SUM(C104:C105)</f>
        <v>350000</v>
      </c>
      <c r="D103" s="328">
        <f>SUM(D104:D105)</f>
        <v>104936.35</v>
      </c>
      <c r="E103" s="395">
        <f t="shared" si="7"/>
        <v>29.981814285714286</v>
      </c>
    </row>
    <row r="104" spans="1:5" hidden="1" x14ac:dyDescent="0.25">
      <c r="A104" s="343">
        <v>1101</v>
      </c>
      <c r="B104" s="323" t="s">
        <v>155</v>
      </c>
      <c r="C104" s="329">
        <f>SUMIF(Пр6!C10:C262,1101,Пр6!G10:G262)</f>
        <v>0</v>
      </c>
      <c r="D104" s="329">
        <f>SUMIF(Пр6!D10:D262,1101,Пр6!H10:H262)</f>
        <v>0</v>
      </c>
      <c r="E104" s="395" t="e">
        <f t="shared" si="7"/>
        <v>#DIV/0!</v>
      </c>
    </row>
    <row r="105" spans="1:5" x14ac:dyDescent="0.25">
      <c r="A105" s="343">
        <v>1102</v>
      </c>
      <c r="B105" s="332" t="s">
        <v>156</v>
      </c>
      <c r="C105" s="329">
        <f>SUMIF(Пр6!$C10:$C262,1102,Пр6!G10:G262)</f>
        <v>350000</v>
      </c>
      <c r="D105" s="329">
        <f>SUMIF(Пр6!$C10:$C262,1102,Пр6!H10:H262)</f>
        <v>104936.35</v>
      </c>
      <c r="E105" s="398">
        <f t="shared" si="7"/>
        <v>29.981814285714286</v>
      </c>
    </row>
    <row r="106" spans="1:5" hidden="1" x14ac:dyDescent="0.25">
      <c r="A106" s="341">
        <v>1200</v>
      </c>
      <c r="B106" s="345" t="s">
        <v>160</v>
      </c>
      <c r="C106" s="328">
        <f>SUM(C107:C110)</f>
        <v>0</v>
      </c>
      <c r="D106" s="328">
        <f t="shared" ref="D106" si="11">SUM(D107:D110)</f>
        <v>0</v>
      </c>
      <c r="E106" s="395" t="e">
        <f t="shared" si="7"/>
        <v>#DIV/0!</v>
      </c>
    </row>
    <row r="107" spans="1:5" hidden="1" x14ac:dyDescent="0.25">
      <c r="A107" s="343">
        <v>1201</v>
      </c>
      <c r="B107" s="323" t="s">
        <v>161</v>
      </c>
      <c r="C107" s="329">
        <f>SUMIF(Пр6!C10:C262,1201,Пр6!G10:G262)</f>
        <v>0</v>
      </c>
      <c r="D107" s="329">
        <f>SUMIF(Пр6!D10:D262,1201,Пр6!H10:H262)</f>
        <v>0</v>
      </c>
      <c r="E107" s="395" t="e">
        <f t="shared" si="7"/>
        <v>#DIV/0!</v>
      </c>
    </row>
    <row r="108" spans="1:5" hidden="1" x14ac:dyDescent="0.25">
      <c r="A108" s="343">
        <v>1202</v>
      </c>
      <c r="B108" s="323" t="s">
        <v>162</v>
      </c>
      <c r="C108" s="329">
        <f>SUMIF(Пр6!$C10:$C262,1202,Пр6!G10:G262)</f>
        <v>0</v>
      </c>
      <c r="D108" s="329">
        <f>SUMIF(Пр6!$C10:$C262,1202,Пр6!H10:H262)</f>
        <v>0</v>
      </c>
      <c r="E108" s="395" t="e">
        <f t="shared" si="7"/>
        <v>#DIV/0!</v>
      </c>
    </row>
    <row r="109" spans="1:5" ht="30" hidden="1" x14ac:dyDescent="0.25">
      <c r="A109" s="343">
        <v>1203</v>
      </c>
      <c r="B109" s="323" t="s">
        <v>163</v>
      </c>
      <c r="C109" s="329">
        <f>SUMIF(Пр6!C10:C262,1203,Пр6!G10:G262)</f>
        <v>0</v>
      </c>
      <c r="D109" s="329">
        <f>SUMIF(Пр6!D10:D262,1203,Пр6!H10:H262)</f>
        <v>0</v>
      </c>
      <c r="E109" s="395" t="e">
        <f t="shared" si="7"/>
        <v>#DIV/0!</v>
      </c>
    </row>
    <row r="110" spans="1:5" hidden="1" x14ac:dyDescent="0.25">
      <c r="A110" s="343">
        <v>1204</v>
      </c>
      <c r="B110" s="323" t="s">
        <v>164</v>
      </c>
      <c r="C110" s="329">
        <f>SUMIF(Пр6!C10:C262,1204,Пр6!G10:G262)</f>
        <v>0</v>
      </c>
      <c r="D110" s="329">
        <f>SUMIF(Пр6!D10:D262,1204,Пр6!H10:H262)</f>
        <v>0</v>
      </c>
      <c r="E110" s="395" t="e">
        <f t="shared" si="7"/>
        <v>#DIV/0!</v>
      </c>
    </row>
    <row r="111" spans="1:5" ht="28.5" x14ac:dyDescent="0.25">
      <c r="A111" s="341">
        <v>1300</v>
      </c>
      <c r="B111" s="345" t="s">
        <v>165</v>
      </c>
      <c r="C111" s="328">
        <f>SUM(C112:C113)</f>
        <v>340000</v>
      </c>
      <c r="D111" s="328">
        <f t="shared" ref="D111" si="12">SUM(D112:D113)</f>
        <v>98930.14</v>
      </c>
      <c r="E111" s="395">
        <f t="shared" si="7"/>
        <v>29.097099999999998</v>
      </c>
    </row>
    <row r="112" spans="1:5" ht="30" x14ac:dyDescent="0.25">
      <c r="A112" s="343">
        <v>1301</v>
      </c>
      <c r="B112" s="322" t="s">
        <v>858</v>
      </c>
      <c r="C112" s="329">
        <f>SUMIF(Пр6!$C10:$C262,1301,Пр6!G10:G262)</f>
        <v>340000</v>
      </c>
      <c r="D112" s="329">
        <f>SUMIF(Пр6!$C10:$C262,1301,Пр6!H10:H262)</f>
        <v>98930.14</v>
      </c>
      <c r="E112" s="398">
        <f t="shared" si="7"/>
        <v>29.097099999999998</v>
      </c>
    </row>
    <row r="113" spans="1:5" ht="30" hidden="1" x14ac:dyDescent="0.25">
      <c r="A113" s="343">
        <v>1302</v>
      </c>
      <c r="B113" s="322" t="s">
        <v>859</v>
      </c>
      <c r="C113" s="329">
        <f>SUMIF(Пр6!C10:C262,1302,Пр6!G10:G262)</f>
        <v>0</v>
      </c>
      <c r="D113" s="329">
        <f>SUMIF(Пр6!D10:D262,1302,Пр6!H10:H262)</f>
        <v>0</v>
      </c>
      <c r="E113" s="395" t="e">
        <f t="shared" si="7"/>
        <v>#DIV/0!</v>
      </c>
    </row>
    <row r="114" spans="1:5" ht="57" hidden="1" x14ac:dyDescent="0.25">
      <c r="A114" s="341">
        <v>1400</v>
      </c>
      <c r="B114" s="345" t="s">
        <v>166</v>
      </c>
      <c r="C114" s="328">
        <f>SUM(C115:C117)</f>
        <v>0</v>
      </c>
      <c r="D114" s="328">
        <f t="shared" ref="D114" si="13">SUM(D115:D117)</f>
        <v>0</v>
      </c>
      <c r="E114" s="395" t="e">
        <f t="shared" si="7"/>
        <v>#DIV/0!</v>
      </c>
    </row>
    <row r="115" spans="1:5" ht="33.75" hidden="1" customHeight="1" x14ac:dyDescent="0.25">
      <c r="A115" s="343">
        <v>1401</v>
      </c>
      <c r="B115" s="323" t="s">
        <v>167</v>
      </c>
      <c r="C115" s="329">
        <f>SUMIF(Пр6!$C10:$C262,1401,Пр6!G10:G262)</f>
        <v>0</v>
      </c>
      <c r="D115" s="329">
        <f>SUMIF(Пр6!$C10:$C262,1401,Пр6!H10:H262)</f>
        <v>0</v>
      </c>
      <c r="E115" s="395" t="e">
        <f t="shared" si="7"/>
        <v>#DIV/0!</v>
      </c>
    </row>
    <row r="116" spans="1:5" hidden="1" x14ac:dyDescent="0.25">
      <c r="A116" s="343">
        <v>1402</v>
      </c>
      <c r="B116" s="323" t="s">
        <v>168</v>
      </c>
      <c r="C116" s="329">
        <f>SUMIF(Пр6!C10:C262,1402,Пр6!G10:G262)</f>
        <v>0</v>
      </c>
      <c r="D116" s="329">
        <f>SUMIF(Пр6!D10:D262,1402,Пр6!H10:H262)</f>
        <v>0</v>
      </c>
      <c r="E116" s="395" t="e">
        <f t="shared" si="7"/>
        <v>#DIV/0!</v>
      </c>
    </row>
    <row r="117" spans="1:5" hidden="1" x14ac:dyDescent="0.25">
      <c r="A117" s="343">
        <v>1403</v>
      </c>
      <c r="B117" s="322" t="s">
        <v>860</v>
      </c>
      <c r="C117" s="329">
        <f>SUMIF(Пр6!C10:C262,1403,Пр6!G10:G262)</f>
        <v>0</v>
      </c>
      <c r="D117" s="329">
        <f>SUMIF(Пр6!D10:D262,1403,Пр6!H10:H262)</f>
        <v>0</v>
      </c>
      <c r="E117" s="395" t="e">
        <f t="shared" si="7"/>
        <v>#DIV/0!</v>
      </c>
    </row>
    <row r="118" spans="1:5" x14ac:dyDescent="0.25">
      <c r="A118" s="446" t="s">
        <v>61</v>
      </c>
      <c r="B118" s="446"/>
      <c r="C118" s="347">
        <f>C9+C23+C33+C46+C59+C65+C71+C81+C96+C103+C106+C111+C114</f>
        <v>516373825</v>
      </c>
      <c r="D118" s="347">
        <f t="shared" ref="D118" si="14">D9+D23+D33+D46+D59+D65+D71+D81+D96+D103+D106+D111+D114</f>
        <v>273447991.85000002</v>
      </c>
      <c r="E118" s="396">
        <f t="shared" si="7"/>
        <v>52.955432404034042</v>
      </c>
    </row>
    <row r="119" spans="1:5" x14ac:dyDescent="0.25">
      <c r="A119" s="447" t="s">
        <v>169</v>
      </c>
      <c r="B119" s="447"/>
      <c r="C119" s="348">
        <f>Пр2!J89-Пр6!G263</f>
        <v>-57234789</v>
      </c>
      <c r="D119" s="348">
        <f>Пр2!K89-Пр6!H263</f>
        <v>-30538348.770000041</v>
      </c>
      <c r="E119" s="398"/>
    </row>
  </sheetData>
  <mergeCells count="7">
    <mergeCell ref="A118:B118"/>
    <mergeCell ref="A119:B119"/>
    <mergeCell ref="A1:E1"/>
    <mergeCell ref="A2:E2"/>
    <mergeCell ref="A3:E3"/>
    <mergeCell ref="A4:E4"/>
    <mergeCell ref="A6:E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2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view="pageBreakPreview" zoomScaleSheetLayoutView="100" workbookViewId="0">
      <selection activeCell="D13" sqref="D13"/>
    </sheetView>
  </sheetViews>
  <sheetFormatPr defaultRowHeight="12.75" x14ac:dyDescent="0.2"/>
  <cols>
    <col min="1" max="1" width="28.5703125" customWidth="1"/>
    <col min="2" max="2" width="41.140625" customWidth="1"/>
    <col min="3" max="3" width="16.5703125" hidden="1" customWidth="1"/>
    <col min="4" max="4" width="20.42578125" customWidth="1"/>
    <col min="5" max="5" width="15.140625" hidden="1" customWidth="1"/>
    <col min="6" max="6" width="43.42578125" customWidth="1"/>
  </cols>
  <sheetData>
    <row r="1" spans="1:6" ht="15.75" x14ac:dyDescent="0.25">
      <c r="A1" s="436" t="s">
        <v>170</v>
      </c>
      <c r="B1" s="436"/>
      <c r="C1" s="436"/>
      <c r="D1" s="436"/>
      <c r="E1" s="437"/>
    </row>
    <row r="2" spans="1:6" ht="15.75" x14ac:dyDescent="0.25">
      <c r="A2" s="438" t="s">
        <v>894</v>
      </c>
      <c r="B2" s="438"/>
      <c r="C2" s="438"/>
      <c r="D2" s="439"/>
      <c r="E2" s="439"/>
    </row>
    <row r="3" spans="1:6" ht="15.75" x14ac:dyDescent="0.25">
      <c r="A3" s="438" t="s">
        <v>895</v>
      </c>
      <c r="B3" s="438"/>
      <c r="C3" s="438"/>
      <c r="D3" s="439"/>
      <c r="E3" s="439"/>
    </row>
    <row r="4" spans="1:6" s="166" customFormat="1" ht="15.75" x14ac:dyDescent="0.25">
      <c r="A4" s="438" t="s">
        <v>925</v>
      </c>
      <c r="B4" s="438"/>
      <c r="C4" s="438"/>
      <c r="D4" s="438"/>
      <c r="E4" s="438"/>
    </row>
    <row r="6" spans="1:6" ht="15.75" x14ac:dyDescent="0.25">
      <c r="A6" s="3"/>
      <c r="B6" s="1"/>
    </row>
    <row r="7" spans="1:6" ht="33" customHeight="1" x14ac:dyDescent="0.2">
      <c r="A7" s="450" t="s">
        <v>917</v>
      </c>
      <c r="B7" s="450"/>
      <c r="C7" s="450"/>
      <c r="D7" s="450"/>
      <c r="E7" s="450"/>
    </row>
    <row r="8" spans="1:6" ht="18.75" x14ac:dyDescent="0.2">
      <c r="A8" s="2"/>
      <c r="B8" s="1"/>
    </row>
    <row r="9" spans="1:6" ht="70.7" customHeight="1" x14ac:dyDescent="0.2">
      <c r="A9" s="430" t="s">
        <v>64</v>
      </c>
      <c r="B9" s="430" t="s">
        <v>172</v>
      </c>
      <c r="C9" s="362" t="s">
        <v>896</v>
      </c>
      <c r="D9" s="362" t="s">
        <v>901</v>
      </c>
      <c r="E9" s="227" t="s">
        <v>897</v>
      </c>
    </row>
    <row r="10" spans="1:6" s="4" customFormat="1" ht="25.5" x14ac:dyDescent="0.2">
      <c r="A10" s="228" t="s">
        <v>173</v>
      </c>
      <c r="B10" s="141" t="s">
        <v>174</v>
      </c>
      <c r="C10" s="145">
        <f>C11+C13</f>
        <v>5000000</v>
      </c>
      <c r="D10" s="145">
        <f>D11+D13</f>
        <v>-15000000</v>
      </c>
      <c r="E10" s="145">
        <f>D10/C10*100</f>
        <v>-300</v>
      </c>
    </row>
    <row r="11" spans="1:6" ht="38.25" x14ac:dyDescent="0.2">
      <c r="A11" s="229" t="s">
        <v>636</v>
      </c>
      <c r="B11" s="142" t="s">
        <v>637</v>
      </c>
      <c r="C11" s="146">
        <f>C12</f>
        <v>20000000</v>
      </c>
      <c r="D11" s="146">
        <f t="shared" ref="D11" si="0">D12</f>
        <v>0</v>
      </c>
      <c r="E11" s="145">
        <f t="shared" ref="E11:E23" si="1">D11/C11*100</f>
        <v>0</v>
      </c>
    </row>
    <row r="12" spans="1:6" ht="38.25" x14ac:dyDescent="0.2">
      <c r="A12" s="230" t="s">
        <v>638</v>
      </c>
      <c r="B12" s="143" t="s">
        <v>639</v>
      </c>
      <c r="C12" s="147">
        <v>20000000</v>
      </c>
      <c r="D12" s="234">
        <v>0</v>
      </c>
      <c r="E12" s="145">
        <f t="shared" si="1"/>
        <v>0</v>
      </c>
      <c r="F12" s="233"/>
    </row>
    <row r="13" spans="1:6" ht="25.5" x14ac:dyDescent="0.2">
      <c r="A13" s="229" t="s">
        <v>640</v>
      </c>
      <c r="B13" s="142" t="s">
        <v>641</v>
      </c>
      <c r="C13" s="146">
        <f>-C14</f>
        <v>-15000000</v>
      </c>
      <c r="D13" s="146">
        <f>-D14</f>
        <v>-15000000</v>
      </c>
      <c r="E13" s="145">
        <f t="shared" si="1"/>
        <v>100</v>
      </c>
    </row>
    <row r="14" spans="1:6" ht="51" x14ac:dyDescent="0.2">
      <c r="A14" s="230" t="s">
        <v>642</v>
      </c>
      <c r="B14" s="143" t="s">
        <v>643</v>
      </c>
      <c r="C14" s="147">
        <v>15000000</v>
      </c>
      <c r="D14" s="234">
        <v>15000000</v>
      </c>
      <c r="E14" s="145">
        <f t="shared" si="1"/>
        <v>100</v>
      </c>
    </row>
    <row r="15" spans="1:6" ht="25.5" hidden="1" x14ac:dyDescent="0.2">
      <c r="A15" s="228" t="s">
        <v>175</v>
      </c>
      <c r="B15" s="141" t="s">
        <v>644</v>
      </c>
      <c r="C15" s="148">
        <f>C16-C18</f>
        <v>0</v>
      </c>
      <c r="D15" s="234">
        <f t="shared" ref="D15" si="2">D16</f>
        <v>0</v>
      </c>
      <c r="E15" s="145" t="e">
        <f t="shared" si="1"/>
        <v>#DIV/0!</v>
      </c>
    </row>
    <row r="16" spans="1:6" ht="51" hidden="1" x14ac:dyDescent="0.2">
      <c r="A16" s="229" t="s">
        <v>645</v>
      </c>
      <c r="B16" s="142" t="s">
        <v>646</v>
      </c>
      <c r="C16" s="149">
        <f>C17</f>
        <v>0</v>
      </c>
      <c r="D16" s="234"/>
      <c r="E16" s="145" t="e">
        <f t="shared" si="1"/>
        <v>#DIV/0!</v>
      </c>
    </row>
    <row r="17" spans="1:6" ht="76.5" hidden="1" x14ac:dyDescent="0.2">
      <c r="A17" s="231" t="s">
        <v>647</v>
      </c>
      <c r="B17" s="143" t="s">
        <v>648</v>
      </c>
      <c r="C17" s="147">
        <v>0</v>
      </c>
      <c r="D17" s="234">
        <f t="shared" ref="D17" si="3">D18</f>
        <v>0</v>
      </c>
      <c r="E17" s="145" t="e">
        <f t="shared" si="1"/>
        <v>#DIV/0!</v>
      </c>
    </row>
    <row r="18" spans="1:6" ht="51" hidden="1" x14ac:dyDescent="0.2">
      <c r="A18" s="229" t="s">
        <v>649</v>
      </c>
      <c r="B18" s="142" t="s">
        <v>176</v>
      </c>
      <c r="C18" s="149">
        <f>C19</f>
        <v>0</v>
      </c>
      <c r="D18" s="234"/>
      <c r="E18" s="145" t="e">
        <f t="shared" si="1"/>
        <v>#DIV/0!</v>
      </c>
    </row>
    <row r="19" spans="1:6" ht="63.75" hidden="1" x14ac:dyDescent="0.2">
      <c r="A19" s="231" t="s">
        <v>650</v>
      </c>
      <c r="B19" s="143" t="s">
        <v>651</v>
      </c>
      <c r="C19" s="147">
        <v>0</v>
      </c>
      <c r="D19" s="235">
        <f t="shared" ref="D19" si="4">D21+D20</f>
        <v>288447991.85000002</v>
      </c>
      <c r="E19" s="145" t="e">
        <f t="shared" si="1"/>
        <v>#DIV/0!</v>
      </c>
    </row>
    <row r="20" spans="1:6" ht="38.25" x14ac:dyDescent="0.2">
      <c r="A20" s="229" t="s">
        <v>177</v>
      </c>
      <c r="B20" s="142" t="s">
        <v>652</v>
      </c>
      <c r="C20" s="149">
        <f>C22-C21</f>
        <v>52234789</v>
      </c>
      <c r="D20" s="149">
        <f t="shared" ref="D20" si="5">D22-D21</f>
        <v>45538348.770000041</v>
      </c>
      <c r="E20" s="145">
        <f t="shared" si="1"/>
        <v>87.1801143295516</v>
      </c>
      <c r="F20" s="132"/>
    </row>
    <row r="21" spans="1:6" ht="38.25" x14ac:dyDescent="0.2">
      <c r="A21" s="232" t="s">
        <v>653</v>
      </c>
      <c r="B21" s="143" t="s">
        <v>654</v>
      </c>
      <c r="C21" s="150">
        <f>Пр2!J89+Пр4!C12</f>
        <v>479139036</v>
      </c>
      <c r="D21" s="150">
        <f>Пр2!K89+Пр4!D12</f>
        <v>242909643.07999998</v>
      </c>
      <c r="E21" s="145">
        <f t="shared" si="1"/>
        <v>50.697109780051399</v>
      </c>
    </row>
    <row r="22" spans="1:6" ht="25.5" x14ac:dyDescent="0.2">
      <c r="A22" s="232" t="s">
        <v>655</v>
      </c>
      <c r="B22" s="140" t="s">
        <v>656</v>
      </c>
      <c r="C22" s="150">
        <f>Пр6!G263+Пр4!C14</f>
        <v>531373825</v>
      </c>
      <c r="D22" s="150">
        <f>Пр6!H263+Пр4!D14</f>
        <v>288447991.85000002</v>
      </c>
      <c r="E22" s="145">
        <f t="shared" si="1"/>
        <v>54.283440071591791</v>
      </c>
    </row>
    <row r="23" spans="1:6" ht="15.75" x14ac:dyDescent="0.2">
      <c r="A23" s="449" t="s">
        <v>178</v>
      </c>
      <c r="B23" s="449"/>
      <c r="C23" s="236">
        <f>C10+C15+C20</f>
        <v>57234789</v>
      </c>
      <c r="D23" s="236">
        <f t="shared" ref="D23" si="6">D10+D15+D20</f>
        <v>30538348.770000041</v>
      </c>
      <c r="E23" s="145">
        <f t="shared" si="1"/>
        <v>53.356270379541435</v>
      </c>
    </row>
  </sheetData>
  <mergeCells count="6">
    <mergeCell ref="A23:B23"/>
    <mergeCell ref="A1:E1"/>
    <mergeCell ref="A2:E2"/>
    <mergeCell ref="A3:E3"/>
    <mergeCell ref="A4:E4"/>
    <mergeCell ref="A7:E7"/>
  </mergeCells>
  <printOptions gridLinesSet="0"/>
  <pageMargins left="0.70866141732283472" right="0.70866141732283472" top="0.74803149606299213" bottom="0.74803149606299213" header="0.51181102362204722" footer="0.51181102362204722"/>
  <pageSetup paperSize="9" scale="98" fitToHeight="2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view="pageBreakPreview" zoomScaleSheetLayoutView="100" workbookViewId="0">
      <selection activeCell="A5" sqref="A5:E5"/>
    </sheetView>
  </sheetViews>
  <sheetFormatPr defaultColWidth="9" defaultRowHeight="12.75" x14ac:dyDescent="0.2"/>
  <cols>
    <col min="1" max="1" width="32.140625" style="4" customWidth="1"/>
    <col min="2" max="2" width="12.42578125" style="4" customWidth="1"/>
    <col min="3" max="5" width="11.28515625" style="4" customWidth="1"/>
    <col min="6" max="7" width="9" style="4"/>
    <col min="8" max="8" width="43.42578125" style="4" customWidth="1"/>
    <col min="9" max="16384" width="9" style="4"/>
  </cols>
  <sheetData>
    <row r="1" spans="1:8" ht="15.75" x14ac:dyDescent="0.25">
      <c r="A1" s="438" t="s">
        <v>171</v>
      </c>
      <c r="B1" s="438"/>
      <c r="C1" s="438"/>
      <c r="D1" s="438"/>
      <c r="E1" s="438"/>
    </row>
    <row r="2" spans="1:8" ht="15.75" x14ac:dyDescent="0.25">
      <c r="A2" s="451" t="s">
        <v>894</v>
      </c>
      <c r="B2" s="451"/>
      <c r="C2" s="451"/>
      <c r="D2" s="451"/>
      <c r="E2" s="451"/>
    </row>
    <row r="3" spans="1:8" ht="15.75" x14ac:dyDescent="0.25">
      <c r="A3" s="451" t="s">
        <v>895</v>
      </c>
      <c r="B3" s="451"/>
      <c r="C3" s="451"/>
      <c r="D3" s="451"/>
      <c r="E3" s="451"/>
    </row>
    <row r="4" spans="1:8" ht="15.75" x14ac:dyDescent="0.25">
      <c r="A4" s="438" t="s">
        <v>925</v>
      </c>
      <c r="B4" s="438"/>
      <c r="C4" s="438"/>
      <c r="D4" s="438"/>
      <c r="E4" s="438"/>
    </row>
    <row r="5" spans="1:8" ht="15.75" x14ac:dyDescent="0.25">
      <c r="A5" s="438"/>
      <c r="B5" s="439"/>
      <c r="C5" s="439"/>
      <c r="D5" s="439"/>
      <c r="E5" s="439"/>
    </row>
    <row r="6" spans="1:8" ht="15.75" x14ac:dyDescent="0.25">
      <c r="A6" s="452"/>
      <c r="B6" s="453"/>
      <c r="C6" s="453"/>
      <c r="D6" s="453"/>
      <c r="E6" s="453"/>
    </row>
    <row r="7" spans="1:8" ht="36" customHeight="1" x14ac:dyDescent="0.2">
      <c r="A7" s="454" t="s">
        <v>914</v>
      </c>
      <c r="B7" s="455"/>
      <c r="C7" s="455"/>
      <c r="D7" s="455"/>
      <c r="E7" s="455"/>
    </row>
    <row r="8" spans="1:8" ht="15.75" x14ac:dyDescent="0.25">
      <c r="A8" s="399"/>
      <c r="B8" s="1"/>
      <c r="C8" s="1"/>
      <c r="D8" s="1"/>
      <c r="E8" s="1"/>
    </row>
    <row r="9" spans="1:8" ht="15.75" hidden="1" x14ac:dyDescent="0.25">
      <c r="A9" s="456"/>
      <c r="B9" s="453"/>
      <c r="C9" s="453"/>
      <c r="D9" s="453"/>
      <c r="E9" s="453"/>
    </row>
    <row r="10" spans="1:8" ht="39.950000000000003" customHeight="1" x14ac:dyDescent="0.2">
      <c r="A10" s="457"/>
      <c r="B10" s="455"/>
      <c r="C10" s="455"/>
      <c r="D10" s="455"/>
      <c r="E10" s="455"/>
    </row>
    <row r="11" spans="1:8" ht="16.5" thickBot="1" x14ac:dyDescent="0.3">
      <c r="A11" s="438"/>
      <c r="B11" s="439"/>
      <c r="C11" s="439"/>
      <c r="D11" s="439"/>
      <c r="E11" s="439"/>
    </row>
    <row r="12" spans="1:8" ht="26.85" customHeight="1" x14ac:dyDescent="0.25">
      <c r="A12" s="416" t="s">
        <v>902</v>
      </c>
      <c r="B12" s="458" t="s">
        <v>903</v>
      </c>
      <c r="C12" s="458"/>
      <c r="D12" s="458"/>
      <c r="E12" s="459"/>
    </row>
    <row r="13" spans="1:8" ht="15.75" x14ac:dyDescent="0.25">
      <c r="A13" s="417">
        <v>1</v>
      </c>
      <c r="B13" s="460">
        <v>2</v>
      </c>
      <c r="C13" s="461"/>
      <c r="D13" s="461"/>
      <c r="E13" s="462"/>
    </row>
    <row r="14" spans="1:8" ht="31.5" x14ac:dyDescent="0.25">
      <c r="A14" s="418" t="s">
        <v>775</v>
      </c>
      <c r="B14" s="463">
        <f>B15-B16</f>
        <v>-15000000</v>
      </c>
      <c r="C14" s="464"/>
      <c r="D14" s="464"/>
      <c r="E14" s="465"/>
    </row>
    <row r="15" spans="1:8" ht="15.75" x14ac:dyDescent="0.25">
      <c r="A15" s="419" t="s">
        <v>179</v>
      </c>
      <c r="B15" s="466">
        <v>0</v>
      </c>
      <c r="C15" s="464"/>
      <c r="D15" s="464"/>
      <c r="E15" s="465"/>
      <c r="H15" s="131"/>
    </row>
    <row r="16" spans="1:8" ht="15.75" x14ac:dyDescent="0.25">
      <c r="A16" s="419" t="s">
        <v>180</v>
      </c>
      <c r="B16" s="466">
        <v>15000000</v>
      </c>
      <c r="C16" s="464"/>
      <c r="D16" s="464"/>
      <c r="E16" s="465"/>
    </row>
    <row r="17" spans="1:5" ht="15.75" x14ac:dyDescent="0.25">
      <c r="A17" s="418" t="s">
        <v>181</v>
      </c>
      <c r="B17" s="463">
        <f>B18-B19</f>
        <v>0</v>
      </c>
      <c r="C17" s="464"/>
      <c r="D17" s="464"/>
      <c r="E17" s="465"/>
    </row>
    <row r="18" spans="1:5" ht="21.6" customHeight="1" x14ac:dyDescent="0.25">
      <c r="A18" s="420" t="s">
        <v>904</v>
      </c>
      <c r="B18" s="466">
        <v>0</v>
      </c>
      <c r="C18" s="464"/>
      <c r="D18" s="464"/>
      <c r="E18" s="465"/>
    </row>
    <row r="19" spans="1:5" ht="15.75" x14ac:dyDescent="0.25">
      <c r="A19" s="420" t="s">
        <v>180</v>
      </c>
      <c r="B19" s="466">
        <f>-[2]Пр6!C17</f>
        <v>0</v>
      </c>
      <c r="C19" s="464"/>
      <c r="D19" s="464"/>
      <c r="E19" s="465"/>
    </row>
    <row r="20" spans="1:5" ht="15.75" x14ac:dyDescent="0.25">
      <c r="A20" s="421" t="s">
        <v>182</v>
      </c>
      <c r="B20" s="463">
        <f>B21-B22</f>
        <v>-15000000</v>
      </c>
      <c r="C20" s="464"/>
      <c r="D20" s="464"/>
      <c r="E20" s="465"/>
    </row>
    <row r="21" spans="1:5" ht="15.75" x14ac:dyDescent="0.25">
      <c r="A21" s="422" t="s">
        <v>905</v>
      </c>
      <c r="B21" s="466">
        <f>B15+B18</f>
        <v>0</v>
      </c>
      <c r="C21" s="464"/>
      <c r="D21" s="464"/>
      <c r="E21" s="465"/>
    </row>
    <row r="22" spans="1:5" ht="15.75" x14ac:dyDescent="0.25">
      <c r="A22" s="422" t="s">
        <v>183</v>
      </c>
      <c r="B22" s="466">
        <f>B16+B19</f>
        <v>15000000</v>
      </c>
      <c r="C22" s="464"/>
      <c r="D22" s="464"/>
      <c r="E22" s="465"/>
    </row>
    <row r="23" spans="1:5" ht="47.25" x14ac:dyDescent="0.25">
      <c r="A23" s="422" t="s">
        <v>906</v>
      </c>
      <c r="B23" s="463">
        <f>B20</f>
        <v>-15000000</v>
      </c>
      <c r="C23" s="464"/>
      <c r="D23" s="464"/>
      <c r="E23" s="465"/>
    </row>
    <row r="24" spans="1:5" ht="22.9" customHeight="1" x14ac:dyDescent="0.25">
      <c r="A24" s="476" t="s">
        <v>907</v>
      </c>
      <c r="B24" s="477"/>
      <c r="C24" s="477"/>
      <c r="D24" s="477"/>
      <c r="E24" s="478"/>
    </row>
    <row r="25" spans="1:5" ht="47.25" x14ac:dyDescent="0.2">
      <c r="A25" s="423" t="s">
        <v>913</v>
      </c>
      <c r="B25" s="470">
        <v>0</v>
      </c>
      <c r="C25" s="471"/>
      <c r="D25" s="471"/>
      <c r="E25" s="472"/>
    </row>
    <row r="26" spans="1:5" ht="47.25" hidden="1" x14ac:dyDescent="0.2">
      <c r="A26" s="423" t="s">
        <v>908</v>
      </c>
      <c r="B26" s="470">
        <v>0</v>
      </c>
      <c r="C26" s="471"/>
      <c r="D26" s="471"/>
      <c r="E26" s="472"/>
    </row>
    <row r="27" spans="1:5" ht="15.75" hidden="1" x14ac:dyDescent="0.2">
      <c r="A27" s="423"/>
      <c r="B27" s="479" t="s">
        <v>909</v>
      </c>
      <c r="C27" s="480"/>
      <c r="D27" s="480"/>
      <c r="E27" s="481"/>
    </row>
    <row r="28" spans="1:5" ht="47.25" x14ac:dyDescent="0.2">
      <c r="A28" s="423" t="s">
        <v>910</v>
      </c>
      <c r="B28" s="470">
        <v>98930.14</v>
      </c>
      <c r="C28" s="471"/>
      <c r="D28" s="471"/>
      <c r="E28" s="472"/>
    </row>
    <row r="29" spans="1:5" ht="40.700000000000003" hidden="1" customHeight="1" x14ac:dyDescent="0.2">
      <c r="A29" s="423" t="s">
        <v>911</v>
      </c>
      <c r="B29" s="470">
        <v>0</v>
      </c>
      <c r="C29" s="471"/>
      <c r="D29" s="471"/>
      <c r="E29" s="472"/>
    </row>
    <row r="30" spans="1:5" ht="47.25" hidden="1" x14ac:dyDescent="0.2">
      <c r="A30" s="424" t="s">
        <v>912</v>
      </c>
      <c r="B30" s="473">
        <f>B21</f>
        <v>0</v>
      </c>
      <c r="C30" s="474"/>
      <c r="D30" s="474"/>
      <c r="E30" s="475"/>
    </row>
    <row r="31" spans="1:5" ht="47.25" hidden="1" x14ac:dyDescent="0.2">
      <c r="A31" s="424" t="s">
        <v>184</v>
      </c>
      <c r="B31" s="473">
        <v>0</v>
      </c>
      <c r="C31" s="474"/>
      <c r="D31" s="474"/>
      <c r="E31" s="475"/>
    </row>
    <row r="32" spans="1:5" ht="15.75" hidden="1" x14ac:dyDescent="0.2">
      <c r="A32" s="467"/>
      <c r="B32" s="468"/>
      <c r="C32" s="468"/>
      <c r="D32" s="468"/>
      <c r="E32" s="469"/>
    </row>
    <row r="33" spans="1:5" x14ac:dyDescent="0.2">
      <c r="A33" s="425"/>
      <c r="B33" s="425"/>
      <c r="C33" s="425"/>
      <c r="D33" s="425"/>
      <c r="E33" s="425"/>
    </row>
    <row r="34" spans="1:5" x14ac:dyDescent="0.2">
      <c r="A34" s="425"/>
      <c r="B34" s="425"/>
      <c r="C34" s="425"/>
      <c r="D34" s="425"/>
      <c r="E34" s="425"/>
    </row>
    <row r="35" spans="1:5" x14ac:dyDescent="0.2">
      <c r="A35" s="425"/>
      <c r="B35" s="425"/>
      <c r="C35" s="425"/>
      <c r="D35" s="425"/>
      <c r="E35" s="425"/>
    </row>
  </sheetData>
  <mergeCells count="31">
    <mergeCell ref="A32:E32"/>
    <mergeCell ref="B17:E17"/>
    <mergeCell ref="B28:E28"/>
    <mergeCell ref="B29:E29"/>
    <mergeCell ref="B30:E30"/>
    <mergeCell ref="B31:E31"/>
    <mergeCell ref="B18:E18"/>
    <mergeCell ref="B19:E19"/>
    <mergeCell ref="B20:E20"/>
    <mergeCell ref="B21:E21"/>
    <mergeCell ref="B22:E22"/>
    <mergeCell ref="B23:E23"/>
    <mergeCell ref="A24:E24"/>
    <mergeCell ref="B25:E25"/>
    <mergeCell ref="B26:E26"/>
    <mergeCell ref="B27:E27"/>
    <mergeCell ref="B12:E12"/>
    <mergeCell ref="B13:E13"/>
    <mergeCell ref="B14:E14"/>
    <mergeCell ref="B15:E15"/>
    <mergeCell ref="B16:E16"/>
    <mergeCell ref="A6:E6"/>
    <mergeCell ref="A7:E7"/>
    <mergeCell ref="A9:E9"/>
    <mergeCell ref="A10:E10"/>
    <mergeCell ref="A11:E11"/>
    <mergeCell ref="A1:E1"/>
    <mergeCell ref="A2:E2"/>
    <mergeCell ref="A3:E3"/>
    <mergeCell ref="A4:E4"/>
    <mergeCell ref="A5:E5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3"/>
  <sheetViews>
    <sheetView showGridLines="0" view="pageBreakPreview" zoomScaleSheetLayoutView="100" workbookViewId="0">
      <selection activeCell="C5" sqref="C5"/>
    </sheetView>
  </sheetViews>
  <sheetFormatPr defaultColWidth="9.140625" defaultRowHeight="15.75" x14ac:dyDescent="0.25"/>
  <cols>
    <col min="1" max="1" width="41" style="130" customWidth="1"/>
    <col min="2" max="2" width="13.140625" style="125" customWidth="1"/>
    <col min="3" max="3" width="7.28515625" style="125" customWidth="1"/>
    <col min="4" max="4" width="10.140625" style="126" customWidth="1"/>
    <col min="5" max="5" width="10.28515625" style="127" customWidth="1"/>
    <col min="6" max="6" width="10.28515625" style="125" customWidth="1"/>
    <col min="7" max="7" width="17.28515625" style="225" hidden="1" customWidth="1"/>
    <col min="8" max="8" width="16.28515625" style="226" customWidth="1"/>
    <col min="9" max="9" width="17.28515625" style="237" hidden="1" customWidth="1"/>
    <col min="10" max="10" width="11.5703125" style="310" customWidth="1"/>
    <col min="11" max="16384" width="9.140625" style="5"/>
  </cols>
  <sheetData>
    <row r="1" spans="1:10" x14ac:dyDescent="0.25">
      <c r="A1" s="436" t="s">
        <v>916</v>
      </c>
      <c r="B1" s="436"/>
      <c r="C1" s="436"/>
      <c r="D1" s="436"/>
      <c r="E1" s="482"/>
      <c r="F1" s="483"/>
      <c r="G1" s="483"/>
      <c r="H1" s="483"/>
      <c r="I1" s="426"/>
    </row>
    <row r="2" spans="1:10" x14ac:dyDescent="0.25">
      <c r="A2" s="438" t="s">
        <v>894</v>
      </c>
      <c r="B2" s="438"/>
      <c r="C2" s="438"/>
      <c r="D2" s="439"/>
      <c r="E2" s="439"/>
      <c r="F2" s="483"/>
      <c r="G2" s="483"/>
      <c r="H2" s="483"/>
      <c r="I2" s="426"/>
    </row>
    <row r="3" spans="1:10" x14ac:dyDescent="0.25">
      <c r="A3" s="438" t="s">
        <v>895</v>
      </c>
      <c r="B3" s="438"/>
      <c r="C3" s="438"/>
      <c r="D3" s="439"/>
      <c r="E3" s="439"/>
      <c r="F3" s="483"/>
      <c r="G3" s="483"/>
      <c r="H3" s="483"/>
      <c r="I3" s="426"/>
    </row>
    <row r="4" spans="1:10" s="166" customFormat="1" x14ac:dyDescent="0.25">
      <c r="A4" s="438" t="s">
        <v>925</v>
      </c>
      <c r="B4" s="438"/>
      <c r="C4" s="438"/>
      <c r="D4" s="438"/>
      <c r="E4" s="438"/>
      <c r="F4" s="483"/>
      <c r="G4" s="483"/>
      <c r="H4" s="483"/>
      <c r="I4" s="427"/>
      <c r="J4" s="311"/>
    </row>
    <row r="6" spans="1:10" ht="32.85" customHeight="1" x14ac:dyDescent="0.25">
      <c r="A6" s="486" t="s">
        <v>918</v>
      </c>
      <c r="B6" s="486"/>
      <c r="C6" s="486"/>
      <c r="D6" s="486"/>
      <c r="E6" s="486"/>
      <c r="F6" s="486"/>
      <c r="G6" s="487"/>
      <c r="H6" s="487"/>
      <c r="I6" s="487"/>
    </row>
    <row r="7" spans="1:10" ht="18.75" x14ac:dyDescent="0.25">
      <c r="A7" s="179"/>
      <c r="B7" s="128"/>
      <c r="C7" s="128"/>
      <c r="D7" s="128"/>
      <c r="E7" s="128"/>
      <c r="F7" s="128"/>
    </row>
    <row r="8" spans="1:10" x14ac:dyDescent="0.25">
      <c r="A8" s="488" t="s">
        <v>65</v>
      </c>
      <c r="B8" s="489" t="s">
        <v>186</v>
      </c>
      <c r="C8" s="489" t="s">
        <v>187</v>
      </c>
      <c r="D8" s="490" t="s">
        <v>188</v>
      </c>
      <c r="E8" s="490"/>
      <c r="F8" s="489" t="s">
        <v>189</v>
      </c>
      <c r="G8" s="484" t="s">
        <v>66</v>
      </c>
      <c r="H8" s="484" t="s">
        <v>884</v>
      </c>
      <c r="I8" s="485" t="s">
        <v>66</v>
      </c>
    </row>
    <row r="9" spans="1:10" s="6" customFormat="1" ht="54.4" customHeight="1" x14ac:dyDescent="0.2">
      <c r="A9" s="488"/>
      <c r="B9" s="489"/>
      <c r="C9" s="489"/>
      <c r="D9" s="431" t="s">
        <v>190</v>
      </c>
      <c r="E9" s="432" t="s">
        <v>191</v>
      </c>
      <c r="F9" s="489"/>
      <c r="G9" s="484"/>
      <c r="H9" s="484"/>
      <c r="I9" s="485"/>
      <c r="J9" s="312"/>
    </row>
    <row r="10" spans="1:10" s="7" customFormat="1" ht="31.5" x14ac:dyDescent="0.25">
      <c r="A10" s="180" t="str">
        <f>IF(B10&gt;0,VLOOKUP(B10,КВСР!A1:B1166,2),IF(C10&gt;0,VLOOKUP(C10,КФСР!A1:B1513,2),IF(D10&gt;0,VLOOKUP(D10,Программа!A$3:B$4988,2),IF(F10&gt;0,VLOOKUP(F10,КВР!A$1:B$5001,2),IF(E10&gt;0,VLOOKUP(E10,Направление!A$1:B$4610,2))))))</f>
        <v>Администрация Тутаевского муниципального района</v>
      </c>
      <c r="B10" s="100">
        <v>950</v>
      </c>
      <c r="C10" s="101"/>
      <c r="D10" s="102"/>
      <c r="E10" s="101"/>
      <c r="F10" s="103"/>
      <c r="G10" s="298">
        <v>515349109</v>
      </c>
      <c r="H10" s="252">
        <f>H71+H77+H111+H128+H152+H182+H11+H15+H56+H67+H226+H230+H234+H238+H254+H250</f>
        <v>272701478.83000004</v>
      </c>
      <c r="I10" s="252">
        <f>I71+I77+I111+I128+I152+I182+I11+I15+I56+I67+I226+I230+I234+I238+I254+I250</f>
        <v>788050587.83000004</v>
      </c>
      <c r="J10" s="313"/>
    </row>
    <row r="11" spans="1:10" s="7" customFormat="1" ht="78.75" x14ac:dyDescent="0.25">
      <c r="A11" s="181" t="str">
        <f>IF(B11&gt;0,VLOOKUP(B11,КВСР!A2:B1167,2),IF(C11&gt;0,VLOOKUP(C11,КФСР!A2:B1514,2),IF(D11&gt;0,VLOOKUP(D11,Программа!A$3:B$4988,2),IF(F11&gt;0,VLOOKUP(F11,КВР!A$1:B$5001,2),IF(E11&gt;0,VLOOKUP(E11,Направление!A$1:B$4610,2))))))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" s="55"/>
      <c r="C11" s="56">
        <v>106</v>
      </c>
      <c r="D11" s="57"/>
      <c r="E11" s="56"/>
      <c r="F11" s="58"/>
      <c r="G11" s="256">
        <f>G12</f>
        <v>53095</v>
      </c>
      <c r="H11" s="253">
        <f t="shared" ref="H11:I13" si="0">H12</f>
        <v>53095</v>
      </c>
      <c r="I11" s="253">
        <f t="shared" si="0"/>
        <v>106190</v>
      </c>
      <c r="J11" s="313"/>
    </row>
    <row r="12" spans="1:10" s="7" customFormat="1" x14ac:dyDescent="0.25">
      <c r="A12" s="182" t="str">
        <f>IF(B12&gt;0,VLOOKUP(B12,КВСР!A3:B1168,2),IF(C12&gt;0,VLOOKUP(C12,КФСР!A3:B1515,2),IF(D12&gt;0,VLOOKUP(D12,Программа!A$3:B$4988,2),IF(F12&gt;0,VLOOKUP(F12,КВР!A$1:B$5001,2),IF(E12&gt;0,VLOOKUP(E12,Направление!A$1:B$4610,2))))))</f>
        <v>Непрограммные расходы бюджета</v>
      </c>
      <c r="B12" s="114"/>
      <c r="C12" s="115"/>
      <c r="D12" s="116" t="s">
        <v>521</v>
      </c>
      <c r="E12" s="115"/>
      <c r="F12" s="117"/>
      <c r="G12" s="257">
        <f>G13</f>
        <v>53095</v>
      </c>
      <c r="H12" s="254">
        <f t="shared" si="0"/>
        <v>53095</v>
      </c>
      <c r="I12" s="254">
        <f t="shared" si="0"/>
        <v>106190</v>
      </c>
      <c r="J12" s="313"/>
    </row>
    <row r="13" spans="1:10" s="7" customFormat="1" ht="63" x14ac:dyDescent="0.25">
      <c r="A13" s="183" t="str">
        <f>IF(B13&gt;0,VLOOKUP(B13,КВСР!A4:B1169,2),IF(C13&gt;0,VLOOKUP(C13,КФСР!A4:B1516,2),IF(D13&gt;0,VLOOKUP(D13,Программа!A$3:B$4988,2),IF(F13&gt;0,VLOOKUP(F13,КВР!A$1:B$5001,2),IF(E13&gt;0,VLOOKUP(E13,Направление!A$1:B$4610,2))))))</f>
        <v>Межбюджетные трансферты на обеспечение мероприятий по осуществлению внешнего муниципального контроля</v>
      </c>
      <c r="B13" s="72"/>
      <c r="C13" s="73"/>
      <c r="D13" s="112"/>
      <c r="E13" s="73">
        <v>29386</v>
      </c>
      <c r="F13" s="74"/>
      <c r="G13" s="262">
        <f>G14</f>
        <v>53095</v>
      </c>
      <c r="H13" s="255">
        <f t="shared" si="0"/>
        <v>53095</v>
      </c>
      <c r="I13" s="255">
        <f t="shared" si="0"/>
        <v>106190</v>
      </c>
      <c r="J13" s="313"/>
    </row>
    <row r="14" spans="1:10" s="7" customFormat="1" x14ac:dyDescent="0.25">
      <c r="A14" s="183" t="str">
        <f>IF(B14&gt;0,VLOOKUP(B14,КВСР!A5:B1170,2),IF(C14&gt;0,VLOOKUP(C14,КФСР!A5:B1517,2),IF(D14&gt;0,VLOOKUP(D14,Программа!A$3:B$4988,2),IF(F14&gt;0,VLOOKUP(F14,КВР!A$1:B$5001,2),IF(E14&gt;0,VLOOKUP(E14,Направление!A$1:B$4610,2))))))</f>
        <v xml:space="preserve"> Межбюджетные трансферты</v>
      </c>
      <c r="B14" s="72"/>
      <c r="C14" s="73"/>
      <c r="D14" s="112"/>
      <c r="E14" s="73"/>
      <c r="F14" s="74">
        <v>500</v>
      </c>
      <c r="G14" s="299">
        <v>53095</v>
      </c>
      <c r="H14" s="316">
        <v>53095</v>
      </c>
      <c r="I14" s="238">
        <f>G14+H14</f>
        <v>106190</v>
      </c>
      <c r="J14" s="313"/>
    </row>
    <row r="15" spans="1:10" s="7" customFormat="1" ht="31.5" x14ac:dyDescent="0.25">
      <c r="A15" s="184" t="str">
        <f>IF(B15&gt;0,VLOOKUP(B15,КВСР!A6:B1171,2),IF(C15&gt;0,VLOOKUP(C15,КФСР!A6:B1518,2),IF(D15&gt;0,VLOOKUP(D15,Программа!A$3:B$4988,2),IF(F15&gt;0,VLOOKUP(F15,КВР!A$1:B$5001,2),IF(E15&gt;0,VLOOKUP(E15,Направление!A$1:B$4610,2))))))</f>
        <v>Другие общегосударственные вопросы</v>
      </c>
      <c r="B15" s="55"/>
      <c r="C15" s="56">
        <v>113</v>
      </c>
      <c r="D15" s="57"/>
      <c r="E15" s="56"/>
      <c r="F15" s="58"/>
      <c r="G15" s="256">
        <f>G16+G31</f>
        <v>30618439</v>
      </c>
      <c r="H15" s="256">
        <f t="shared" ref="H15:I15" si="1">H31+H16</f>
        <v>23546392.460000005</v>
      </c>
      <c r="I15" s="256">
        <f t="shared" si="1"/>
        <v>54164831.460000001</v>
      </c>
      <c r="J15" s="313"/>
    </row>
    <row r="16" spans="1:10" s="7" customFormat="1" x14ac:dyDescent="0.25">
      <c r="A16" s="182" t="str">
        <f>IF(B16&gt;0,VLOOKUP(B16,КВСР!#REF!,2),IF(C16&gt;0,VLOOKUP(C16,КФСР!#REF!,2),IF(D16&gt;0,VLOOKUP(D16,Программа!A$3:B$4988,2),IF(F16&gt;0,VLOOKUP(F16,КВР!A$1:B$5001,2),IF(E16&gt;0,VLOOKUP(E16,Направление!A$1:B$4610,2))))))</f>
        <v>Программные расходы бюджета</v>
      </c>
      <c r="B16" s="114"/>
      <c r="C16" s="115"/>
      <c r="D16" s="116" t="s">
        <v>634</v>
      </c>
      <c r="E16" s="115"/>
      <c r="F16" s="117"/>
      <c r="G16" s="257">
        <f>G17+G24</f>
        <v>145000</v>
      </c>
      <c r="H16" s="257">
        <f t="shared" ref="H16" si="2">H17+H24</f>
        <v>19999</v>
      </c>
      <c r="I16" s="257">
        <f t="shared" ref="I16" si="3">I17+I24</f>
        <v>164999</v>
      </c>
      <c r="J16" s="313"/>
    </row>
    <row r="17" spans="1:10" s="7" customFormat="1" ht="63" x14ac:dyDescent="0.25">
      <c r="A17" s="183" t="str">
        <f>IF(B17&gt;0,VLOOKUP(B17,КВСР!#REF!,2),IF(C17&gt;0,VLOOKUP(C17,КФСР!#REF!,2),IF(D17&gt;0,VLOOKUP(D17,Программа!A$3:B$4988,2),IF(F17&gt;0,VLOOKUP(F17,КВР!A$1:B$5001,2),IF(E17&gt;0,VLOOKUP(E17,Направление!A$1:B$4610,2))))))</f>
        <v xml:space="preserve">Муниципальная программа "Градостроительная деятельность на территории городского поселения Тутаев" </v>
      </c>
      <c r="B17" s="72"/>
      <c r="C17" s="73"/>
      <c r="D17" s="74" t="s">
        <v>663</v>
      </c>
      <c r="E17" s="73"/>
      <c r="F17" s="74"/>
      <c r="G17" s="258">
        <f>G18</f>
        <v>50000</v>
      </c>
      <c r="H17" s="258">
        <f>H18+H21</f>
        <v>19999</v>
      </c>
      <c r="I17" s="258">
        <f>I18+I21</f>
        <v>69999</v>
      </c>
      <c r="J17" s="313"/>
    </row>
    <row r="18" spans="1:10" s="7" customFormat="1" ht="78.75" x14ac:dyDescent="0.25">
      <c r="A18" s="183" t="str">
        <f>IF(B18&gt;0,VLOOKUP(B18,КВСР!#REF!,2),IF(C18&gt;0,VLOOKUP(C18,КФСР!#REF!,2),IF(D18&gt;0,VLOOKUP(D18,Программа!A$3:B$4988,2),IF(F18&gt;0,VLOOKUP(F18,КВР!A$1:B$5001,2),IF(E18&gt;0,VLOOKUP(E18,Направление!A$1:B$4610,2))))))</f>
        <v>Разработка и внесение изменений в документы территориального планирования и градостроительного зонирования городского поселения Тутаев</v>
      </c>
      <c r="B18" s="51"/>
      <c r="C18" s="52"/>
      <c r="D18" s="54" t="s">
        <v>664</v>
      </c>
      <c r="E18" s="52"/>
      <c r="F18" s="54"/>
      <c r="G18" s="259">
        <f>G19</f>
        <v>50000</v>
      </c>
      <c r="H18" s="259">
        <f t="shared" ref="H18:I19" si="4">H19</f>
        <v>19999</v>
      </c>
      <c r="I18" s="259">
        <f t="shared" si="4"/>
        <v>69999</v>
      </c>
      <c r="J18" s="313"/>
    </row>
    <row r="19" spans="1:10" s="7" customFormat="1" ht="47.25" x14ac:dyDescent="0.25">
      <c r="A19" s="183" t="str">
        <f>IF(B19&gt;0,VLOOKUP(B19,КВСР!#REF!,2),IF(C19&gt;0,VLOOKUP(C19,КФСР!#REF!,2),IF(D19&gt;0,VLOOKUP(D19,Программа!A$3:B$4988,2),IF(F19&gt;0,VLOOKUP(F19,КВР!A$1:B$5001,2),IF(E19&gt;0,VLOOKUP(E19,Направление!A$1:B$4610,2))))))</f>
        <v>Обеспечение мероприятий по разработке и  внесению изменений в градостроительную документацию</v>
      </c>
      <c r="B19" s="51"/>
      <c r="C19" s="52"/>
      <c r="D19" s="54"/>
      <c r="E19" s="52">
        <v>20250</v>
      </c>
      <c r="F19" s="54"/>
      <c r="G19" s="259">
        <f>G20</f>
        <v>50000</v>
      </c>
      <c r="H19" s="259">
        <f t="shared" si="4"/>
        <v>19999</v>
      </c>
      <c r="I19" s="259">
        <f t="shared" si="4"/>
        <v>69999</v>
      </c>
      <c r="J19" s="313"/>
    </row>
    <row r="20" spans="1:10" s="7" customFormat="1" ht="63" x14ac:dyDescent="0.25">
      <c r="A20" s="183" t="str">
        <f>IF(B20&gt;0,VLOOKUP(B20,КВСР!#REF!,2),IF(C20&gt;0,VLOOKUP(C20,КФСР!#REF!,2),IF(D20&gt;0,VLOOKUP(D20,Программа!A$3:B$4988,2),IF(F20&gt;0,VLOOKUP(F20,КВР!A$1:B$5001,2),IF(E20&gt;0,VLOOKUP(E20,Направление!A$1:B$4610,2))))))</f>
        <v xml:space="preserve">Закупка товаров, работ и услуг для обеспечения государственных (муниципальных) нужд
</v>
      </c>
      <c r="B20" s="51"/>
      <c r="C20" s="52"/>
      <c r="D20" s="54"/>
      <c r="E20" s="52"/>
      <c r="F20" s="54">
        <v>200</v>
      </c>
      <c r="G20" s="246">
        <v>50000</v>
      </c>
      <c r="H20" s="317">
        <v>19999</v>
      </c>
      <c r="I20" s="238">
        <f>G20+H20</f>
        <v>69999</v>
      </c>
      <c r="J20" s="313"/>
    </row>
    <row r="21" spans="1:10" s="7" customFormat="1" ht="47.25" hidden="1" x14ac:dyDescent="0.25">
      <c r="A21" s="183" t="str">
        <f>IF(B21&gt;0,VLOOKUP(B21,КВСР!#REF!,2),IF(C21&gt;0,VLOOKUP(C21,КФСР!#REF!,2),IF(D21&gt;0,VLOOKUP(D21,Программа!A$3:B$4988,2),IF(F21&gt;0,VLOOKUP(F21,КВР!A$1:B$5001,2),IF(E21&gt;0,VLOOKUP(E21,Направление!A$1:B$4610,2))))))</f>
        <v>Установление соотвествия утвержденным градостроительным нормам объектов недвижимости</v>
      </c>
      <c r="B21" s="51"/>
      <c r="C21" s="52"/>
      <c r="D21" s="54" t="s">
        <v>665</v>
      </c>
      <c r="E21" s="52"/>
      <c r="F21" s="54"/>
      <c r="G21" s="240">
        <v>0</v>
      </c>
      <c r="H21" s="240">
        <f t="shared" ref="H21:I21" si="5">H22</f>
        <v>0</v>
      </c>
      <c r="I21" s="240">
        <f t="shared" si="5"/>
        <v>0</v>
      </c>
      <c r="J21" s="313"/>
    </row>
    <row r="22" spans="1:10" s="7" customFormat="1" ht="47.25" hidden="1" x14ac:dyDescent="0.25">
      <c r="A22" s="183" t="str">
        <f>IF(B22&gt;0,VLOOKUP(B22,КВСР!#REF!,2),IF(C22&gt;0,VLOOKUP(C22,КФСР!#REF!,2),IF(D22&gt;0,VLOOKUP(D22,Программа!A$3:B$4988,2),IF(F22&gt;0,VLOOKUP(F22,КВР!A$1:B$5001,2),IF(E22&gt;0,VLOOKUP(E22,Направление!A$1:B$4610,2))))))</f>
        <v>Обеспечение мероприятий по проведению обследований зданий, сооружений</v>
      </c>
      <c r="B22" s="51"/>
      <c r="C22" s="52"/>
      <c r="D22" s="54"/>
      <c r="E22" s="52">
        <v>20220</v>
      </c>
      <c r="F22" s="54"/>
      <c r="G22" s="240">
        <v>0</v>
      </c>
      <c r="H22" s="240">
        <f t="shared" ref="H22:I22" si="6">H23</f>
        <v>0</v>
      </c>
      <c r="I22" s="240">
        <f t="shared" si="6"/>
        <v>0</v>
      </c>
      <c r="J22" s="313"/>
    </row>
    <row r="23" spans="1:10" s="7" customFormat="1" ht="63" hidden="1" x14ac:dyDescent="0.25">
      <c r="A23" s="183" t="str">
        <f>IF(B23&gt;0,VLOOKUP(B23,КВСР!#REF!,2),IF(C23&gt;0,VLOOKUP(C23,КФСР!#REF!,2),IF(D23&gt;0,VLOOKUP(D23,Программа!A$3:B$4988,2),IF(F23&gt;0,VLOOKUP(F23,КВР!A$1:B$5001,2),IF(E23&gt;0,VLOOKUP(E23,Направление!A$1:B$4610,2))))))</f>
        <v xml:space="preserve">Закупка товаров, работ и услуг для обеспечения государственных (муниципальных) нужд
</v>
      </c>
      <c r="B23" s="51"/>
      <c r="C23" s="52"/>
      <c r="D23" s="54"/>
      <c r="E23" s="52"/>
      <c r="F23" s="54">
        <v>200</v>
      </c>
      <c r="G23" s="246">
        <v>0</v>
      </c>
      <c r="H23" s="317">
        <v>0</v>
      </c>
      <c r="I23" s="238">
        <f>G23+H23</f>
        <v>0</v>
      </c>
      <c r="J23" s="313"/>
    </row>
    <row r="24" spans="1:10" s="7" customFormat="1" ht="78.75" hidden="1" x14ac:dyDescent="0.25">
      <c r="A24" s="183" t="str">
        <f>IF(B24&gt;0,VLOOKUP(B24,КВСР!#REF!,2),IF(C24&gt;0,VLOOKUP(C24,КФСР!#REF!,2),IF(D24&gt;0,VLOOKUP(D24,Программа!A$3:B$4988,2),IF(F24&gt;0,VLOOKUP(F24,КВР!A$1:B$5001,2),IF(E24&gt;0,VLOOKUP(E24,Направление!A$1:B$4610,2))))))</f>
        <v xml:space="preserve">Муниципальная программа "Сохранение, использование и популяризация объектов культурного наследия на территории городского поселения Тутаев" </v>
      </c>
      <c r="B24" s="72"/>
      <c r="C24" s="73"/>
      <c r="D24" s="74" t="s">
        <v>667</v>
      </c>
      <c r="E24" s="73"/>
      <c r="F24" s="74"/>
      <c r="G24" s="258">
        <f>G25+G28</f>
        <v>95000</v>
      </c>
      <c r="H24" s="260">
        <f>H25+H28</f>
        <v>0</v>
      </c>
      <c r="I24" s="260">
        <f>I25+I28</f>
        <v>95000</v>
      </c>
      <c r="J24" s="313"/>
    </row>
    <row r="25" spans="1:10" s="7" customFormat="1" ht="47.25" hidden="1" x14ac:dyDescent="0.25">
      <c r="A25" s="183" t="str">
        <f>IF(B25&gt;0,VLOOKUP(B25,КВСР!#REF!,2),IF(C25&gt;0,VLOOKUP(C25,КФСР!#REF!,2),IF(D25&gt;0,VLOOKUP(D25,Программа!A$3:B$4988,2),IF(F25&gt;0,VLOOKUP(F25,КВР!A$1:B$5001,2),IF(E25&gt;0,VLOOKUP(E25,Направление!A$1:B$4610,2))))))</f>
        <v>Проведение историко-культурной экспертизы объектов культурного наследия</v>
      </c>
      <c r="B25" s="51"/>
      <c r="C25" s="52"/>
      <c r="D25" s="54" t="s">
        <v>669</v>
      </c>
      <c r="E25" s="52"/>
      <c r="F25" s="54"/>
      <c r="G25" s="259">
        <f>G26</f>
        <v>70000</v>
      </c>
      <c r="H25" s="261">
        <f t="shared" ref="H25:I26" si="7">H26</f>
        <v>0</v>
      </c>
      <c r="I25" s="261">
        <f t="shared" si="7"/>
        <v>70000</v>
      </c>
      <c r="J25" s="313"/>
    </row>
    <row r="26" spans="1:10" s="7" customFormat="1" ht="31.5" hidden="1" x14ac:dyDescent="0.25">
      <c r="A26" s="183" t="str">
        <f>IF(B26&gt;0,VLOOKUP(B26,КВСР!#REF!,2),IF(C26&gt;0,VLOOKUP(C26,КФСР!#REF!,2),IF(D26&gt;0,VLOOKUP(D26,Программа!A$3:B$4988,2),IF(F26&gt;0,VLOOKUP(F26,КВР!A$1:B$5001,2),IF(E26&gt;0,VLOOKUP(E26,Направление!A$1:B$4610,2))))))</f>
        <v>Содержание имущества казны городского поселения Тутаев</v>
      </c>
      <c r="B26" s="51"/>
      <c r="C26" s="52"/>
      <c r="D26" s="54"/>
      <c r="E26" s="52">
        <v>20030</v>
      </c>
      <c r="F26" s="54"/>
      <c r="G26" s="259">
        <f>G27</f>
        <v>70000</v>
      </c>
      <c r="H26" s="261">
        <f t="shared" si="7"/>
        <v>0</v>
      </c>
      <c r="I26" s="261">
        <f t="shared" si="7"/>
        <v>70000</v>
      </c>
      <c r="J26" s="313"/>
    </row>
    <row r="27" spans="1:10" s="7" customFormat="1" ht="63" hidden="1" x14ac:dyDescent="0.25">
      <c r="A27" s="183" t="str">
        <f>IF(B27&gt;0,VLOOKUP(B27,КВСР!#REF!,2),IF(C27&gt;0,VLOOKUP(C27,КФСР!#REF!,2),IF(D27&gt;0,VLOOKUP(D27,Программа!A$3:B$4988,2),IF(F27&gt;0,VLOOKUP(F27,КВР!A$1:B$5001,2),IF(E27&gt;0,VLOOKUP(E27,Направление!A$1:B$4610,2))))))</f>
        <v xml:space="preserve">Закупка товаров, работ и услуг для обеспечения государственных (муниципальных) нужд
</v>
      </c>
      <c r="B27" s="51"/>
      <c r="C27" s="52"/>
      <c r="D27" s="54"/>
      <c r="E27" s="52"/>
      <c r="F27" s="54">
        <v>200</v>
      </c>
      <c r="G27" s="246">
        <v>70000</v>
      </c>
      <c r="H27" s="317">
        <v>0</v>
      </c>
      <c r="I27" s="238">
        <f>G27+H27</f>
        <v>70000</v>
      </c>
      <c r="J27" s="313"/>
    </row>
    <row r="28" spans="1:10" s="7" customFormat="1" ht="31.5" hidden="1" x14ac:dyDescent="0.25">
      <c r="A28" s="183" t="str">
        <f>IF(B28&gt;0,VLOOKUP(B28,КВСР!#REF!,2),IF(C28&gt;0,VLOOKUP(C28,КФСР!#REF!,2),IF(D28&gt;0,VLOOKUP(D28,Программа!A$3:B$4988,2),IF(F28&gt;0,VLOOKUP(F28,КВР!A$1:B$5001,2),IF(E28&gt;0,VLOOKUP(E28,Направление!A$1:B$4610,2))))))</f>
        <v>Сохранение и использование объектов культурного наследия</v>
      </c>
      <c r="B28" s="51"/>
      <c r="C28" s="52"/>
      <c r="D28" s="54" t="s">
        <v>829</v>
      </c>
      <c r="E28" s="52"/>
      <c r="F28" s="54"/>
      <c r="G28" s="240">
        <f t="shared" ref="G28:I29" si="8">G29</f>
        <v>25000</v>
      </c>
      <c r="H28" s="261">
        <f t="shared" si="8"/>
        <v>0</v>
      </c>
      <c r="I28" s="261">
        <f t="shared" si="8"/>
        <v>25000</v>
      </c>
      <c r="J28" s="313"/>
    </row>
    <row r="29" spans="1:10" s="7" customFormat="1" ht="31.5" hidden="1" x14ac:dyDescent="0.25">
      <c r="A29" s="183" t="str">
        <f>IF(B29&gt;0,VLOOKUP(B29,КВСР!#REF!,2),IF(C29&gt;0,VLOOKUP(C29,КФСР!#REF!,2),IF(D29&gt;0,VLOOKUP(D29,Программа!A$3:B$4988,2),IF(F29&gt;0,VLOOKUP(F29,КВР!A$1:B$5001,2),IF(E29&gt;0,VLOOKUP(E29,Направление!A$1:B$4610,2))))))</f>
        <v>Содержание имущества казны городского поселения Тутаев</v>
      </c>
      <c r="B29" s="51"/>
      <c r="C29" s="52"/>
      <c r="D29" s="54"/>
      <c r="E29" s="52">
        <v>20030</v>
      </c>
      <c r="F29" s="54"/>
      <c r="G29" s="240">
        <f t="shared" si="8"/>
        <v>25000</v>
      </c>
      <c r="H29" s="261">
        <f t="shared" si="8"/>
        <v>0</v>
      </c>
      <c r="I29" s="261">
        <f t="shared" si="8"/>
        <v>25000</v>
      </c>
      <c r="J29" s="313"/>
    </row>
    <row r="30" spans="1:10" s="7" customFormat="1" ht="63" hidden="1" x14ac:dyDescent="0.25">
      <c r="A30" s="183" t="str">
        <f>IF(B30&gt;0,VLOOKUP(B30,КВСР!#REF!,2),IF(C30&gt;0,VLOOKUP(C30,КФСР!#REF!,2),IF(D30&gt;0,VLOOKUP(D30,Программа!A$3:B$4988,2),IF(F30&gt;0,VLOOKUP(F30,КВР!A$1:B$5001,2),IF(E30&gt;0,VLOOKUP(E30,Направление!A$1:B$4610,2))))))</f>
        <v xml:space="preserve">Закупка товаров, работ и услуг для обеспечения государственных (муниципальных) нужд
</v>
      </c>
      <c r="B30" s="51"/>
      <c r="C30" s="52"/>
      <c r="D30" s="54"/>
      <c r="E30" s="52"/>
      <c r="F30" s="54">
        <v>200</v>
      </c>
      <c r="G30" s="246">
        <v>25000</v>
      </c>
      <c r="H30" s="317">
        <v>0</v>
      </c>
      <c r="I30" s="238">
        <f>G30+H30</f>
        <v>25000</v>
      </c>
      <c r="J30" s="313"/>
    </row>
    <row r="31" spans="1:10" s="7" customFormat="1" x14ac:dyDescent="0.25">
      <c r="A31" s="182" t="str">
        <f>IF(B31&gt;0,VLOOKUP(B31,КВСР!A7:B1172,2),IF(C31&gt;0,VLOOKUP(C31,КФСР!A7:B1519,2),IF(D31&gt;0,VLOOKUP(D31,Программа!A$3:B$4988,2),IF(F31&gt;0,VLOOKUP(F31,КВР!A$1:B$5001,2),IF(E31&gt;0,VLOOKUP(E31,Направление!A$1:B$4610,2))))))</f>
        <v>Непрограммные расходы бюджета</v>
      </c>
      <c r="B31" s="114"/>
      <c r="C31" s="115"/>
      <c r="D31" s="116" t="s">
        <v>521</v>
      </c>
      <c r="E31" s="115"/>
      <c r="F31" s="117"/>
      <c r="G31" s="257">
        <f>G32+G34+G36+G38+G40+G42+G44+G46+G48+G50+G54</f>
        <v>30473439</v>
      </c>
      <c r="H31" s="257">
        <f>H32+H34+H36+H38+H40+H42+H44+H46+H48+H50+H52+H54</f>
        <v>23526393.460000005</v>
      </c>
      <c r="I31" s="257">
        <f>I32+I34+I36+I38+I40+I42+I44+I46+I48+I50+I52+I54</f>
        <v>53999832.460000001</v>
      </c>
      <c r="J31" s="313"/>
    </row>
    <row r="32" spans="1:10" s="7" customFormat="1" ht="47.25" x14ac:dyDescent="0.25">
      <c r="A32" s="183" t="str">
        <f>IF(B32&gt;0,VLOOKUP(B32,КВСР!A8:B1173,2),IF(C32&gt;0,VLOOKUP(C32,КФСР!A8:B1520,2),IF(D32&gt;0,VLOOKUP(D32,Программа!A$3:B$4988,2),IF(F32&gt;0,VLOOKUP(F32,КВР!A$1:B$5001,2),IF(E32&gt;0,VLOOKUP(E32,Направление!A$1:B$4610,2))))))</f>
        <v>Приобретение объектов недвижимого имущества в муниципальную собственность</v>
      </c>
      <c r="B32" s="129"/>
      <c r="C32" s="129"/>
      <c r="D32" s="129"/>
      <c r="E32" s="129">
        <v>20040</v>
      </c>
      <c r="F32" s="129"/>
      <c r="G32" s="262">
        <f>G33</f>
        <v>728824</v>
      </c>
      <c r="H32" s="255">
        <f>H33</f>
        <v>239874.82</v>
      </c>
      <c r="I32" s="255">
        <f t="shared" ref="I32" si="9">I33</f>
        <v>968698.82000000007</v>
      </c>
      <c r="J32" s="313"/>
    </row>
    <row r="33" spans="1:10" s="7" customFormat="1" ht="47.25" x14ac:dyDescent="0.25">
      <c r="A33" s="183" t="str">
        <f>IF(B33&gt;0,VLOOKUP(B33,КВСР!A9:B1174,2),IF(C33&gt;0,VLOOKUP(C33,КФСР!A9:B1521,2),IF(D33&gt;0,VLOOKUP(D33,Программа!A$3:B$4988,2),IF(F33&gt;0,VLOOKUP(F33,КВР!A$1:B$5001,2),IF(E33&gt;0,VLOOKUP(E33,Направление!A$1:B$4610,2))))))</f>
        <v>Капитальные вложения в объекты государственной (муниципальной) собственности</v>
      </c>
      <c r="B33" s="129"/>
      <c r="C33" s="129"/>
      <c r="D33" s="129"/>
      <c r="E33" s="129"/>
      <c r="F33" s="129">
        <v>400</v>
      </c>
      <c r="G33" s="299">
        <v>728824</v>
      </c>
      <c r="H33" s="316">
        <v>239874.82</v>
      </c>
      <c r="I33" s="238">
        <f>G33+H33</f>
        <v>968698.82000000007</v>
      </c>
      <c r="J33" s="313"/>
    </row>
    <row r="34" spans="1:10" s="7" customFormat="1" ht="31.5" x14ac:dyDescent="0.25">
      <c r="A34" s="183" t="str">
        <f>IF(B34&gt;0,VLOOKUP(B34,КВСР!A10:B1175,2),IF(C34&gt;0,VLOOKUP(C34,КФСР!A10:B1522,2),IF(D34&gt;0,VLOOKUP(D34,Программа!A$3:B$4988,2),IF(F34&gt;0,VLOOKUP(F34,КВР!A$1:B$5001,2),IF(E34&gt;0,VLOOKUP(E34,Направление!A$1:B$4610,2))))))</f>
        <v>Выполнение других обязательств органами местного самоуправления</v>
      </c>
      <c r="B34" s="129"/>
      <c r="C34" s="129"/>
      <c r="D34" s="129"/>
      <c r="E34" s="129">
        <v>20080</v>
      </c>
      <c r="F34" s="129"/>
      <c r="G34" s="262">
        <f>G35</f>
        <v>197000</v>
      </c>
      <c r="H34" s="262">
        <f t="shared" ref="H34:I34" si="10">H35</f>
        <v>63920</v>
      </c>
      <c r="I34" s="262">
        <f t="shared" si="10"/>
        <v>260920</v>
      </c>
      <c r="J34" s="313"/>
    </row>
    <row r="35" spans="1:10" s="7" customFormat="1" ht="63" x14ac:dyDescent="0.25">
      <c r="A35" s="183" t="str">
        <f>IF(B35&gt;0,VLOOKUP(B35,КВСР!A11:B1176,2),IF(C35&gt;0,VLOOKUP(C35,КФСР!A11:B1523,2),IF(D35&gt;0,VLOOKUP(D35,Программа!A$3:B$4988,2),IF(F35&gt;0,VLOOKUP(F35,КВР!A$1:B$5001,2),IF(E35&gt;0,VLOOKUP(E35,Направление!A$1:B$4610,2))))))</f>
        <v xml:space="preserve">Закупка товаров, работ и услуг для обеспечения государственных (муниципальных) нужд
</v>
      </c>
      <c r="B35" s="129"/>
      <c r="C35" s="129"/>
      <c r="D35" s="129"/>
      <c r="E35" s="129"/>
      <c r="F35" s="129">
        <v>200</v>
      </c>
      <c r="G35" s="299">
        <v>197000</v>
      </c>
      <c r="H35" s="316">
        <v>63920</v>
      </c>
      <c r="I35" s="238">
        <f>G35+H35</f>
        <v>260920</v>
      </c>
      <c r="J35" s="313"/>
    </row>
    <row r="36" spans="1:10" s="7" customFormat="1" ht="47.25" x14ac:dyDescent="0.25">
      <c r="A36" s="183" t="str">
        <f>IF(B36&gt;0,VLOOKUP(B36,КВСР!A8:B1173,2),IF(C36&gt;0,VLOOKUP(C36,КФСР!A8:B1520,2),IF(D36&gt;0,VLOOKUP(D36,Программа!A$3:B$4988,2),IF(F36&gt;0,VLOOKUP(F36,КВР!A$1:B$5001,2),IF(E36&gt;0,VLOOKUP(E36,Направление!A$1:B$4610,2))))))</f>
        <v>Ежегодная премия лицам удостоившихся звания "Почетный гражданин города Тутаева"</v>
      </c>
      <c r="B36" s="72"/>
      <c r="C36" s="73"/>
      <c r="D36" s="112"/>
      <c r="E36" s="73">
        <v>20120</v>
      </c>
      <c r="F36" s="74"/>
      <c r="G36" s="262">
        <f>G37</f>
        <v>108000</v>
      </c>
      <c r="H36" s="255">
        <f t="shared" ref="H36:I36" si="11">H37</f>
        <v>108000</v>
      </c>
      <c r="I36" s="255">
        <f t="shared" si="11"/>
        <v>216000</v>
      </c>
      <c r="J36" s="313"/>
    </row>
    <row r="37" spans="1:10" s="7" customFormat="1" ht="31.5" x14ac:dyDescent="0.25">
      <c r="A37" s="183" t="str">
        <f>IF(B37&gt;0,VLOOKUP(B37,КВСР!A9:B1174,2),IF(C37&gt;0,VLOOKUP(C37,КФСР!A9:B1521,2),IF(D37&gt;0,VLOOKUP(D37,Программа!A$3:B$4988,2),IF(F37&gt;0,VLOOKUP(F37,КВР!A$1:B$5001,2),IF(E37&gt;0,VLOOKUP(E37,Направление!A$1:B$4610,2))))))</f>
        <v>Социальное обеспечение и иные выплаты населению</v>
      </c>
      <c r="B37" s="72"/>
      <c r="C37" s="73"/>
      <c r="D37" s="112"/>
      <c r="E37" s="73"/>
      <c r="F37" s="74">
        <v>300</v>
      </c>
      <c r="G37" s="299">
        <v>108000</v>
      </c>
      <c r="H37" s="316">
        <v>108000</v>
      </c>
      <c r="I37" s="238">
        <f>G37+H37</f>
        <v>216000</v>
      </c>
      <c r="J37" s="313"/>
    </row>
    <row r="38" spans="1:10" s="7" customFormat="1" ht="31.5" x14ac:dyDescent="0.25">
      <c r="A38" s="183" t="str">
        <f>IF(B38&gt;0,VLOOKUP(B38,КВСР!A10:B1175,2),IF(C38&gt;0,VLOOKUP(C38,КФСР!A10:B1522,2),IF(D38&gt;0,VLOOKUP(D38,Программа!A$3:B$4988,2),IF(F38&gt;0,VLOOKUP(F38,КВР!A$1:B$5001,2),IF(E38&gt;0,VLOOKUP(E38,Направление!A$1:B$4610,2))))))</f>
        <v>Выплаты по обязательствам муниципального образования</v>
      </c>
      <c r="B38" s="72"/>
      <c r="C38" s="73"/>
      <c r="D38" s="112"/>
      <c r="E38" s="73">
        <v>20130</v>
      </c>
      <c r="F38" s="74"/>
      <c r="G38" s="262">
        <f>G39</f>
        <v>3260936</v>
      </c>
      <c r="H38" s="255">
        <f>H39</f>
        <v>3042210</v>
      </c>
      <c r="I38" s="255">
        <f t="shared" ref="I38" si="12">I39</f>
        <v>6303146</v>
      </c>
      <c r="J38" s="313"/>
    </row>
    <row r="39" spans="1:10" s="7" customFormat="1" x14ac:dyDescent="0.25">
      <c r="A39" s="183" t="str">
        <f>IF(B39&gt;0,VLOOKUP(B39,КВСР!A11:B1176,2),IF(C39&gt;0,VLOOKUP(C39,КФСР!A11:B1523,2),IF(D39&gt;0,VLOOKUP(D39,Программа!A$3:B$4988,2),IF(F39&gt;0,VLOOKUP(F39,КВР!A$1:B$5001,2),IF(E39&gt;0,VLOOKUP(E39,Направление!A$1:B$4610,2))))))</f>
        <v>Иные бюджетные ассигнования</v>
      </c>
      <c r="B39" s="72"/>
      <c r="C39" s="73"/>
      <c r="D39" s="112"/>
      <c r="E39" s="73"/>
      <c r="F39" s="74">
        <v>800</v>
      </c>
      <c r="G39" s="299">
        <v>3260936</v>
      </c>
      <c r="H39" s="316">
        <v>3042210</v>
      </c>
      <c r="I39" s="238">
        <f>G39+H39</f>
        <v>6303146</v>
      </c>
      <c r="J39" s="313"/>
    </row>
    <row r="40" spans="1:10" s="7" customFormat="1" ht="47.25" x14ac:dyDescent="0.25">
      <c r="A40" s="183" t="str">
        <f>IF(B40&gt;0,VLOOKUP(B40,КВСР!A10:B1175,2),IF(C40&gt;0,VLOOKUP(C40,КФСР!A10:B1522,2),IF(D40&gt;0,VLOOKUP(D40,Программа!A$3:B$4988,2),IF(F40&gt;0,VLOOKUP(F40,КВР!A$1:B$5001,2),IF(E40&gt;0,VLOOKUP(E40,Направление!A$1:B$4610,2))))))</f>
        <v xml:space="preserve">Межбюджетные трансферты на содержание органов местного самоуправления </v>
      </c>
      <c r="B40" s="72"/>
      <c r="C40" s="73"/>
      <c r="D40" s="112"/>
      <c r="E40" s="73">
        <v>29016</v>
      </c>
      <c r="F40" s="74"/>
      <c r="G40" s="262">
        <f>G41</f>
        <v>22241441</v>
      </c>
      <c r="H40" s="255">
        <f t="shared" ref="H40:I40" si="13">H41</f>
        <v>18589325.66</v>
      </c>
      <c r="I40" s="255">
        <f t="shared" si="13"/>
        <v>40830766.659999996</v>
      </c>
      <c r="J40" s="313"/>
    </row>
    <row r="41" spans="1:10" s="7" customFormat="1" x14ac:dyDescent="0.25">
      <c r="A41" s="183" t="str">
        <f>IF(B41&gt;0,VLOOKUP(B41,КВСР!A11:B1176,2),IF(C41&gt;0,VLOOKUP(C41,КФСР!A11:B1523,2),IF(D41&gt;0,VLOOKUP(D41,Программа!A$3:B$4988,2),IF(F41&gt;0,VLOOKUP(F41,КВР!A$1:B$5001,2),IF(E41&gt;0,VLOOKUP(E41,Направление!A$1:B$4610,2))))))</f>
        <v xml:space="preserve"> Межбюджетные трансферты</v>
      </c>
      <c r="B41" s="72"/>
      <c r="C41" s="73"/>
      <c r="D41" s="112"/>
      <c r="E41" s="73"/>
      <c r="F41" s="74">
        <v>500</v>
      </c>
      <c r="G41" s="299">
        <v>22241441</v>
      </c>
      <c r="H41" s="316">
        <v>18589325.66</v>
      </c>
      <c r="I41" s="238">
        <f>G41+H41</f>
        <v>40830766.659999996</v>
      </c>
      <c r="J41" s="313"/>
    </row>
    <row r="42" spans="1:10" s="7" customFormat="1" ht="110.25" x14ac:dyDescent="0.25">
      <c r="A42" s="183" t="str">
        <f>IF(B42&gt;0,VLOOKUP(B42,КВСР!A12:B1177,2),IF(C42&gt;0,VLOOKUP(C42,КФСР!A12:B1524,2),IF(D42&gt;0,VLOOKUP(D42,Программа!A$3:B$4988,2),IF(F42&gt;0,VLOOKUP(F42,КВР!A$1:B$5001,2),IF(E42&gt;0,VLOOKUP(E42,Направление!A$1:B$4610,2))))))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2" s="72"/>
      <c r="C42" s="73"/>
      <c r="D42" s="112"/>
      <c r="E42" s="73">
        <v>29026</v>
      </c>
      <c r="F42" s="74"/>
      <c r="G42" s="262">
        <f>G43</f>
        <v>1127000</v>
      </c>
      <c r="H42" s="255">
        <f t="shared" ref="H42:I42" si="14">H43</f>
        <v>308692.92</v>
      </c>
      <c r="I42" s="255">
        <f t="shared" si="14"/>
        <v>1435692.92</v>
      </c>
      <c r="J42" s="313"/>
    </row>
    <row r="43" spans="1:10" s="7" customFormat="1" x14ac:dyDescent="0.25">
      <c r="A43" s="183" t="str">
        <f>IF(B43&gt;0,VLOOKUP(B43,КВСР!A13:B1178,2),IF(C43&gt;0,VLOOKUP(C43,КФСР!A13:B1525,2),IF(D43&gt;0,VLOOKUP(D43,Программа!A$3:B$4988,2),IF(F43&gt;0,VLOOKUP(F43,КВР!A$1:B$5001,2),IF(E43&gt;0,VLOOKUP(E43,Направление!A$1:B$4610,2))))))</f>
        <v xml:space="preserve"> Межбюджетные трансферты</v>
      </c>
      <c r="B43" s="72"/>
      <c r="C43" s="73"/>
      <c r="D43" s="112"/>
      <c r="E43" s="73"/>
      <c r="F43" s="74">
        <v>500</v>
      </c>
      <c r="G43" s="299">
        <v>1127000</v>
      </c>
      <c r="H43" s="316">
        <v>308692.92</v>
      </c>
      <c r="I43" s="238">
        <f>G43+H43</f>
        <v>1435692.92</v>
      </c>
      <c r="J43" s="313"/>
    </row>
    <row r="44" spans="1:10" s="7" customFormat="1" ht="63" x14ac:dyDescent="0.25">
      <c r="A44" s="183" t="str">
        <f>IF(B44&gt;0,VLOOKUP(B44,КВСР!A14:B1179,2),IF(C44&gt;0,VLOOKUP(C44,КФСР!A14:B1526,2),IF(D44&gt;0,VLOOKUP(D44,Программа!A$3:B$4988,2),IF(F44&gt;0,VLOOKUP(F44,КВР!A$1:B$5001,2),IF(E44&gt;0,VLOOKUP(E44,Направление!A$1:B$4610,2))))))</f>
        <v>Межбюджетные трансферты на обеспечение поддержки деятельности социально-ориентированных некоммерческих организаций</v>
      </c>
      <c r="B44" s="72"/>
      <c r="C44" s="73"/>
      <c r="D44" s="112"/>
      <c r="E44" s="73">
        <v>29516</v>
      </c>
      <c r="F44" s="74"/>
      <c r="G44" s="300">
        <f>G45</f>
        <v>600000</v>
      </c>
      <c r="H44" s="263">
        <f t="shared" ref="H44:I44" si="15">H45</f>
        <v>500000</v>
      </c>
      <c r="I44" s="263">
        <f t="shared" si="15"/>
        <v>1100000</v>
      </c>
      <c r="J44" s="313"/>
    </row>
    <row r="45" spans="1:10" s="7" customFormat="1" x14ac:dyDescent="0.25">
      <c r="A45" s="183" t="str">
        <f>IF(B45&gt;0,VLOOKUP(B45,КВСР!A15:B1180,2),IF(C45&gt;0,VLOOKUP(C45,КФСР!A15:B1527,2),IF(D45&gt;0,VLOOKUP(D45,Программа!A$3:B$4988,2),IF(F45&gt;0,VLOOKUP(F45,КВР!A$1:B$5001,2),IF(E45&gt;0,VLOOKUP(E45,Направление!A$1:B$4610,2))))))</f>
        <v xml:space="preserve"> Межбюджетные трансферты</v>
      </c>
      <c r="B45" s="72"/>
      <c r="C45" s="73"/>
      <c r="D45" s="112"/>
      <c r="E45" s="73"/>
      <c r="F45" s="74">
        <v>500</v>
      </c>
      <c r="G45" s="299">
        <v>600000</v>
      </c>
      <c r="H45" s="316">
        <v>500000</v>
      </c>
      <c r="I45" s="238">
        <f>G45+H45</f>
        <v>1100000</v>
      </c>
      <c r="J45" s="313"/>
    </row>
    <row r="46" spans="1:10" s="7" customFormat="1" ht="47.25" x14ac:dyDescent="0.25">
      <c r="A46" s="183" t="str">
        <f>IF(B46&gt;0,VLOOKUP(B46,КВСР!A16:B1181,2),IF(C46&gt;0,VLOOKUP(C46,КФСР!A16:B1528,2),IF(D46&gt;0,VLOOKUP(D46,Программа!A$3:B$4988,2),IF(F46&gt;0,VLOOKUP(F46,КВР!A$1:B$5001,2),IF(E46&gt;0,VLOOKUP(E46,Направление!A$1:B$4610,2))))))</f>
        <v>Межбюджетные трансферты на обеспечение  обязательств  по содержанию казны поселения</v>
      </c>
      <c r="B46" s="72"/>
      <c r="C46" s="73"/>
      <c r="D46" s="112"/>
      <c r="E46" s="73">
        <v>29556</v>
      </c>
      <c r="F46" s="74"/>
      <c r="G46" s="300">
        <f>G47</f>
        <v>1408000</v>
      </c>
      <c r="H46" s="263">
        <f>H47</f>
        <v>212233.96</v>
      </c>
      <c r="I46" s="263">
        <f>I47</f>
        <v>1620233.96</v>
      </c>
      <c r="J46" s="313"/>
    </row>
    <row r="47" spans="1:10" s="7" customFormat="1" x14ac:dyDescent="0.25">
      <c r="A47" s="183" t="str">
        <f>IF(B47&gt;0,VLOOKUP(B47,КВСР!A17:B1182,2),IF(C47&gt;0,VLOOKUP(C47,КФСР!A17:B1529,2),IF(D47&gt;0,VLOOKUP(D47,Программа!A$3:B$4988,2),IF(F47&gt;0,VLOOKUP(F47,КВР!A$1:B$5001,2),IF(E47&gt;0,VLOOKUP(E47,Направление!A$1:B$4610,2))))))</f>
        <v xml:space="preserve"> Межбюджетные трансферты</v>
      </c>
      <c r="B47" s="72"/>
      <c r="C47" s="73"/>
      <c r="D47" s="112"/>
      <c r="E47" s="73"/>
      <c r="F47" s="74">
        <v>500</v>
      </c>
      <c r="G47" s="299">
        <v>1408000</v>
      </c>
      <c r="H47" s="316">
        <v>212233.96</v>
      </c>
      <c r="I47" s="238">
        <f>G47+H47</f>
        <v>1620233.96</v>
      </c>
      <c r="J47" s="313"/>
    </row>
    <row r="48" spans="1:10" s="7" customFormat="1" ht="63" x14ac:dyDescent="0.25">
      <c r="A48" s="183" t="str">
        <f>IF(B48&gt;0,VLOOKUP(B48,КВСР!A16:B1181,2),IF(C48&gt;0,VLOOKUP(C48,КФСР!A16:B1528,2),IF(D48&gt;0,VLOOKUP(D48,Программа!A$3:B$4988,2),IF(F48&gt;0,VLOOKUP(F48,КВР!A$1:B$5001,2),IF(E48&gt;0,VLOOKUP(E48,Направление!A$1:B$4610,2))))))</f>
        <v xml:space="preserve">Межбюджетные трансферты на обеспечение мероприятий по содержанию  военно- мемориального комплекса </v>
      </c>
      <c r="B48" s="72"/>
      <c r="C48" s="73"/>
      <c r="D48" s="112"/>
      <c r="E48" s="73">
        <v>29686</v>
      </c>
      <c r="F48" s="74"/>
      <c r="G48" s="262">
        <f>G49</f>
        <v>210000</v>
      </c>
      <c r="H48" s="255">
        <f t="shared" ref="H48:I48" si="16">H49</f>
        <v>130824.78</v>
      </c>
      <c r="I48" s="255">
        <f t="shared" si="16"/>
        <v>340824.78</v>
      </c>
      <c r="J48" s="313"/>
    </row>
    <row r="49" spans="1:10" s="7" customFormat="1" x14ac:dyDescent="0.25">
      <c r="A49" s="183" t="str">
        <f>IF(B49&gt;0,VLOOKUP(B49,КВСР!A17:B1182,2),IF(C49&gt;0,VLOOKUP(C49,КФСР!A17:B1529,2),IF(D49&gt;0,VLOOKUP(D49,Программа!A$3:B$4988,2),IF(F49&gt;0,VLOOKUP(F49,КВР!A$1:B$5001,2),IF(E49&gt;0,VLOOKUP(E49,Направление!A$1:B$4610,2))))))</f>
        <v xml:space="preserve"> Межбюджетные трансферты</v>
      </c>
      <c r="B49" s="72"/>
      <c r="C49" s="73"/>
      <c r="D49" s="112"/>
      <c r="E49" s="73"/>
      <c r="F49" s="74">
        <v>500</v>
      </c>
      <c r="G49" s="299">
        <v>210000</v>
      </c>
      <c r="H49" s="316">
        <v>130824.78</v>
      </c>
      <c r="I49" s="238">
        <f>G49+H49</f>
        <v>340824.78</v>
      </c>
      <c r="J49" s="313"/>
    </row>
    <row r="50" spans="1:10" s="7" customFormat="1" ht="47.25" x14ac:dyDescent="0.25">
      <c r="A50" s="183" t="str">
        <f>IF(B50&gt;0,VLOOKUP(B50,КВСР!A18:B1183,2),IF(C50&gt;0,VLOOKUP(C50,КФСР!A18:B1530,2),IF(D50&gt;0,VLOOKUP(D50,Программа!A$3:B$4988,2),IF(F50&gt;0,VLOOKUP(F50,КВР!A$1:B$5001,2),IF(E50&gt;0,VLOOKUP(E50,Направление!A$1:B$4610,2))))))</f>
        <v>Межбюджетные трансферты на обеспечение мероприятий по безопасности жителей города</v>
      </c>
      <c r="B50" s="72"/>
      <c r="C50" s="73"/>
      <c r="D50" s="112"/>
      <c r="E50" s="73">
        <v>29766</v>
      </c>
      <c r="F50" s="74"/>
      <c r="G50" s="262">
        <f>G51</f>
        <v>220000</v>
      </c>
      <c r="H50" s="266">
        <f>H51</f>
        <v>33367.800000000003</v>
      </c>
      <c r="I50" s="239">
        <f t="shared" ref="I50:I53" si="17">SUM(G50:H50)</f>
        <v>253367.8</v>
      </c>
      <c r="J50" s="313"/>
    </row>
    <row r="51" spans="1:10" s="7" customFormat="1" x14ac:dyDescent="0.25">
      <c r="A51" s="183" t="str">
        <f>IF(B51&gt;0,VLOOKUP(B51,КВСР!A19:B1184,2),IF(C51&gt;0,VLOOKUP(C51,КФСР!A19:B1531,2),IF(D51&gt;0,VLOOKUP(D51,Программа!A$3:B$4988,2),IF(F51&gt;0,VLOOKUP(F51,КВР!A$1:B$5001,2),IF(E51&gt;0,VLOOKUP(E51,Направление!A$1:B$4610,2))))))</f>
        <v xml:space="preserve"> Межбюджетные трансферты</v>
      </c>
      <c r="B51" s="72"/>
      <c r="C51" s="73"/>
      <c r="D51" s="112"/>
      <c r="E51" s="73"/>
      <c r="F51" s="74">
        <v>500</v>
      </c>
      <c r="G51" s="299">
        <v>220000</v>
      </c>
      <c r="H51" s="316">
        <v>33367.800000000003</v>
      </c>
      <c r="I51" s="238">
        <f>G51+H51</f>
        <v>253367.8</v>
      </c>
      <c r="J51" s="313"/>
    </row>
    <row r="52" spans="1:10" s="7" customFormat="1" ht="47.25" hidden="1" x14ac:dyDescent="0.25">
      <c r="A52" s="183" t="str">
        <f>IF(B52&gt;0,VLOOKUP(B52,КВСР!A18:B1183,2),IF(C52&gt;0,VLOOKUP(C52,КФСР!A18:B1530,2),IF(D52&gt;0,VLOOKUP(D52,Программа!A$3:B$4988,2),IF(F52&gt;0,VLOOKUP(F52,КВР!A$1:B$5001,2),IF(E52&gt;0,VLOOKUP(E52,Направление!A$1:B$4610,2))))))</f>
        <v>Межбюджетные трансферты на обеспечение мероприятий по разработке и экспертизе ПСД</v>
      </c>
      <c r="B52" s="72"/>
      <c r="C52" s="73"/>
      <c r="D52" s="112"/>
      <c r="E52" s="73">
        <v>29776</v>
      </c>
      <c r="F52" s="74"/>
      <c r="G52" s="262">
        <v>0</v>
      </c>
      <c r="H52" s="266">
        <f>H53</f>
        <v>0</v>
      </c>
      <c r="I52" s="239">
        <f t="shared" si="17"/>
        <v>0</v>
      </c>
      <c r="J52" s="313"/>
    </row>
    <row r="53" spans="1:10" s="7" customFormat="1" hidden="1" x14ac:dyDescent="0.25">
      <c r="A53" s="183" t="str">
        <f>IF(B53&gt;0,VLOOKUP(B53,КВСР!A19:B1184,2),IF(C53&gt;0,VLOOKUP(C53,КФСР!A19:B1531,2),IF(D53&gt;0,VLOOKUP(D53,Программа!A$3:B$4988,2),IF(F53&gt;0,VLOOKUP(F53,КВР!A$1:B$5001,2),IF(E53&gt;0,VLOOKUP(E53,Направление!A$1:B$4610,2))))))</f>
        <v xml:space="preserve"> Межбюджетные трансферты</v>
      </c>
      <c r="B53" s="72"/>
      <c r="C53" s="73"/>
      <c r="D53" s="112"/>
      <c r="E53" s="73"/>
      <c r="F53" s="74">
        <v>500</v>
      </c>
      <c r="G53" s="299">
        <v>0</v>
      </c>
      <c r="H53" s="316"/>
      <c r="I53" s="238">
        <f t="shared" si="17"/>
        <v>0</v>
      </c>
      <c r="J53" s="313"/>
    </row>
    <row r="54" spans="1:10" s="7" customFormat="1" ht="63" x14ac:dyDescent="0.25">
      <c r="A54" s="183" t="str">
        <f>IF(B54&gt;0,VLOOKUP(B54,КВСР!A20:B1185,2),IF(C54&gt;0,VLOOKUP(C54,КФСР!A20:B1532,2),IF(D54&gt;0,VLOOKUP(D54,Программа!A$3:B$4988,2),IF(F54&gt;0,VLOOKUP(F54,КВР!A$1:B$5001,2),IF(E54&gt;0,VLOOKUP(E54,Направление!A$1:B$4610,2))))))</f>
        <v xml:space="preserve"> Межбюджетные трансферты на обеспечение мероприятий по выполнению прочих обязательств органами местного самоуправления</v>
      </c>
      <c r="B54" s="72"/>
      <c r="C54" s="73"/>
      <c r="D54" s="112"/>
      <c r="E54" s="73">
        <v>29806</v>
      </c>
      <c r="F54" s="74"/>
      <c r="G54" s="262">
        <f>G55</f>
        <v>372238</v>
      </c>
      <c r="H54" s="266">
        <f>H55</f>
        <v>297943.52</v>
      </c>
      <c r="I54" s="239">
        <f>I55</f>
        <v>670181.52</v>
      </c>
      <c r="J54" s="313"/>
    </row>
    <row r="55" spans="1:10" s="7" customFormat="1" x14ac:dyDescent="0.25">
      <c r="A55" s="183" t="str">
        <f>IF(B55&gt;0,VLOOKUP(B55,КВСР!A21:B1186,2),IF(C55&gt;0,VLOOKUP(C55,КФСР!A21:B1533,2),IF(D55&gt;0,VLOOKUP(D55,Программа!A$3:B$4988,2),IF(F55&gt;0,VLOOKUP(F55,КВР!A$1:B$5001,2),IF(E55&gt;0,VLOOKUP(E55,Направление!A$1:B$4610,2))))))</f>
        <v xml:space="preserve"> Межбюджетные трансферты</v>
      </c>
      <c r="B55" s="72"/>
      <c r="C55" s="73"/>
      <c r="D55" s="112"/>
      <c r="E55" s="73"/>
      <c r="F55" s="74">
        <v>500</v>
      </c>
      <c r="G55" s="299">
        <v>372238</v>
      </c>
      <c r="H55" s="316">
        <v>297943.52</v>
      </c>
      <c r="I55" s="238">
        <f>G55+H55</f>
        <v>670181.52</v>
      </c>
      <c r="J55" s="313"/>
    </row>
    <row r="56" spans="1:10" s="7" customFormat="1" ht="63" x14ac:dyDescent="0.25">
      <c r="A56" s="333" t="str">
        <f>IF(B56&gt;0,VLOOKUP(B56,КВСР!A16:B1181,2),IF(C56&gt;0,VLOOKUP(C56,КФСР!A16:B1528,2),IF(D56&gt;0,VLOOKUP(D56,Программа!A$3:B$4988,2),IF(F56&gt;0,VLOOKUP(F56,КВР!A$1:B$5001,2),IF(E56&gt;0,VLOOKUP(E56,Направление!A$1:B$4610,2))))))</f>
        <v>Защита населения и территории от чрезвычайных ситуаций природного и техногенного характера, пожарная безопасность</v>
      </c>
      <c r="B56" s="55"/>
      <c r="C56" s="56">
        <v>310</v>
      </c>
      <c r="D56" s="57"/>
      <c r="E56" s="56"/>
      <c r="F56" s="58"/>
      <c r="G56" s="256">
        <f>G57+G64</f>
        <v>2842975</v>
      </c>
      <c r="H56" s="256">
        <f>H57+H64</f>
        <v>1783083.95</v>
      </c>
      <c r="I56" s="256">
        <f>I57+I64</f>
        <v>4626058.95</v>
      </c>
      <c r="J56" s="313"/>
    </row>
    <row r="57" spans="1:10" s="7" customFormat="1" x14ac:dyDescent="0.25">
      <c r="A57" s="182" t="str">
        <f>IF(B57&gt;0,VLOOKUP(B57,КВСР!A17:B1182,2),IF(C57&gt;0,VLOOKUP(C57,КФСР!A17:B1529,2),IF(D57&gt;0,VLOOKUP(D57,Программа!A$3:B$4988,2),IF(F57&gt;0,VLOOKUP(F57,КВР!A$1:B$5001,2),IF(E57&gt;0,VLOOKUP(E57,Направление!A$1:B$4610,2))))))</f>
        <v>Программные расходы бюджета</v>
      </c>
      <c r="B57" s="114"/>
      <c r="C57" s="115"/>
      <c r="D57" s="116" t="s">
        <v>634</v>
      </c>
      <c r="E57" s="115"/>
      <c r="F57" s="117"/>
      <c r="G57" s="257">
        <f>G58</f>
        <v>140000</v>
      </c>
      <c r="H57" s="257">
        <f t="shared" ref="H57:I57" si="18">H59</f>
        <v>120586.47</v>
      </c>
      <c r="I57" s="257">
        <f t="shared" si="18"/>
        <v>260586.47</v>
      </c>
      <c r="J57" s="313"/>
    </row>
    <row r="58" spans="1:10" s="7" customFormat="1" ht="78.75" x14ac:dyDescent="0.25">
      <c r="A58" s="250" t="str">
        <f>IF(B58&gt;0,VLOOKUP(B58,КВСР!A18:B1183,2),IF(C58&gt;0,VLOOKUP(C58,КФСР!A18:B1530,2),IF(D58&gt;0,VLOOKUP(D58,Программа!A$3:B$4988,2),IF(F58&gt;0,VLOOKUP(F58,КВР!A$1:B$5001,2),IF(E58&gt;0,VLOOKUP(E58,Направление!A$1:B$4610,2))))))</f>
        <v>Муниципальная программа "Обеспечение безопасности граждан на водных объектах, охрана их жизни и здоровья на территории городского поселения Тутаев"</v>
      </c>
      <c r="B58" s="114"/>
      <c r="C58" s="115"/>
      <c r="D58" s="116" t="s">
        <v>797</v>
      </c>
      <c r="E58" s="115"/>
      <c r="F58" s="117"/>
      <c r="G58" s="257">
        <f>G59</f>
        <v>140000</v>
      </c>
      <c r="H58" s="257">
        <f t="shared" ref="H58:I58" si="19">H59</f>
        <v>120586.47</v>
      </c>
      <c r="I58" s="257">
        <f t="shared" si="19"/>
        <v>260586.47</v>
      </c>
      <c r="J58" s="313"/>
    </row>
    <row r="59" spans="1:10" s="7" customFormat="1" ht="78.75" x14ac:dyDescent="0.25">
      <c r="A59" s="183" t="str">
        <f>IF(B59&gt;0,VLOOKUP(B59,КВСР!A18:B1183,2),IF(C59&gt;0,VLOOKUP(C59,КФСР!A18:B1530,2),IF(D59&gt;0,VLOOKUP(D59,Программа!A$3:B$4988,2),IF(F59&gt;0,VLOOKUP(F59,КВР!A$1:B$5001,2),IF(E59&gt;0,VLOOKUP(E59,Направление!A$1:B$4610,2))))))</f>
        <v>Модернизация мест массового отдыха населения на водных объектах, направленная на обеспечение безопасности, охраны жизни и здоровья людей</v>
      </c>
      <c r="B59" s="72"/>
      <c r="C59" s="73"/>
      <c r="D59" s="74" t="s">
        <v>798</v>
      </c>
      <c r="E59" s="73"/>
      <c r="F59" s="74"/>
      <c r="G59" s="258">
        <f>G60+G62</f>
        <v>140000</v>
      </c>
      <c r="H59" s="258">
        <f t="shared" ref="H59:I59" si="20">H60+H62</f>
        <v>120586.47</v>
      </c>
      <c r="I59" s="258">
        <f t="shared" si="20"/>
        <v>260586.47</v>
      </c>
      <c r="J59" s="313"/>
    </row>
    <row r="60" spans="1:10" s="7" customFormat="1" ht="63" x14ac:dyDescent="0.25">
      <c r="A60" s="183" t="str">
        <f>IF(B60&gt;0,VLOOKUP(B60,КВСР!A19:B1184,2),IF(C60&gt;0,VLOOKUP(C60,КФСР!A19:B1531,2),IF(D60&gt;0,VLOOKUP(D60,Программа!A$3:B$4988,2),IF(F60&gt;0,VLOOKUP(F60,КВР!A$1:B$5001,2),IF(E60&gt;0,VLOOKUP(E60,Направление!A$1:B$4610,2))))))</f>
        <v>Расходы на  софинансирование мероприятий  по обеспечению безопастности граждан на водных объектах</v>
      </c>
      <c r="B60" s="72"/>
      <c r="C60" s="73"/>
      <c r="D60" s="74"/>
      <c r="E60" s="73">
        <v>21450</v>
      </c>
      <c r="F60" s="74"/>
      <c r="G60" s="258">
        <f>G61</f>
        <v>70000</v>
      </c>
      <c r="H60" s="258">
        <f t="shared" ref="H60:I60" si="21">H61</f>
        <v>60293.23</v>
      </c>
      <c r="I60" s="258">
        <f t="shared" si="21"/>
        <v>130293.23000000001</v>
      </c>
      <c r="J60" s="313"/>
    </row>
    <row r="61" spans="1:10" s="7" customFormat="1" ht="63" x14ac:dyDescent="0.25">
      <c r="A61" s="183" t="str">
        <f>IF(B61&gt;0,VLOOKUP(B61,КВСР!A20:B1185,2),IF(C61&gt;0,VLOOKUP(C61,КФСР!A20:B1532,2),IF(D61&gt;0,VLOOKUP(D61,Программа!A$3:B$4988,2),IF(F61&gt;0,VLOOKUP(F61,КВР!A$1:B$5001,2),IF(E61&gt;0,VLOOKUP(E61,Направление!A$1:B$4610,2))))))</f>
        <v xml:space="preserve">Закупка товаров, работ и услуг для обеспечения государственных (муниципальных) нужд
</v>
      </c>
      <c r="B61" s="51"/>
      <c r="C61" s="52"/>
      <c r="D61" s="54"/>
      <c r="E61" s="52"/>
      <c r="F61" s="54">
        <v>200</v>
      </c>
      <c r="G61" s="299">
        <v>70000</v>
      </c>
      <c r="H61" s="316">
        <v>60293.23</v>
      </c>
      <c r="I61" s="238">
        <f>G61+H61</f>
        <v>130293.23000000001</v>
      </c>
      <c r="J61" s="313"/>
    </row>
    <row r="62" spans="1:10" s="7" customFormat="1" ht="47.25" x14ac:dyDescent="0.25">
      <c r="A62" s="183" t="str">
        <f>IF(B62&gt;0,VLOOKUP(B62,КВСР!A21:B1186,2),IF(C62&gt;0,VLOOKUP(C62,КФСР!A21:B1533,2),IF(D62&gt;0,VLOOKUP(D62,Программа!A$3:B$4988,2),IF(F62&gt;0,VLOOKUP(F62,КВР!A$1:B$5001,2),IF(E62&gt;0,VLOOKUP(E62,Направление!A$1:B$4610,2))))))</f>
        <v>Обеспечение мероприятий по обеспечению безопастности граждан на водных объектах</v>
      </c>
      <c r="B62" s="51"/>
      <c r="C62" s="52"/>
      <c r="D62" s="54"/>
      <c r="E62" s="52">
        <v>71450</v>
      </c>
      <c r="F62" s="54"/>
      <c r="G62" s="262">
        <f>G63</f>
        <v>70000</v>
      </c>
      <c r="H62" s="266">
        <f>H63</f>
        <v>60293.24</v>
      </c>
      <c r="I62" s="239">
        <f t="shared" ref="I62" si="22">G62+H62</f>
        <v>130293.23999999999</v>
      </c>
      <c r="J62" s="313"/>
    </row>
    <row r="63" spans="1:10" s="7" customFormat="1" ht="63" x14ac:dyDescent="0.25">
      <c r="A63" s="183" t="str">
        <f>IF(B63&gt;0,VLOOKUP(B63,КВСР!A22:B1187,2),IF(C63&gt;0,VLOOKUP(C63,КФСР!A22:B1534,2),IF(D63&gt;0,VLOOKUP(D63,Программа!A$3:B$4988,2),IF(F63&gt;0,VLOOKUP(F63,КВР!A$1:B$5001,2),IF(E63&gt;0,VLOOKUP(E63,Направление!A$1:B$4610,2))))))</f>
        <v xml:space="preserve">Закупка товаров, работ и услуг для обеспечения государственных (муниципальных) нужд
</v>
      </c>
      <c r="B63" s="51"/>
      <c r="C63" s="52"/>
      <c r="D63" s="54"/>
      <c r="E63" s="52"/>
      <c r="F63" s="54">
        <v>200</v>
      </c>
      <c r="G63" s="299">
        <v>70000</v>
      </c>
      <c r="H63" s="316">
        <v>60293.24</v>
      </c>
      <c r="I63" s="238">
        <f>G63+H63</f>
        <v>130293.23999999999</v>
      </c>
      <c r="J63" s="313"/>
    </row>
    <row r="64" spans="1:10" s="118" customFormat="1" x14ac:dyDescent="0.25">
      <c r="A64" s="183" t="str">
        <f>IF(B64&gt;0,VLOOKUP(B64,КВСР!A17:B1182,2),IF(C64&gt;0,VLOOKUP(C64,КФСР!A17:B1529,2),IF(D64&gt;0,VLOOKUP(D64,Программа!A$3:B$4988,2),IF(F64&gt;0,VLOOKUP(F64,КВР!A$1:B$5001,2),IF(E64&gt;0,VLOOKUP(E64,Направление!A$1:B$4610,2))))))</f>
        <v>Непрограммные расходы бюджета</v>
      </c>
      <c r="B64" s="51"/>
      <c r="C64" s="52"/>
      <c r="D64" s="54" t="s">
        <v>521</v>
      </c>
      <c r="E64" s="52"/>
      <c r="F64" s="54"/>
      <c r="G64" s="257">
        <f>G65</f>
        <v>2702975</v>
      </c>
      <c r="H64" s="254">
        <f t="shared" ref="H64:I65" si="23">H65</f>
        <v>1662497.48</v>
      </c>
      <c r="I64" s="254">
        <f t="shared" si="23"/>
        <v>4365472.4800000004</v>
      </c>
      <c r="J64" s="314"/>
    </row>
    <row r="65" spans="1:10" s="7" customFormat="1" ht="94.5" x14ac:dyDescent="0.25">
      <c r="A65" s="183" t="str">
        <f>IF(B65&gt;0,VLOOKUP(B65,КВСР!A18:B1183,2),IF(C65&gt;0,VLOOKUP(C65,КФСР!A18:B1530,2),IF(D65&gt;0,VLOOKUP(D65,Программа!A$3:B$4988,2),IF(F65&gt;0,VLOOKUP(F65,КВР!A$1:B$5001,2),IF(E65&gt;0,VLOOKUP(E65,Направление!A$1:B$4610,2))))))</f>
        <v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v>
      </c>
      <c r="B65" s="72"/>
      <c r="C65" s="73"/>
      <c r="D65" s="112"/>
      <c r="E65" s="73">
        <v>29566</v>
      </c>
      <c r="F65" s="74"/>
      <c r="G65" s="262">
        <f>G66</f>
        <v>2702975</v>
      </c>
      <c r="H65" s="255">
        <f t="shared" si="23"/>
        <v>1662497.48</v>
      </c>
      <c r="I65" s="255">
        <f t="shared" si="23"/>
        <v>4365472.4800000004</v>
      </c>
      <c r="J65" s="313"/>
    </row>
    <row r="66" spans="1:10" s="7" customFormat="1" x14ac:dyDescent="0.25">
      <c r="A66" s="183" t="str">
        <f>IF(B66&gt;0,VLOOKUP(B66,КВСР!A19:B1184,2),IF(C66&gt;0,VLOOKUP(C66,КФСР!A19:B1531,2),IF(D66&gt;0,VLOOKUP(D66,Программа!A$3:B$4988,2),IF(F66&gt;0,VLOOKUP(F66,КВР!A$1:B$5001,2),IF(E66&gt;0,VLOOKUP(E66,Направление!A$1:B$4610,2))))))</f>
        <v xml:space="preserve"> Межбюджетные трансферты</v>
      </c>
      <c r="B66" s="72"/>
      <c r="C66" s="73"/>
      <c r="D66" s="112"/>
      <c r="E66" s="73"/>
      <c r="F66" s="74">
        <v>500</v>
      </c>
      <c r="G66" s="299">
        <v>2702975</v>
      </c>
      <c r="H66" s="316">
        <v>1662497.48</v>
      </c>
      <c r="I66" s="238">
        <f>G66+H66</f>
        <v>4365472.4800000004</v>
      </c>
      <c r="J66" s="313"/>
    </row>
    <row r="67" spans="1:10" s="7" customFormat="1" ht="47.25" x14ac:dyDescent="0.25">
      <c r="A67" s="184" t="str">
        <f>IF(B67&gt;0,VLOOKUP(B67,КВСР!A20:B1185,2),IF(C67&gt;0,VLOOKUP(C67,КФСР!A20:B1532,2),IF(D67&gt;0,VLOOKUP(D67,Программа!A$3:B$4988,2),IF(F67&gt;0,VLOOKUP(F67,КВР!A$1:B$5001,2),IF(E67&gt;0,VLOOKUP(E67,Направление!A$1:B$4610,2))))))</f>
        <v>Другие вопросы в области национальной безопасности и правоохранительной деятельности</v>
      </c>
      <c r="B67" s="55"/>
      <c r="C67" s="56">
        <v>314</v>
      </c>
      <c r="D67" s="57"/>
      <c r="E67" s="56"/>
      <c r="F67" s="58"/>
      <c r="G67" s="256">
        <f>G68</f>
        <v>180000</v>
      </c>
      <c r="H67" s="253">
        <f t="shared" ref="H67:I69" si="24">H68</f>
        <v>131120.79999999999</v>
      </c>
      <c r="I67" s="253">
        <f t="shared" si="24"/>
        <v>311120.8</v>
      </c>
      <c r="J67" s="313"/>
    </row>
    <row r="68" spans="1:10" s="7" customFormat="1" x14ac:dyDescent="0.25">
      <c r="A68" s="182" t="str">
        <f>IF(B68&gt;0,VLOOKUP(B68,КВСР!A21:B1186,2),IF(C68&gt;0,VLOOKUP(C68,КФСР!A21:B1533,2),IF(D68&gt;0,VLOOKUP(D68,Программа!A$3:B$4988,2),IF(F68&gt;0,VLOOKUP(F68,КВР!A$1:B$5001,2),IF(E68&gt;0,VLOOKUP(E68,Направление!A$1:B$4610,2))))))</f>
        <v>Непрограммные расходы бюджета</v>
      </c>
      <c r="B68" s="114"/>
      <c r="C68" s="115"/>
      <c r="D68" s="116" t="s">
        <v>521</v>
      </c>
      <c r="E68" s="115"/>
      <c r="F68" s="117"/>
      <c r="G68" s="257">
        <f>G69</f>
        <v>180000</v>
      </c>
      <c r="H68" s="254">
        <f t="shared" si="24"/>
        <v>131120.79999999999</v>
      </c>
      <c r="I68" s="254">
        <f t="shared" si="24"/>
        <v>311120.8</v>
      </c>
      <c r="J68" s="313"/>
    </row>
    <row r="69" spans="1:10" s="7" customFormat="1" ht="47.25" x14ac:dyDescent="0.25">
      <c r="A69" s="183" t="str">
        <f>IF(B69&gt;0,VLOOKUP(B69,КВСР!A22:B1187,2),IF(C69&gt;0,VLOOKUP(C69,КФСР!A22:B1534,2),IF(D69&gt;0,VLOOKUP(D69,Программа!A$3:B$4988,2),IF(F69&gt;0,VLOOKUP(F69,КВР!A$1:B$5001,2),IF(E69&gt;0,VLOOKUP(E69,Направление!A$1:B$4610,2))))))</f>
        <v>Межбюджетные трансферты на обеспечение деятельности народных дружин</v>
      </c>
      <c r="B69" s="72"/>
      <c r="C69" s="73"/>
      <c r="D69" s="112"/>
      <c r="E69" s="73">
        <v>29486</v>
      </c>
      <c r="F69" s="74"/>
      <c r="G69" s="262">
        <f>G70</f>
        <v>180000</v>
      </c>
      <c r="H69" s="255">
        <f t="shared" si="24"/>
        <v>131120.79999999999</v>
      </c>
      <c r="I69" s="255">
        <f t="shared" si="24"/>
        <v>311120.8</v>
      </c>
      <c r="J69" s="313"/>
    </row>
    <row r="70" spans="1:10" s="7" customFormat="1" x14ac:dyDescent="0.25">
      <c r="A70" s="183" t="str">
        <f>IF(B70&gt;0,VLOOKUP(B70,КВСР!A23:B1188,2),IF(C70&gt;0,VLOOKUP(C70,КФСР!A23:B1535,2),IF(D70&gt;0,VLOOKUP(D70,Программа!A$3:B$4988,2),IF(F70&gt;0,VLOOKUP(F70,КВР!A$1:B$5001,2),IF(E70&gt;0,VLOOKUP(E70,Направление!A$1:B$4610,2))))))</f>
        <v xml:space="preserve"> Межбюджетные трансферты</v>
      </c>
      <c r="B70" s="72"/>
      <c r="C70" s="73"/>
      <c r="D70" s="112"/>
      <c r="E70" s="73"/>
      <c r="F70" s="74">
        <v>500</v>
      </c>
      <c r="G70" s="299">
        <v>180000</v>
      </c>
      <c r="H70" s="316">
        <v>131120.79999999999</v>
      </c>
      <c r="I70" s="238">
        <f>G70+H70</f>
        <v>311120.8</v>
      </c>
      <c r="J70" s="313"/>
    </row>
    <row r="71" spans="1:10" s="7" customFormat="1" x14ac:dyDescent="0.25">
      <c r="A71" s="184" t="str">
        <f>IF(B71&gt;0,VLOOKUP(B71,КВСР!A4:B1169,2),IF(C71&gt;0,VLOOKUP(C71,КФСР!A4:B1516,2),IF(D71&gt;0,VLOOKUP(D71,Программа!A$3:B$4988,2),IF(F71&gt;0,VLOOKUP(F71,КВР!A$1:B$5001,2),IF(E71&gt;0,VLOOKUP(E71,Направление!A$1:B$4610,2))))))</f>
        <v>Транспорт</v>
      </c>
      <c r="B71" s="55"/>
      <c r="C71" s="56">
        <v>408</v>
      </c>
      <c r="D71" s="57"/>
      <c r="E71" s="56"/>
      <c r="F71" s="58"/>
      <c r="G71" s="256">
        <f>G72</f>
        <v>755130</v>
      </c>
      <c r="H71" s="253">
        <f t="shared" ref="H71:I71" si="25">H72</f>
        <v>465668.96</v>
      </c>
      <c r="I71" s="253">
        <f t="shared" si="25"/>
        <v>1220798.96</v>
      </c>
      <c r="J71" s="313"/>
    </row>
    <row r="72" spans="1:10" s="7" customFormat="1" x14ac:dyDescent="0.25">
      <c r="A72" s="182" t="str">
        <f>IF(B72&gt;0,VLOOKUP(B72,КВСР!A5:B1170,2),IF(C72&gt;0,VLOOKUP(C72,КФСР!A5:B1517,2),IF(D72&gt;0,VLOOKUP(D72,Программа!A$3:B$4988,2),IF(F72&gt;0,VLOOKUP(F72,КВР!A$1:B$5001,2),IF(E72&gt;0,VLOOKUP(E72,Направление!A$1:B$4610,2))))))</f>
        <v>Непрограммные расходы бюджета</v>
      </c>
      <c r="B72" s="114"/>
      <c r="C72" s="115"/>
      <c r="D72" s="117" t="s">
        <v>521</v>
      </c>
      <c r="E72" s="115"/>
      <c r="F72" s="117"/>
      <c r="G72" s="301">
        <f>G75</f>
        <v>755130</v>
      </c>
      <c r="H72" s="264">
        <f t="shared" ref="H72:I72" si="26">H73+H75</f>
        <v>465668.96</v>
      </c>
      <c r="I72" s="264">
        <f t="shared" si="26"/>
        <v>1220798.96</v>
      </c>
      <c r="J72" s="313"/>
    </row>
    <row r="73" spans="1:10" s="7" customFormat="1" ht="63" hidden="1" x14ac:dyDescent="0.25">
      <c r="A73" s="183" t="str">
        <f>IF(B73&gt;0,VLOOKUP(B73,КВСР!A6:B1171,2),IF(C73&gt;0,VLOOKUP(C73,КФСР!A6:B1518,2),IF(D73&gt;0,VLOOKUP(D73,Программа!A$3:B$4988,2),IF(F73&gt;0,VLOOKUP(F73,КВР!A$1:B$5001,2),IF(E73&gt;0,VLOOKUP(E73,Направление!A$1:B$4610,2))))))</f>
        <v>Межбюджетные трансферты на обеспечение мероприятий по осуществлению грузопассажирских  перевозок на речном транспорте</v>
      </c>
      <c r="B73" s="51"/>
      <c r="C73" s="52"/>
      <c r="D73" s="53"/>
      <c r="E73" s="52">
        <v>29166</v>
      </c>
      <c r="F73" s="54"/>
      <c r="G73" s="240">
        <v>0</v>
      </c>
      <c r="H73" s="239">
        <f t="shared" ref="H73:I73" si="27">H74</f>
        <v>0</v>
      </c>
      <c r="I73" s="239">
        <f t="shared" si="27"/>
        <v>0</v>
      </c>
      <c r="J73" s="313"/>
    </row>
    <row r="74" spans="1:10" s="7" customFormat="1" hidden="1" x14ac:dyDescent="0.25">
      <c r="A74" s="183" t="str">
        <f>IF(B74&gt;0,VLOOKUP(B74,КВСР!A7:B1172,2),IF(C74&gt;0,VLOOKUP(C74,КФСР!A7:B1519,2),IF(D74&gt;0,VLOOKUP(D74,Программа!A$3:B$4988,2),IF(F74&gt;0,VLOOKUP(F74,КВР!A$1:B$5001,2),IF(E74&gt;0,VLOOKUP(E74,Направление!A$1:B$4610,2))))))</f>
        <v xml:space="preserve"> Межбюджетные трансферты</v>
      </c>
      <c r="B74" s="51"/>
      <c r="C74" s="52"/>
      <c r="D74" s="53"/>
      <c r="E74" s="52"/>
      <c r="F74" s="54">
        <v>500</v>
      </c>
      <c r="G74" s="246">
        <v>0</v>
      </c>
      <c r="H74" s="238"/>
      <c r="I74" s="238">
        <f t="shared" ref="I74:I181" si="28">SUM(G74:H74)</f>
        <v>0</v>
      </c>
      <c r="J74" s="313"/>
    </row>
    <row r="75" spans="1:10" s="7" customFormat="1" ht="78.75" x14ac:dyDescent="0.25">
      <c r="A75" s="183" t="str">
        <f>IF(B75&gt;0,VLOOKUP(B75,КВСР!A8:B1173,2),IF(C75&gt;0,VLOOKUP(C75,КФСР!A8:B1520,2),IF(D75&gt;0,VLOOKUP(D75,Программа!A$3:B$4988,2),IF(F75&gt;0,VLOOKUP(F75,КВР!A$1:B$5001,2),IF(E75&gt;0,VLOOKUP(E75,Направление!A$1:B$4610,2))))))</f>
        <v>Межбюджетные трансферты на обеспечение мероприятий по осуществлению пассажирских  перевозок на автомобильном  транспорте</v>
      </c>
      <c r="B75" s="51"/>
      <c r="C75" s="52"/>
      <c r="D75" s="53"/>
      <c r="E75" s="52">
        <v>29176</v>
      </c>
      <c r="F75" s="54"/>
      <c r="G75" s="240">
        <f>G76</f>
        <v>755130</v>
      </c>
      <c r="H75" s="239">
        <f t="shared" ref="H75:I75" si="29">H76</f>
        <v>465668.96</v>
      </c>
      <c r="I75" s="239">
        <f t="shared" si="29"/>
        <v>1220798.96</v>
      </c>
      <c r="J75" s="313"/>
    </row>
    <row r="76" spans="1:10" s="7" customFormat="1" x14ac:dyDescent="0.25">
      <c r="A76" s="183" t="str">
        <f>IF(B76&gt;0,VLOOKUP(B76,КВСР!A9:B1174,2),IF(C76&gt;0,VLOOKUP(C76,КФСР!A9:B1521,2),IF(D76&gt;0,VLOOKUP(D76,Программа!A$3:B$4988,2),IF(F76&gt;0,VLOOKUP(F76,КВР!A$1:B$5001,2),IF(E76&gt;0,VLOOKUP(E76,Направление!A$1:B$4610,2))))))</f>
        <v xml:space="preserve"> Межбюджетные трансферты</v>
      </c>
      <c r="B76" s="51"/>
      <c r="C76" s="52"/>
      <c r="D76" s="53"/>
      <c r="E76" s="52"/>
      <c r="F76" s="54">
        <v>500</v>
      </c>
      <c r="G76" s="246">
        <v>755130</v>
      </c>
      <c r="H76" s="238">
        <v>465668.96</v>
      </c>
      <c r="I76" s="238">
        <f>G76+H76</f>
        <v>1220798.96</v>
      </c>
      <c r="J76" s="313"/>
    </row>
    <row r="77" spans="1:10" s="7" customFormat="1" ht="31.5" x14ac:dyDescent="0.25">
      <c r="A77" s="184" t="str">
        <f>IF(B77&gt;0,VLOOKUP(B77,КВСР!A10:B1175,2),IF(C77&gt;0,VLOOKUP(C77,КФСР!A10:B1522,2),IF(D77&gt;0,VLOOKUP(D77,Программа!A$3:B$4988,2),IF(F77&gt;0,VLOOKUP(F77,КВР!A$1:B$5001,2),IF(E77&gt;0,VLOOKUP(E77,Направление!A$1:B$4610,2))))))</f>
        <v>Дорожное хозяйство(дорожные фонды)</v>
      </c>
      <c r="B77" s="55"/>
      <c r="C77" s="56">
        <v>409</v>
      </c>
      <c r="D77" s="57"/>
      <c r="E77" s="56"/>
      <c r="F77" s="58"/>
      <c r="G77" s="256">
        <v>189148649</v>
      </c>
      <c r="H77" s="253">
        <f>H78</f>
        <v>46995036.989999995</v>
      </c>
      <c r="I77" s="253">
        <f t="shared" ref="I77:I83" si="30">SUM(G77:H77)</f>
        <v>236143685.99000001</v>
      </c>
      <c r="J77" s="313"/>
    </row>
    <row r="78" spans="1:10" s="118" customFormat="1" x14ac:dyDescent="0.25">
      <c r="A78" s="182" t="str">
        <f>IF(B78&gt;0,VLOOKUP(B78,КВСР!A11:B1176,2),IF(C78&gt;0,VLOOKUP(C78,КФСР!A11:B1523,2),IF(D78&gt;0,VLOOKUP(D78,Программа!A$3:B$4988,2),IF(F78&gt;0,VLOOKUP(F78,КВР!A$1:B$5001,2),IF(E78&gt;0,VLOOKUP(E78,Направление!A$1:B$4610,2))))))</f>
        <v>Программные расходы бюджета</v>
      </c>
      <c r="B78" s="114"/>
      <c r="C78" s="115"/>
      <c r="D78" s="116" t="s">
        <v>634</v>
      </c>
      <c r="E78" s="115"/>
      <c r="F78" s="117"/>
      <c r="G78" s="257">
        <v>189148649</v>
      </c>
      <c r="H78" s="257">
        <f>H79+H86+H103</f>
        <v>46995036.989999995</v>
      </c>
      <c r="I78" s="257">
        <f t="shared" si="30"/>
        <v>236143685.99000001</v>
      </c>
      <c r="J78" s="314"/>
    </row>
    <row r="79" spans="1:10" s="7" customFormat="1" ht="78.75" x14ac:dyDescent="0.25">
      <c r="A79" s="183" t="str">
        <f>IF(B79&gt;0,VLOOKUP(B79,КВСР!A11:B1176,2),IF(C79&gt;0,VLOOKUP(C79,КФСР!A11:B1523,2),IF(D79&gt;0,VLOOKUP(D79,Программа!A$3:B$4988,2),IF(F79&gt;0,VLOOKUP(F79,КВР!A$1:B$5001,2),IF(E79&gt;0,VLOOKUP(E79,Направление!A$1:B$4610,2))))))</f>
        <v xml:space="preserve">Муниципальная программа "Формирование современной городской среды на территории городского поселения Тутаев"
</v>
      </c>
      <c r="B79" s="51"/>
      <c r="C79" s="52"/>
      <c r="D79" s="53" t="s">
        <v>202</v>
      </c>
      <c r="E79" s="52"/>
      <c r="F79" s="54"/>
      <c r="G79" s="240">
        <v>16593074</v>
      </c>
      <c r="H79" s="239">
        <f>H80+H83</f>
        <v>12999017.66</v>
      </c>
      <c r="I79" s="239">
        <f t="shared" si="30"/>
        <v>29592091.66</v>
      </c>
      <c r="J79" s="313"/>
    </row>
    <row r="80" spans="1:10" s="7" customFormat="1" ht="31.5" x14ac:dyDescent="0.25">
      <c r="A80" s="183" t="str">
        <f>IF(B80&gt;0,VLOOKUP(B80,КВСР!A12:B1177,2),IF(C80&gt;0,VLOOKUP(C80,КФСР!A12:B1524,2),IF(D80&gt;0,VLOOKUP(D80,Программа!A$3:B$4988,2),IF(F80&gt;0,VLOOKUP(F80,КВР!A$1:B$5001,2),IF(E80&gt;0,VLOOKUP(E80,Направление!A$1:B$4610,2))))))</f>
        <v>Повышение уровня благоустройства дворовых территорий</v>
      </c>
      <c r="B80" s="114"/>
      <c r="C80" s="52"/>
      <c r="D80" s="53" t="s">
        <v>513</v>
      </c>
      <c r="E80" s="52"/>
      <c r="F80" s="54"/>
      <c r="G80" s="240">
        <v>2619841</v>
      </c>
      <c r="H80" s="239">
        <f>H81</f>
        <v>2295899.2599999998</v>
      </c>
      <c r="I80" s="239">
        <f t="shared" si="30"/>
        <v>4915740.26</v>
      </c>
      <c r="J80" s="313"/>
    </row>
    <row r="81" spans="1:10" s="7" customFormat="1" ht="63" x14ac:dyDescent="0.25">
      <c r="A81" s="183" t="str">
        <f>IF(B81&gt;0,VLOOKUP(B81,КВСР!A13:B1178,2),IF(C81&gt;0,VLOOKUP(C81,КФСР!A13:B1525,2),IF(D81&gt;0,VLOOKUP(D81,Программа!A$3:B$4988,2),IF(F81&gt;0,VLOOKUP(F81,КВР!A$1:B$5001,2),IF(E81&gt;0,VLOOKUP(E81,Направление!A$1:B$4610,2))))))</f>
        <v xml:space="preserve">Межбюджетные трансферты на обеспечение мероприятий по  формированию современной городской среды </v>
      </c>
      <c r="B81" s="51"/>
      <c r="C81" s="52"/>
      <c r="D81" s="53"/>
      <c r="E81" s="52">
        <v>29456</v>
      </c>
      <c r="F81" s="54"/>
      <c r="G81" s="240">
        <v>2619841</v>
      </c>
      <c r="H81" s="239">
        <f>H82</f>
        <v>2295899.2599999998</v>
      </c>
      <c r="I81" s="239">
        <f t="shared" si="30"/>
        <v>4915740.26</v>
      </c>
      <c r="J81" s="313"/>
    </row>
    <row r="82" spans="1:10" s="7" customFormat="1" x14ac:dyDescent="0.25">
      <c r="A82" s="183" t="str">
        <f>IF(B82&gt;0,VLOOKUP(B82,КВСР!A14:B1179,2),IF(C82&gt;0,VLOOKUP(C82,КФСР!A14:B1526,2),IF(D82&gt;0,VLOOKUP(D82,Программа!A$3:B$4988,2),IF(F82&gt;0,VLOOKUP(F82,КВР!A$1:B$5001,2),IF(E82&gt;0,VLOOKUP(E82,Направление!A$1:B$4610,2))))))</f>
        <v xml:space="preserve"> Межбюджетные трансферты</v>
      </c>
      <c r="B82" s="51"/>
      <c r="C82" s="52"/>
      <c r="D82" s="53"/>
      <c r="E82" s="52"/>
      <c r="F82" s="54">
        <v>500</v>
      </c>
      <c r="G82" s="246">
        <v>2619841</v>
      </c>
      <c r="H82" s="238">
        <v>2295899.2599999998</v>
      </c>
      <c r="I82" s="238">
        <f>G82+H82</f>
        <v>4915740.26</v>
      </c>
      <c r="J82" s="313"/>
    </row>
    <row r="83" spans="1:10" s="7" customFormat="1" ht="31.5" x14ac:dyDescent="0.25">
      <c r="A83" s="183" t="str">
        <f>IF(B83&gt;0,VLOOKUP(B83,КВСР!A15:B1180,2),IF(C83&gt;0,VLOOKUP(C83,КФСР!A15:B1527,2),IF(D83&gt;0,VLOOKUP(D83,Программа!A$3:B$4988,2),IF(F83&gt;0,VLOOKUP(F83,КВР!A$1:B$5001,2),IF(E83&gt;0,VLOOKUP(E83,Направление!A$1:B$4610,2))))))</f>
        <v>Реализация   проекта "Формирование комфортной городской среды"</v>
      </c>
      <c r="B83" s="51"/>
      <c r="C83" s="52"/>
      <c r="D83" s="53" t="s">
        <v>678</v>
      </c>
      <c r="E83" s="52"/>
      <c r="F83" s="54"/>
      <c r="G83" s="240">
        <v>13973233</v>
      </c>
      <c r="H83" s="239">
        <f>H84</f>
        <v>10703118.4</v>
      </c>
      <c r="I83" s="239">
        <f t="shared" si="30"/>
        <v>24676351.399999999</v>
      </c>
      <c r="J83" s="313"/>
    </row>
    <row r="84" spans="1:10" s="7" customFormat="1" ht="63" x14ac:dyDescent="0.25">
      <c r="A84" s="183" t="str">
        <f>IF(B84&gt;0,VLOOKUP(B84,КВСР!A16:B1181,2),IF(C84&gt;0,VLOOKUP(C84,КФСР!A16:B1528,2),IF(D84&gt;0,VLOOKUP(D84,Программа!A$3:B$4988,2),IF(F84&gt;0,VLOOKUP(F84,КВР!A$1:B$5001,2),IF(E84&gt;0,VLOOKUP(E84,Направление!A$1:B$4610,2))))))</f>
        <v xml:space="preserve">Межбюджетные трансферты на реализацию регионального проекта "Формирования современной городской среды" </v>
      </c>
      <c r="B84" s="51"/>
      <c r="C84" s="52"/>
      <c r="D84" s="53"/>
      <c r="E84" s="52">
        <v>55556</v>
      </c>
      <c r="F84" s="54"/>
      <c r="G84" s="240">
        <v>13973233</v>
      </c>
      <c r="H84" s="239">
        <f t="shared" ref="H84:I84" si="31">H85</f>
        <v>10703118.4</v>
      </c>
      <c r="I84" s="239">
        <f t="shared" si="31"/>
        <v>24676351.399999999</v>
      </c>
      <c r="J84" s="313"/>
    </row>
    <row r="85" spans="1:10" s="7" customFormat="1" x14ac:dyDescent="0.25">
      <c r="A85" s="183" t="str">
        <f>IF(B85&gt;0,VLOOKUP(B85,КВСР!A16:B1181,2),IF(C85&gt;0,VLOOKUP(C85,КФСР!A16:B1528,2),IF(D85&gt;0,VLOOKUP(D85,Программа!A$3:B$4988,2),IF(F85&gt;0,VLOOKUP(F85,КВР!A$1:B$5001,2),IF(E85&gt;0,VLOOKUP(E85,Направление!A$1:B$4610,2))))))</f>
        <v xml:space="preserve"> Межбюджетные трансферты</v>
      </c>
      <c r="B85" s="51"/>
      <c r="C85" s="52"/>
      <c r="D85" s="53"/>
      <c r="E85" s="52"/>
      <c r="F85" s="54">
        <v>500</v>
      </c>
      <c r="G85" s="246">
        <v>13973233</v>
      </c>
      <c r="H85" s="238">
        <f>406718.49+9761243.98+535155.93</f>
        <v>10703118.4</v>
      </c>
      <c r="I85" s="238">
        <f>G85+H85</f>
        <v>24676351.399999999</v>
      </c>
      <c r="J85" s="313"/>
    </row>
    <row r="86" spans="1:10" s="7" customFormat="1" ht="78.75" x14ac:dyDescent="0.25">
      <c r="A86" s="183" t="str">
        <f>IF(B86&gt;0,VLOOKUP(B86,КВСР!A15:B1180,2),IF(C86&gt;0,VLOOKUP(C86,КФСР!A15:B1527,2),IF(D86&gt;0,VLOOKUP(D86,Программа!A$3:B$4988,2),IF(F86&gt;0,VLOOKUP(F86,КВР!A$1:B$5001,2),IF(E86&gt;0,VLOOKUP(E86,Направление!A$1:B$4610,2))))))</f>
        <v xml:space="preserve">Муниципальная программа "Развитие и содержание дорожного хозяйства на территории  городского поселения Тутаев"
</v>
      </c>
      <c r="B86" s="51"/>
      <c r="C86" s="52"/>
      <c r="D86" s="53" t="s">
        <v>200</v>
      </c>
      <c r="E86" s="52"/>
      <c r="F86" s="54"/>
      <c r="G86" s="240">
        <v>97130318</v>
      </c>
      <c r="H86" s="240">
        <f>H87+H98</f>
        <v>33996019.329999998</v>
      </c>
      <c r="I86" s="240">
        <f>I87+I98</f>
        <v>131126337.32999998</v>
      </c>
      <c r="J86" s="313"/>
    </row>
    <row r="87" spans="1:10" s="7" customFormat="1" ht="47.25" x14ac:dyDescent="0.25">
      <c r="A87" s="183" t="str">
        <f>IF(B87&gt;0,VLOOKUP(B87,КВСР!A16:B1181,2),IF(C87&gt;0,VLOOKUP(C87,КФСР!A16:B1528,2),IF(D87&gt;0,VLOOKUP(D87,Программа!A$3:B$4988,2),IF(F87&gt;0,VLOOKUP(F87,КВР!A$1:B$5001,2),IF(E87&gt;0,VLOOKUP(E87,Направление!A$1:B$4610,2))))))</f>
        <v xml:space="preserve"> Дорожная деятельность в отношении дорожной сети   городского поселения Тутаев </v>
      </c>
      <c r="B87" s="51"/>
      <c r="C87" s="52"/>
      <c r="D87" s="53" t="s">
        <v>519</v>
      </c>
      <c r="E87" s="52"/>
      <c r="F87" s="54"/>
      <c r="G87" s="240">
        <v>52685318</v>
      </c>
      <c r="H87" s="240">
        <f t="shared" ref="H87:I87" si="32">H90+H92+H94+H88+H96</f>
        <v>33996019.329999998</v>
      </c>
      <c r="I87" s="240">
        <f t="shared" si="32"/>
        <v>86681337.329999983</v>
      </c>
      <c r="J87" s="313"/>
    </row>
    <row r="88" spans="1:10" s="7" customFormat="1" ht="78.75" x14ac:dyDescent="0.25">
      <c r="A88" s="183" t="str">
        <f>IF(B88&gt;0,VLOOKUP(B88,КВСР!A17:B1182,2),IF(C88&gt;0,VLOOKUP(C88,КФСР!A17:B1529,2),IF(D88&gt;0,VLOOKUP(D88,Программа!A$3:B$4988,2),IF(F88&gt;0,VLOOKUP(F88,КВР!A$1:B$5001,2),IF(E88&gt;0,VLOOKUP(E88,Направление!A$1:B$4610,2))))))</f>
        <v>Межбюджетные трансферты на обеспечение софинансирования мероприятий в области дорожного хозяйства на ремонт и содержание автомобильных дорог</v>
      </c>
      <c r="B88" s="51"/>
      <c r="C88" s="52"/>
      <c r="D88" s="53"/>
      <c r="E88" s="52">
        <v>22446</v>
      </c>
      <c r="F88" s="54"/>
      <c r="G88" s="240">
        <v>731700</v>
      </c>
      <c r="H88" s="239">
        <f>H89</f>
        <v>674186.4</v>
      </c>
      <c r="I88" s="239">
        <f>SUM(G88:H88)</f>
        <v>1405886.4</v>
      </c>
      <c r="J88" s="313"/>
    </row>
    <row r="89" spans="1:10" s="7" customFormat="1" x14ac:dyDescent="0.25">
      <c r="A89" s="183" t="str">
        <f>IF(B89&gt;0,VLOOKUP(B89,КВСР!A18:B1183,2),IF(C89&gt;0,VLOOKUP(C89,КФСР!A18:B1530,2),IF(D89&gt;0,VLOOKUP(D89,Программа!A$3:B$4988,2),IF(F89&gt;0,VLOOKUP(F89,КВР!A$1:B$5001,2),IF(E89&gt;0,VLOOKUP(E89,Направление!A$1:B$4610,2))))))</f>
        <v xml:space="preserve"> Межбюджетные трансферты</v>
      </c>
      <c r="B89" s="51"/>
      <c r="C89" s="52"/>
      <c r="D89" s="53"/>
      <c r="E89" s="52"/>
      <c r="F89" s="54">
        <v>500</v>
      </c>
      <c r="G89" s="246">
        <v>731700</v>
      </c>
      <c r="H89" s="238">
        <v>674186.4</v>
      </c>
      <c r="I89" s="238">
        <f>G89+H89</f>
        <v>1405886.4</v>
      </c>
      <c r="J89" s="313"/>
    </row>
    <row r="90" spans="1:10" s="7" customFormat="1" ht="63" x14ac:dyDescent="0.25">
      <c r="A90" s="183" t="str">
        <f>IF(B90&gt;0,VLOOKUP(B90,КВСР!A17:B1182,2),IF(C90&gt;0,VLOOKUP(C90,КФСР!A17:B1529,2),IF(D90&gt;0,VLOOKUP(D90,Программа!A$3:B$4988,2),IF(F90&gt;0,VLOOKUP(F90,КВР!A$1:B$5001,2),IF(E90&gt;0,VLOOKUP(E90,Направление!A$1:B$4610,2))))))</f>
        <v>Межбюджетные трансферты на обеспечение   мероприятий в области  дорожного хозяйства  на  ремонт и содержание автомобильных дорог</v>
      </c>
      <c r="B90" s="51"/>
      <c r="C90" s="52"/>
      <c r="D90" s="53"/>
      <c r="E90" s="52">
        <v>29086</v>
      </c>
      <c r="F90" s="54"/>
      <c r="G90" s="240">
        <v>16709705</v>
      </c>
      <c r="H90" s="239">
        <f t="shared" ref="H90:I90" si="33">H91</f>
        <v>7985091.7300000004</v>
      </c>
      <c r="I90" s="239">
        <f t="shared" si="33"/>
        <v>24694796.73</v>
      </c>
      <c r="J90" s="313"/>
    </row>
    <row r="91" spans="1:10" s="7" customFormat="1" x14ac:dyDescent="0.25">
      <c r="A91" s="183" t="str">
        <f>IF(B91&gt;0,VLOOKUP(B91,КВСР!A18:B1183,2),IF(C91&gt;0,VLOOKUP(C91,КФСР!A18:B1530,2),IF(D91&gt;0,VLOOKUP(D91,Программа!A$3:B$4988,2),IF(F91&gt;0,VLOOKUP(F91,КВР!A$1:B$5001,2),IF(E91&gt;0,VLOOKUP(E91,Направление!A$1:B$4610,2))))))</f>
        <v xml:space="preserve"> Межбюджетные трансферты</v>
      </c>
      <c r="B91" s="51"/>
      <c r="C91" s="52"/>
      <c r="D91" s="53"/>
      <c r="E91" s="52"/>
      <c r="F91" s="54">
        <v>500</v>
      </c>
      <c r="G91" s="246">
        <v>16709705</v>
      </c>
      <c r="H91" s="238">
        <v>7985091.7300000004</v>
      </c>
      <c r="I91" s="238">
        <f>G91+H91</f>
        <v>24694796.73</v>
      </c>
      <c r="J91" s="313"/>
    </row>
    <row r="92" spans="1:10" s="7" customFormat="1" ht="63" x14ac:dyDescent="0.25">
      <c r="A92" s="183" t="str">
        <f>IF(B92&gt;0,VLOOKUP(B92,КВСР!A19:B1184,2),IF(C92&gt;0,VLOOKUP(C92,КФСР!A19:B1531,2),IF(D92&gt;0,VLOOKUP(D92,Программа!A$3:B$4988,2),IF(F92&gt;0,VLOOKUP(F92,КВР!A$1:B$5001,2),IF(E92&gt;0,VLOOKUP(E92,Направление!A$1:B$4610,2))))))</f>
        <v>Межбюджетные трансферты на обеспечение   мероприятий в области  дорожного хозяйства  по повышению безопасности дорожного движения</v>
      </c>
      <c r="B92" s="51"/>
      <c r="C92" s="52"/>
      <c r="D92" s="53"/>
      <c r="E92" s="52">
        <v>29096</v>
      </c>
      <c r="F92" s="54"/>
      <c r="G92" s="240">
        <v>1722679</v>
      </c>
      <c r="H92" s="239">
        <f t="shared" ref="H92:I92" si="34">H93</f>
        <v>934726.68</v>
      </c>
      <c r="I92" s="239">
        <f t="shared" si="34"/>
        <v>2657405.6800000002</v>
      </c>
      <c r="J92" s="313"/>
    </row>
    <row r="93" spans="1:10" s="7" customFormat="1" x14ac:dyDescent="0.25">
      <c r="A93" s="183" t="str">
        <f>IF(B93&gt;0,VLOOKUP(B93,КВСР!A20:B1185,2),IF(C93&gt;0,VLOOKUP(C93,КФСР!A20:B1532,2),IF(D93&gt;0,VLOOKUP(D93,Программа!A$3:B$4988,2),IF(F93&gt;0,VLOOKUP(F93,КВР!A$1:B$5001,2),IF(E93&gt;0,VLOOKUP(E93,Направление!A$1:B$4610,2))))))</f>
        <v xml:space="preserve"> Межбюджетные трансферты</v>
      </c>
      <c r="B93" s="51"/>
      <c r="C93" s="52"/>
      <c r="D93" s="53"/>
      <c r="E93" s="52"/>
      <c r="F93" s="54">
        <v>500</v>
      </c>
      <c r="G93" s="246">
        <v>1722679</v>
      </c>
      <c r="H93" s="238">
        <v>934726.68</v>
      </c>
      <c r="I93" s="238">
        <f>G93+H93</f>
        <v>2657405.6800000002</v>
      </c>
      <c r="J93" s="313"/>
    </row>
    <row r="94" spans="1:10" s="7" customFormat="1" ht="63" x14ac:dyDescent="0.25">
      <c r="A94" s="183" t="str">
        <f>IF(B94&gt;0,VLOOKUP(B94,КВСР!A21:B1186,2),IF(C94&gt;0,VLOOKUP(C94,КФСР!A21:B1533,2),IF(D94&gt;0,VLOOKUP(D94,Программа!A$3:B$4988,2),IF(F94&gt;0,VLOOKUP(F94,КВР!A$1:B$5001,2),IF(E94&gt;0,VLOOKUP(E94,Направление!A$1:B$4610,2))))))</f>
        <v>Межбюджетные трансферты на обеспечение содержания и организации деятельности в области  дорожного хозяйства</v>
      </c>
      <c r="B94" s="51"/>
      <c r="C94" s="52"/>
      <c r="D94" s="53"/>
      <c r="E94" s="52">
        <v>29696</v>
      </c>
      <c r="F94" s="54"/>
      <c r="G94" s="240">
        <v>19619370</v>
      </c>
      <c r="H94" s="239">
        <f>H95</f>
        <v>14064951.41</v>
      </c>
      <c r="I94" s="239">
        <f t="shared" ref="I94" si="35">I95</f>
        <v>33684321.409999996</v>
      </c>
      <c r="J94" s="313"/>
    </row>
    <row r="95" spans="1:10" s="7" customFormat="1" x14ac:dyDescent="0.25">
      <c r="A95" s="183" t="str">
        <f>IF(B95&gt;0,VLOOKUP(B95,КВСР!A22:B1187,2),IF(C95&gt;0,VLOOKUP(C95,КФСР!A22:B1534,2),IF(D95&gt;0,VLOOKUP(D95,Программа!A$3:B$4988,2),IF(F95&gt;0,VLOOKUP(F95,КВР!A$1:B$5001,2),IF(E95&gt;0,VLOOKUP(E95,Направление!A$1:B$4610,2))))))</f>
        <v xml:space="preserve"> Межбюджетные трансферты</v>
      </c>
      <c r="B95" s="51"/>
      <c r="C95" s="52"/>
      <c r="D95" s="53"/>
      <c r="E95" s="52"/>
      <c r="F95" s="54">
        <v>500</v>
      </c>
      <c r="G95" s="246">
        <v>19619370</v>
      </c>
      <c r="H95" s="238">
        <v>14064951.41</v>
      </c>
      <c r="I95" s="238">
        <f>G95+H95</f>
        <v>33684321.409999996</v>
      </c>
      <c r="J95" s="313"/>
    </row>
    <row r="96" spans="1:10" s="7" customFormat="1" ht="47.25" x14ac:dyDescent="0.25">
      <c r="A96" s="185" t="str">
        <f>IF(B96&gt;0,VLOOKUP(B96,КВСР!A23:B1188,2),IF(C96&gt;0,VLOOKUP(C96,КФСР!A23:B1535,2),IF(D96&gt;0,VLOOKUP(D96,Программа!A$3:B$4988,2),IF(F96&gt;0,VLOOKUP(F96,КВР!A$1:B$5001,2),IF(E96&gt;0,VLOOKUP(E96,Направление!A$1:B$4610,2))))))</f>
        <v xml:space="preserve">Межбюджетные трансферты на мероприятия в области  дорожного хозяйства </v>
      </c>
      <c r="B96" s="159"/>
      <c r="C96" s="159"/>
      <c r="D96" s="159"/>
      <c r="E96" s="159" t="s">
        <v>524</v>
      </c>
      <c r="F96" s="160"/>
      <c r="G96" s="240">
        <v>13901864</v>
      </c>
      <c r="H96" s="239">
        <f>H97</f>
        <v>10337063.109999999</v>
      </c>
      <c r="I96" s="239">
        <f>SUM(G96:H96)</f>
        <v>24238927.109999999</v>
      </c>
      <c r="J96" s="313"/>
    </row>
    <row r="97" spans="1:10" s="7" customFormat="1" x14ac:dyDescent="0.25">
      <c r="A97" s="185" t="str">
        <f>IF(B97&gt;0,VLOOKUP(B97,КВСР!A24:B1189,2),IF(C97&gt;0,VLOOKUP(C97,КФСР!A24:B1536,2),IF(D97&gt;0,VLOOKUP(D97,Программа!A$3:B$4988,2),IF(F97&gt;0,VLOOKUP(F97,КВР!A$1:B$5001,2),IF(E97&gt;0,VLOOKUP(E97,Направление!A$1:B$4610,2))))))</f>
        <v xml:space="preserve"> Межбюджетные трансферты</v>
      </c>
      <c r="B97" s="159"/>
      <c r="C97" s="159"/>
      <c r="D97" s="159"/>
      <c r="E97" s="159"/>
      <c r="F97" s="160">
        <v>500</v>
      </c>
      <c r="G97" s="246">
        <v>13901864</v>
      </c>
      <c r="H97" s="238">
        <v>10337063.109999999</v>
      </c>
      <c r="I97" s="238">
        <f>G97+H97</f>
        <v>24238927.109999999</v>
      </c>
      <c r="J97" s="313"/>
    </row>
    <row r="98" spans="1:10" s="7" customFormat="1" hidden="1" x14ac:dyDescent="0.25">
      <c r="A98" s="183" t="str">
        <f>IF(B98&gt;0,VLOOKUP(B98,КВСР!A27:B1192,2),IF(C98&gt;0,VLOOKUP(C98,КФСР!A27:B1539,2),IF(D98&gt;0,VLOOKUP(D98,Программа!A$3:B$4988,2),IF(F98&gt;0,VLOOKUP(F98,КВР!A$1:B$5001,2),IF(E98&gt;0,VLOOKUP(E98,Направление!A$1:B$4610,2))))))</f>
        <v>Федеральный проект "Дорожная сеть"</v>
      </c>
      <c r="B98" s="51"/>
      <c r="C98" s="52"/>
      <c r="D98" s="53" t="s">
        <v>720</v>
      </c>
      <c r="E98" s="52"/>
      <c r="F98" s="54"/>
      <c r="G98" s="240">
        <v>44445000</v>
      </c>
      <c r="H98" s="239">
        <f t="shared" ref="H98:I98" si="36">H99+H101</f>
        <v>0</v>
      </c>
      <c r="I98" s="239">
        <f t="shared" si="36"/>
        <v>44445000</v>
      </c>
      <c r="J98" s="313"/>
    </row>
    <row r="99" spans="1:10" s="7" customFormat="1" ht="94.5" hidden="1" x14ac:dyDescent="0.25">
      <c r="A99" s="183" t="str">
        <f>IF(B99&gt;0,VLOOKUP(B99,КВСР!A28:B1193,2),IF(C99&gt;0,VLOOKUP(C99,КФСР!A28:B1540,2),IF(D99&gt;0,VLOOKUP(D99,Программа!A$3:B$4988,2),IF(F99&gt;0,VLOOKUP(F99,КВР!A$1:B$5001,2),IF(E99&gt;0,VLOOKUP(E99,Направление!A$1:B$4610,2))))))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поселения</v>
      </c>
      <c r="B99" s="51"/>
      <c r="C99" s="52"/>
      <c r="D99" s="53"/>
      <c r="E99" s="52">
        <v>23936</v>
      </c>
      <c r="F99" s="54"/>
      <c r="G99" s="240">
        <v>4445000</v>
      </c>
      <c r="H99" s="239">
        <f t="shared" ref="H99:I99" si="37">H100</f>
        <v>0</v>
      </c>
      <c r="I99" s="239">
        <f t="shared" si="37"/>
        <v>4445000</v>
      </c>
      <c r="J99" s="313"/>
    </row>
    <row r="100" spans="1:10" s="7" customFormat="1" hidden="1" x14ac:dyDescent="0.25">
      <c r="A100" s="183" t="str">
        <f>IF(B100&gt;0,VLOOKUP(B100,КВСР!A29:B1194,2),IF(C100&gt;0,VLOOKUP(C100,КФСР!A29:B1541,2),IF(D100&gt;0,VLOOKUP(D100,Программа!A$3:B$4988,2),IF(F100&gt;0,VLOOKUP(F100,КВР!A$1:B$5001,2),IF(E100&gt;0,VLOOKUP(E100,Направление!A$1:B$4610,2))))))</f>
        <v xml:space="preserve"> Межбюджетные трансферты</v>
      </c>
      <c r="B100" s="51"/>
      <c r="C100" s="52"/>
      <c r="D100" s="53"/>
      <c r="E100" s="52"/>
      <c r="F100" s="54">
        <v>500</v>
      </c>
      <c r="G100" s="246">
        <v>4445000</v>
      </c>
      <c r="H100" s="238">
        <v>0</v>
      </c>
      <c r="I100" s="238">
        <f>G100+H100</f>
        <v>4445000</v>
      </c>
      <c r="J100" s="313"/>
    </row>
    <row r="101" spans="1:10" s="7" customFormat="1" ht="94.5" hidden="1" x14ac:dyDescent="0.25">
      <c r="A101" s="183" t="str">
        <f>IF(B101&gt;0,VLOOKUP(B101,КВСР!A30:B1195,2),IF(C101&gt;0,VLOOKUP(C101,КФСР!A30:B1542,2),IF(D101&gt;0,VLOOKUP(D101,Программа!A$3:B$4988,2),IF(F101&gt;0,VLOOKUP(F101,КВР!A$1:B$5001,2),IF(E101&gt;0,VLOOKUP(E101,Направление!A$1:B$4610,2))))))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101" s="51"/>
      <c r="C101" s="52"/>
      <c r="D101" s="53"/>
      <c r="E101" s="52">
        <v>73936</v>
      </c>
      <c r="F101" s="54"/>
      <c r="G101" s="240">
        <v>40000000</v>
      </c>
      <c r="H101" s="239">
        <f t="shared" ref="H101:I101" si="38">H102</f>
        <v>0</v>
      </c>
      <c r="I101" s="239">
        <f t="shared" si="38"/>
        <v>40000000</v>
      </c>
      <c r="J101" s="313"/>
    </row>
    <row r="102" spans="1:10" s="7" customFormat="1" hidden="1" x14ac:dyDescent="0.25">
      <c r="A102" s="183" t="str">
        <f>IF(B102&gt;0,VLOOKUP(B102,КВСР!A29:B1194,2),IF(C102&gt;0,VLOOKUP(C102,КФСР!A29:B1541,2),IF(D102&gt;0,VLOOKUP(D102,Программа!A$3:B$4988,2),IF(F102&gt;0,VLOOKUP(F102,КВР!A$1:B$5001,2),IF(E102&gt;0,VLOOKUP(E102,Направление!A$1:B$4610,2))))))</f>
        <v xml:space="preserve"> Межбюджетные трансферты</v>
      </c>
      <c r="B102" s="51"/>
      <c r="C102" s="52"/>
      <c r="D102" s="53"/>
      <c r="E102" s="52"/>
      <c r="F102" s="54">
        <v>500</v>
      </c>
      <c r="G102" s="246">
        <v>40000000</v>
      </c>
      <c r="H102" s="238"/>
      <c r="I102" s="238">
        <f>G102+H102</f>
        <v>40000000</v>
      </c>
      <c r="J102" s="313"/>
    </row>
    <row r="103" spans="1:10" s="7" customFormat="1" ht="63" hidden="1" x14ac:dyDescent="0.25">
      <c r="A103" s="183" t="str">
        <f>IF(B103&gt;0,VLOOKUP(B103,КВСР!A30:B1195,2),IF(C103&gt;0,VLOOKUP(C103,КФСР!A30:B1542,2),IF(D103&gt;0,VLOOKUP(D103,Программа!A$3:B$4988,2),IF(F103&gt;0,VLOOKUP(F103,КВР!A$1:B$5001,2),IF(E103&gt;0,VLOOKUP(E103,Направление!A$1:B$4610,2))))))</f>
        <v>Муниципальная программа "Стимулирование инвестиционной деятельности в городском поселении Тутаев"</v>
      </c>
      <c r="B103" s="51"/>
      <c r="C103" s="52"/>
      <c r="D103" s="53" t="s">
        <v>815</v>
      </c>
      <c r="E103" s="52"/>
      <c r="F103" s="54"/>
      <c r="G103" s="240">
        <v>75425257</v>
      </c>
      <c r="H103" s="240">
        <f t="shared" ref="H103:I103" si="39">H104</f>
        <v>0</v>
      </c>
      <c r="I103" s="240">
        <f t="shared" si="39"/>
        <v>75425257</v>
      </c>
      <c r="J103" s="313"/>
    </row>
    <row r="104" spans="1:10" s="7" customFormat="1" ht="63" hidden="1" x14ac:dyDescent="0.25">
      <c r="A104" s="183" t="str">
        <f>IF(B104&gt;0,VLOOKUP(B104,КВСР!A30:B1195,2),IF(C104&gt;0,VLOOKUP(C104,КФСР!A30:B1542,2),IF(D104&gt;0,VLOOKUP(D104,Программа!A$3:B$4988,2),IF(F104&gt;0,VLOOKUP(F104,КВР!A$1:B$5001,2),IF(E104&gt;0,VLOOKUP(E104,Направление!A$1:B$4610,2))))))</f>
        <v>Создание условий для развития инвестиционной привлекательности и наращивания налогового потенциала в г.Тутаев Ярославской области</v>
      </c>
      <c r="B104" s="159"/>
      <c r="C104" s="159"/>
      <c r="D104" s="251" t="s">
        <v>814</v>
      </c>
      <c r="E104" s="251"/>
      <c r="F104" s="159"/>
      <c r="G104" s="240">
        <v>75425257</v>
      </c>
      <c r="H104" s="240">
        <f>H107+H109+H105</f>
        <v>0</v>
      </c>
      <c r="I104" s="240">
        <f>I107+I109+I105</f>
        <v>75425257</v>
      </c>
      <c r="J104" s="313"/>
    </row>
    <row r="105" spans="1:10" s="7" customFormat="1" ht="110.25" hidden="1" x14ac:dyDescent="0.25">
      <c r="A105" s="183" t="str">
        <f>IF(B105&gt;0,VLOOKUP(B105,КВСР!A31:B1196,2),IF(C105&gt;0,VLOOKUP(C105,КФСР!A31:B1543,2),IF(D105&gt;0,VLOOKUP(D105,Программа!A$3:B$4988,2),IF(F105&gt;0,VLOOKUP(F105,КВР!A$1:B$5001,2),IF(E105&gt;0,VLOOKUP(E105,Направление!A$1:B$4610,2))))))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v>
      </c>
      <c r="B105" s="159"/>
      <c r="C105" s="159"/>
      <c r="D105" s="251"/>
      <c r="E105" s="159" t="s">
        <v>864</v>
      </c>
      <c r="F105" s="159"/>
      <c r="G105" s="240">
        <v>71558379</v>
      </c>
      <c r="H105" s="240">
        <f t="shared" ref="H105:I107" si="40">H106</f>
        <v>0</v>
      </c>
      <c r="I105" s="240">
        <f t="shared" si="40"/>
        <v>71558379</v>
      </c>
      <c r="J105" s="313"/>
    </row>
    <row r="106" spans="1:10" s="7" customFormat="1" hidden="1" x14ac:dyDescent="0.25">
      <c r="A106" s="183" t="str">
        <f>IF(B106&gt;0,VLOOKUP(B106,КВСР!A30:B1195,2),IF(C106&gt;0,VLOOKUP(C106,КФСР!A30:B1542,2),IF(D106&gt;0,VLOOKUP(D106,Программа!A$3:B$4988,2),IF(F106&gt;0,VLOOKUP(F106,КВР!A$1:B$5001,2),IF(E106&gt;0,VLOOKUP(E106,Направление!A$1:B$4610,2))))))</f>
        <v xml:space="preserve"> Межбюджетные трансферты</v>
      </c>
      <c r="B106" s="159"/>
      <c r="C106" s="159"/>
      <c r="D106" s="251"/>
      <c r="E106" s="251"/>
      <c r="F106" s="159">
        <v>500</v>
      </c>
      <c r="G106" s="246">
        <v>71558379</v>
      </c>
      <c r="H106" s="238">
        <v>0</v>
      </c>
      <c r="I106" s="238">
        <f>H106+G106</f>
        <v>71558379</v>
      </c>
      <c r="J106" s="313"/>
    </row>
    <row r="107" spans="1:10" s="7" customFormat="1" ht="110.25" hidden="1" x14ac:dyDescent="0.25">
      <c r="A107" s="183" t="str">
        <f>IF(B107&gt;0,VLOOKUP(B107,КВСР!A31:B1196,2),IF(C107&gt;0,VLOOKUP(C107,КФСР!A31:B1543,2),IF(D107&gt;0,VLOOKUP(D107,Программа!A$3:B$4988,2),IF(F107&gt;0,VLOOKUP(F107,КВР!A$1:B$5001,2),IF(E107&gt;0,VLOOKUP(E107,Направление!A$1:B$4610,2))))))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107" s="159"/>
      <c r="C107" s="159"/>
      <c r="D107" s="251"/>
      <c r="E107" s="251">
        <v>76936</v>
      </c>
      <c r="F107" s="159"/>
      <c r="G107" s="240">
        <v>3671878</v>
      </c>
      <c r="H107" s="240">
        <f t="shared" si="40"/>
        <v>0</v>
      </c>
      <c r="I107" s="240">
        <f t="shared" si="40"/>
        <v>3671878</v>
      </c>
      <c r="J107" s="313"/>
    </row>
    <row r="108" spans="1:10" s="7" customFormat="1" hidden="1" x14ac:dyDescent="0.25">
      <c r="A108" s="183" t="str">
        <f>IF(B108&gt;0,VLOOKUP(B108,КВСР!A32:B1197,2),IF(C108&gt;0,VLOOKUP(C108,КФСР!A32:B1544,2),IF(D108&gt;0,VLOOKUP(D108,Программа!A$3:B$4988,2),IF(F108&gt;0,VLOOKUP(F108,КВР!A$1:B$5001,2),IF(E108&gt;0,VLOOKUP(E108,Направление!A$1:B$4610,2))))))</f>
        <v xml:space="preserve"> Межбюджетные трансферты</v>
      </c>
      <c r="B108" s="159"/>
      <c r="C108" s="159"/>
      <c r="D108" s="251"/>
      <c r="E108" s="251"/>
      <c r="F108" s="159">
        <v>500</v>
      </c>
      <c r="G108" s="246">
        <v>3671878</v>
      </c>
      <c r="H108" s="238">
        <v>0</v>
      </c>
      <c r="I108" s="238">
        <f>H108+G108</f>
        <v>3671878</v>
      </c>
      <c r="J108" s="313"/>
    </row>
    <row r="109" spans="1:10" s="7" customFormat="1" ht="126" hidden="1" x14ac:dyDescent="0.25">
      <c r="A109" s="183" t="str">
        <f>IF(B109&gt;0,VLOOKUP(B109,КВСР!A33:B1198,2),IF(C109&gt;0,VLOOKUP(C109,КФСР!A33:B1545,2),IF(D109&gt;0,VLOOKUP(D109,Программа!A$3:B$4988,2),IF(F109&gt;0,VLOOKUP(F109,КВР!A$1:B$5001,2),IF(E109&gt;0,VLOOKUP(E109,Направление!A$1:B$4610,2))))))</f>
        <v>Межбюджетные трансферты  на софинансирование расходов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09" s="159"/>
      <c r="C109" s="159"/>
      <c r="D109" s="251"/>
      <c r="E109" s="251">
        <v>26936</v>
      </c>
      <c r="F109" s="159"/>
      <c r="G109" s="240">
        <v>195000</v>
      </c>
      <c r="H109" s="239">
        <f>H110</f>
        <v>0</v>
      </c>
      <c r="I109" s="239">
        <f>I110</f>
        <v>195000</v>
      </c>
      <c r="J109" s="313"/>
    </row>
    <row r="110" spans="1:10" s="7" customFormat="1" hidden="1" x14ac:dyDescent="0.25">
      <c r="A110" s="183" t="str">
        <f>IF(B110&gt;0,VLOOKUP(B110,КВСР!A34:B1199,2),IF(C110&gt;0,VLOOKUP(C110,КФСР!A34:B1546,2),IF(D110&gt;0,VLOOKUP(D110,Программа!A$3:B$4988,2),IF(F110&gt;0,VLOOKUP(F110,КВР!A$1:B$5001,2),IF(E110&gt;0,VLOOKUP(E110,Направление!A$1:B$4610,2))))))</f>
        <v xml:space="preserve"> Межбюджетные трансферты</v>
      </c>
      <c r="B110" s="159"/>
      <c r="C110" s="159"/>
      <c r="D110" s="159"/>
      <c r="E110" s="159"/>
      <c r="F110" s="251">
        <v>500</v>
      </c>
      <c r="G110" s="246">
        <v>195000</v>
      </c>
      <c r="H110" s="238">
        <v>0</v>
      </c>
      <c r="I110" s="238">
        <f>G110+H110</f>
        <v>195000</v>
      </c>
      <c r="J110" s="313"/>
    </row>
    <row r="111" spans="1:10" s="7" customFormat="1" ht="31.5" x14ac:dyDescent="0.25">
      <c r="A111" s="184" t="str">
        <f>IF(B111&gt;0,VLOOKUP(B111,КВСР!A26:B1191,2),IF(C111&gt;0,VLOOKUP(C111,КФСР!A26:B1538,2),IF(D111&gt;0,VLOOKUP(D111,Программа!A$3:B$4988,2),IF(F111&gt;0,VLOOKUP(F111,КВР!A$1:B$5001,2),IF(E111&gt;0,VLOOKUP(E111,Направление!A$1:B$4610,2))))))</f>
        <v>Другие вопросы в области национальной экономики</v>
      </c>
      <c r="B111" s="55"/>
      <c r="C111" s="56">
        <v>412</v>
      </c>
      <c r="D111" s="57"/>
      <c r="E111" s="56"/>
      <c r="F111" s="58"/>
      <c r="G111" s="256">
        <f>G125</f>
        <v>500000</v>
      </c>
      <c r="H111" s="256">
        <f t="shared" ref="H111:I111" si="41">H112+H125</f>
        <v>58318.879999999997</v>
      </c>
      <c r="I111" s="256">
        <f t="shared" si="41"/>
        <v>558318.88</v>
      </c>
      <c r="J111" s="313"/>
    </row>
    <row r="112" spans="1:10" s="119" customFormat="1" hidden="1" x14ac:dyDescent="0.25">
      <c r="A112" s="182" t="str">
        <f>IF(B112&gt;0,VLOOKUP(B112,КВСР!A27:B1192,2),IF(C112&gt;0,VLOOKUP(C112,КФСР!A27:B1539,2),IF(D112&gt;0,VLOOKUP(D112,Программа!A$3:B$4988,2),IF(F112&gt;0,VLOOKUP(F112,КВР!A$1:B$5001,2),IF(E112&gt;0,VLOOKUP(E112,Направление!A$1:B$4610,2))))))</f>
        <v>Программные расходы бюджета</v>
      </c>
      <c r="B112" s="114"/>
      <c r="C112" s="115"/>
      <c r="D112" s="116" t="s">
        <v>634</v>
      </c>
      <c r="E112" s="115"/>
      <c r="F112" s="117"/>
      <c r="G112" s="257">
        <v>0</v>
      </c>
      <c r="H112" s="257">
        <f t="shared" ref="H112:I112" si="42">H114+H121</f>
        <v>0</v>
      </c>
      <c r="I112" s="257">
        <f t="shared" si="42"/>
        <v>0</v>
      </c>
      <c r="J112" s="315"/>
    </row>
    <row r="113" spans="1:10" s="7" customFormat="1" hidden="1" x14ac:dyDescent="0.25">
      <c r="A113" s="183" t="str">
        <f>IF(B113&gt;0,VLOOKUP(B113,КВСР!A30:B1195,2),IF(C113&gt;0,VLOOKUP(C113,КФСР!A30:B1542,2),IF(D113&gt;0,VLOOKUP(D113,Программа!A$3:B$4988,2),IF(F113&gt;0,VLOOKUP(F113,КВР!A$1:B$5001,2),IF(E113&gt;0,VLOOKUP(E113,Направление!A$1:B$4610,2))))))</f>
        <v>Иные бюджетные ассигнования</v>
      </c>
      <c r="B113" s="51"/>
      <c r="C113" s="52"/>
      <c r="D113" s="53"/>
      <c r="E113" s="52"/>
      <c r="F113" s="54">
        <v>800</v>
      </c>
      <c r="G113" s="246">
        <v>0</v>
      </c>
      <c r="H113" s="238">
        <v>0</v>
      </c>
      <c r="I113" s="238">
        <f t="shared" si="28"/>
        <v>0</v>
      </c>
      <c r="J113" s="313"/>
    </row>
    <row r="114" spans="1:10" s="7" customFormat="1" ht="63" hidden="1" x14ac:dyDescent="0.25">
      <c r="A114" s="183" t="str">
        <f>IF(B114&gt;0,VLOOKUP(B114,КВСР!A31:B1196,2),IF(C114&gt;0,VLOOKUP(C114,КФСР!A31:B1543,2),IF(D114&gt;0,VLOOKUP(D114,Программа!A$3:B$4988,2),IF(F114&gt;0,VLOOKUP(F114,КВР!A$1:B$5001,2),IF(E114&gt;0,VLOOKUP(E114,Направление!A$1:B$4610,2))))))</f>
        <v xml:space="preserve">Муниципальная программа "Градостроительная деятельность на территории городского поселения Тутаев" </v>
      </c>
      <c r="B114" s="72"/>
      <c r="C114" s="73"/>
      <c r="D114" s="74" t="s">
        <v>663</v>
      </c>
      <c r="E114" s="73"/>
      <c r="F114" s="74"/>
      <c r="G114" s="258">
        <v>0</v>
      </c>
      <c r="H114" s="260">
        <f t="shared" ref="H114:I114" si="43">H115+H118</f>
        <v>0</v>
      </c>
      <c r="I114" s="260">
        <f t="shared" si="43"/>
        <v>0</v>
      </c>
      <c r="J114" s="313"/>
    </row>
    <row r="115" spans="1:10" s="7" customFormat="1" ht="78.75" hidden="1" x14ac:dyDescent="0.25">
      <c r="A115" s="183" t="str">
        <f>IF(B115&gt;0,VLOOKUP(B115,КВСР!A32:B1197,2),IF(C115&gt;0,VLOOKUP(C115,КФСР!A32:B1544,2),IF(D115&gt;0,VLOOKUP(D115,Программа!A$3:B$4988,2),IF(F115&gt;0,VLOOKUP(F115,КВР!A$1:B$5001,2),IF(E115&gt;0,VLOOKUP(E115,Направление!A$1:B$4610,2))))))</f>
        <v>Разработка и внесение изменений в документы территориального планирования и градостроительного зонирования городского поселения Тутаев</v>
      </c>
      <c r="B115" s="51"/>
      <c r="C115" s="52"/>
      <c r="D115" s="54" t="s">
        <v>664</v>
      </c>
      <c r="E115" s="52"/>
      <c r="F115" s="54"/>
      <c r="G115" s="302">
        <v>0</v>
      </c>
      <c r="H115" s="265">
        <f t="shared" ref="H115:I116" si="44">H116</f>
        <v>0</v>
      </c>
      <c r="I115" s="265">
        <f t="shared" si="44"/>
        <v>0</v>
      </c>
      <c r="J115" s="313"/>
    </row>
    <row r="116" spans="1:10" s="7" customFormat="1" ht="47.25" hidden="1" x14ac:dyDescent="0.25">
      <c r="A116" s="183" t="str">
        <f>IF(B116&gt;0,VLOOKUP(B116,КВСР!A33:B1198,2),IF(C116&gt;0,VLOOKUP(C116,КФСР!A33:B1545,2),IF(D116&gt;0,VLOOKUP(D116,Программа!A$3:B$4988,2),IF(F116&gt;0,VLOOKUP(F116,КВР!A$1:B$5001,2),IF(E116&gt;0,VLOOKUP(E116,Направление!A$1:B$4610,2))))))</f>
        <v>Обеспечение мероприятий по разработке и  внесению изменений в правила землепользования и застройки</v>
      </c>
      <c r="B116" s="51"/>
      <c r="C116" s="52"/>
      <c r="D116" s="54"/>
      <c r="E116" s="52">
        <v>20210</v>
      </c>
      <c r="F116" s="54"/>
      <c r="G116" s="259">
        <v>0</v>
      </c>
      <c r="H116" s="261">
        <f t="shared" si="44"/>
        <v>0</v>
      </c>
      <c r="I116" s="261">
        <f t="shared" si="44"/>
        <v>0</v>
      </c>
      <c r="J116" s="313"/>
    </row>
    <row r="117" spans="1:10" s="7" customFormat="1" ht="63" hidden="1" x14ac:dyDescent="0.25">
      <c r="A117" s="183" t="str">
        <f>IF(B117&gt;0,VLOOKUP(B117,КВСР!A34:B1199,2),IF(C117&gt;0,VLOOKUP(C117,КФСР!A34:B1546,2),IF(D117&gt;0,VLOOKUP(D117,Программа!A$3:B$4988,2),IF(F117&gt;0,VLOOKUP(F117,КВР!A$1:B$5001,2),IF(E117&gt;0,VLOOKUP(E117,Направление!A$1:B$4610,2))))))</f>
        <v xml:space="preserve">Закупка товаров, работ и услуг для обеспечения государственных (муниципальных) нужд
</v>
      </c>
      <c r="B117" s="51"/>
      <c r="C117" s="52"/>
      <c r="D117" s="54"/>
      <c r="E117" s="52"/>
      <c r="F117" s="54">
        <v>200</v>
      </c>
      <c r="G117" s="303">
        <v>0</v>
      </c>
      <c r="H117" s="317">
        <v>0</v>
      </c>
      <c r="I117" s="238">
        <f t="shared" ref="I117" si="45">SUM(G117:H117)</f>
        <v>0</v>
      </c>
      <c r="J117" s="313"/>
    </row>
    <row r="118" spans="1:10" s="7" customFormat="1" ht="47.25" hidden="1" x14ac:dyDescent="0.25">
      <c r="A118" s="183" t="str">
        <f>IF(B118&gt;0,VLOOKUP(B118,КВСР!A32:B1197,2),IF(C118&gt;0,VLOOKUP(C118,КФСР!A32:B1544,2),IF(D118&gt;0,VLOOKUP(D118,Программа!A$3:B$4988,2),IF(F118&gt;0,VLOOKUP(F118,КВР!A$1:B$5001,2),IF(E118&gt;0,VLOOKUP(E118,Направление!A$1:B$4610,2))))))</f>
        <v>Установление соотвествия утвержденным градостроительным нормам объектов недвижимости</v>
      </c>
      <c r="B118" s="72"/>
      <c r="C118" s="73"/>
      <c r="D118" s="74" t="s">
        <v>665</v>
      </c>
      <c r="E118" s="73"/>
      <c r="F118" s="74"/>
      <c r="G118" s="258">
        <v>0</v>
      </c>
      <c r="H118" s="260">
        <f t="shared" ref="H118:I118" si="46">H119</f>
        <v>0</v>
      </c>
      <c r="I118" s="260">
        <f t="shared" si="46"/>
        <v>0</v>
      </c>
      <c r="J118" s="313"/>
    </row>
    <row r="119" spans="1:10" s="7" customFormat="1" ht="47.25" hidden="1" x14ac:dyDescent="0.25">
      <c r="A119" s="183" t="str">
        <f>IF(B119&gt;0,VLOOKUP(B119,КВСР!A32:B1197,2),IF(C119&gt;0,VLOOKUP(C119,КФСР!A32:B1544,2),IF(D119&gt;0,VLOOKUP(D119,Программа!A$3:B$4988,2),IF(F119&gt;0,VLOOKUP(F119,КВР!A$1:B$5001,2),IF(E119&gt;0,VLOOKUP(E119,Направление!A$1:B$4610,2))))))</f>
        <v xml:space="preserve">Обеспечение мероприятий по разработке и  актуализации схем инженерного обеспечения  </v>
      </c>
      <c r="B119" s="51"/>
      <c r="C119" s="52"/>
      <c r="D119" s="54"/>
      <c r="E119" s="52">
        <v>20200</v>
      </c>
      <c r="F119" s="54"/>
      <c r="G119" s="259">
        <v>0</v>
      </c>
      <c r="H119" s="261">
        <f t="shared" ref="H119:I119" si="47">H120</f>
        <v>0</v>
      </c>
      <c r="I119" s="261">
        <f t="shared" si="47"/>
        <v>0</v>
      </c>
      <c r="J119" s="313"/>
    </row>
    <row r="120" spans="1:10" s="7" customFormat="1" ht="63" hidden="1" x14ac:dyDescent="0.25">
      <c r="A120" s="183" t="str">
        <f>IF(B120&gt;0,VLOOKUP(B120,КВСР!A33:B1198,2),IF(C120&gt;0,VLOOKUP(C120,КФСР!A33:B1545,2),IF(D120&gt;0,VLOOKUP(D120,Программа!A$3:B$4988,2),IF(F120&gt;0,VLOOKUP(F120,КВР!A$1:B$5001,2),IF(E120&gt;0,VLOOKUP(E120,Направление!A$1:B$4610,2))))))</f>
        <v xml:space="preserve">Закупка товаров, работ и услуг для обеспечения государственных (муниципальных) нужд
</v>
      </c>
      <c r="B120" s="51"/>
      <c r="C120" s="52"/>
      <c r="D120" s="54"/>
      <c r="E120" s="52"/>
      <c r="F120" s="54">
        <v>200</v>
      </c>
      <c r="G120" s="303">
        <v>0</v>
      </c>
      <c r="H120" s="317">
        <v>0</v>
      </c>
      <c r="I120" s="238">
        <f t="shared" si="28"/>
        <v>0</v>
      </c>
      <c r="J120" s="313"/>
    </row>
    <row r="121" spans="1:10" s="7" customFormat="1" ht="78.75" hidden="1" x14ac:dyDescent="0.25">
      <c r="A121" s="183" t="str">
        <f>IF(B121&gt;0,VLOOKUP(B121,КВСР!A36:B1201,2),IF(C121&gt;0,VLOOKUP(C121,КФСР!A36:B1548,2),IF(D121&gt;0,VLOOKUP(D121,Программа!A$3:B$4988,2),IF(F121&gt;0,VLOOKUP(F121,КВР!A$1:B$5001,2),IF(E121&gt;0,VLOOKUP(E121,Направление!A$1:B$4610,2))))))</f>
        <v xml:space="preserve">Муниципальная программа "Сохранение, использование и популяризация объектов культурного наследия на территории городского поселения Тутаев" </v>
      </c>
      <c r="B121" s="72"/>
      <c r="C121" s="73"/>
      <c r="D121" s="74" t="s">
        <v>667</v>
      </c>
      <c r="E121" s="73"/>
      <c r="F121" s="74"/>
      <c r="G121" s="258">
        <v>0</v>
      </c>
      <c r="H121" s="260">
        <f t="shared" ref="H121:I122" si="48">H122</f>
        <v>0</v>
      </c>
      <c r="I121" s="260">
        <f t="shared" si="48"/>
        <v>0</v>
      </c>
      <c r="J121" s="313"/>
    </row>
    <row r="122" spans="1:10" s="7" customFormat="1" ht="47.25" hidden="1" x14ac:dyDescent="0.25">
      <c r="A122" s="183" t="str">
        <f>IF(B122&gt;0,VLOOKUP(B122,КВСР!A37:B1202,2),IF(C122&gt;0,VLOOKUP(C122,КФСР!A37:B1549,2),IF(D122&gt;0,VLOOKUP(D122,Программа!A$3:B$4988,2),IF(F122&gt;0,VLOOKUP(F122,КВР!A$1:B$5001,2),IF(E122&gt;0,VLOOKUP(E122,Направление!A$1:B$4610,2))))))</f>
        <v>Разработка, согласование, утверждение проекта зон охраны объектов культурного наследия</v>
      </c>
      <c r="B122" s="51"/>
      <c r="C122" s="52"/>
      <c r="D122" s="54" t="s">
        <v>668</v>
      </c>
      <c r="E122" s="52"/>
      <c r="F122" s="54"/>
      <c r="G122" s="259">
        <v>0</v>
      </c>
      <c r="H122" s="261">
        <f t="shared" si="48"/>
        <v>0</v>
      </c>
      <c r="I122" s="261">
        <f t="shared" si="48"/>
        <v>0</v>
      </c>
      <c r="J122" s="313"/>
    </row>
    <row r="123" spans="1:10" s="7" customFormat="1" ht="78.75" hidden="1" x14ac:dyDescent="0.25">
      <c r="A123" s="183" t="str">
        <f>IF(B123&gt;0,VLOOKUP(B123,КВСР!A36:B1201,2),IF(C123&gt;0,VLOOKUP(C123,КФСР!A36:B1548,2),IF(D123&gt;0,VLOOKUP(D123,Программа!A$3:B$4988,2),IF(F123&gt;0,VLOOKUP(F123,КВР!A$1:B$5001,2),IF(E123&gt;0,VLOOKUP(E123,Направление!A$1:B$4610,2))))))</f>
        <v>Обеспечение мероприятий в области сохранения и восстановления исторического облика г. Тутаев, создание зон охраны объектов культурного наследия</v>
      </c>
      <c r="B123" s="51"/>
      <c r="C123" s="52"/>
      <c r="D123" s="54"/>
      <c r="E123" s="52">
        <v>20230</v>
      </c>
      <c r="F123" s="54"/>
      <c r="G123" s="259">
        <v>0</v>
      </c>
      <c r="H123" s="261">
        <f t="shared" ref="H123:I123" si="49">H124</f>
        <v>0</v>
      </c>
      <c r="I123" s="261">
        <f t="shared" si="49"/>
        <v>0</v>
      </c>
      <c r="J123" s="313"/>
    </row>
    <row r="124" spans="1:10" s="7" customFormat="1" ht="63" hidden="1" x14ac:dyDescent="0.25">
      <c r="A124" s="183" t="str">
        <f>IF(B124&gt;0,VLOOKUP(B124,КВСР!A37:B1202,2),IF(C124&gt;0,VLOOKUP(C124,КФСР!A37:B1549,2),IF(D124&gt;0,VLOOKUP(D124,Программа!A$3:B$4988,2),IF(F124&gt;0,VLOOKUP(F124,КВР!A$1:B$5001,2),IF(E124&gt;0,VLOOKUP(E124,Направление!A$1:B$4610,2))))))</f>
        <v xml:space="preserve">Закупка товаров, работ и услуг для обеспечения государственных (муниципальных) нужд
</v>
      </c>
      <c r="B124" s="51"/>
      <c r="C124" s="52"/>
      <c r="D124" s="54"/>
      <c r="E124" s="52"/>
      <c r="F124" s="54">
        <v>200</v>
      </c>
      <c r="G124" s="303">
        <v>0</v>
      </c>
      <c r="H124" s="317">
        <v>0</v>
      </c>
      <c r="I124" s="238">
        <f t="shared" si="28"/>
        <v>0</v>
      </c>
      <c r="J124" s="313"/>
    </row>
    <row r="125" spans="1:10" s="7" customFormat="1" x14ac:dyDescent="0.25">
      <c r="A125" s="182" t="str">
        <f>IF(B125&gt;0,VLOOKUP(B125,КВСР!A38:B1203,2),IF(C125&gt;0,VLOOKUP(C125,КФСР!A38:B1550,2),IF(D125&gt;0,VLOOKUP(D125,Программа!A$3:B$4988,2),IF(F125&gt;0,VLOOKUP(F125,КВР!A$1:B$5001,2),IF(E125&gt;0,VLOOKUP(E125,Направление!A$1:B$4610,2))))))</f>
        <v>Непрограммные расходы бюджета</v>
      </c>
      <c r="B125" s="114"/>
      <c r="C125" s="115"/>
      <c r="D125" s="117" t="s">
        <v>521</v>
      </c>
      <c r="E125" s="115"/>
      <c r="F125" s="117"/>
      <c r="G125" s="301">
        <f>G126</f>
        <v>500000</v>
      </c>
      <c r="H125" s="264">
        <f t="shared" ref="H125:I125" si="50">H126</f>
        <v>58318.879999999997</v>
      </c>
      <c r="I125" s="264">
        <f t="shared" si="50"/>
        <v>558318.88</v>
      </c>
      <c r="J125" s="313"/>
    </row>
    <row r="126" spans="1:10" s="7" customFormat="1" ht="94.5" x14ac:dyDescent="0.25">
      <c r="A126" s="183" t="str">
        <f>IF(B126&gt;0,VLOOKUP(B126,КВСР!A32:B1197,2),IF(C126&gt;0,VLOOKUP(C126,КФСР!A32:B1544,2),IF(D126&gt;0,VLOOKUP(D126,Программа!A$3:B$4988,2),IF(F126&gt;0,VLOOKUP(F126,КВР!A$1:B$5001,2),IF(E126&gt;0,VLOOKUP(E126,Направление!A$1:B$4610,2))))))</f>
        <v>Межбюджетные трансферты на обеспечение мероприятий  по землеустройству и землепользованию,   определению кадастровой стоимости и приобретению прав собственности на землю</v>
      </c>
      <c r="B126" s="51"/>
      <c r="C126" s="52"/>
      <c r="D126" s="54"/>
      <c r="E126" s="52">
        <v>29276</v>
      </c>
      <c r="F126" s="54"/>
      <c r="G126" s="259">
        <f>G127</f>
        <v>500000</v>
      </c>
      <c r="H126" s="261">
        <f t="shared" ref="H126:I126" si="51">H127</f>
        <v>58318.879999999997</v>
      </c>
      <c r="I126" s="261">
        <f t="shared" si="51"/>
        <v>558318.88</v>
      </c>
      <c r="J126" s="313"/>
    </row>
    <row r="127" spans="1:10" s="7" customFormat="1" x14ac:dyDescent="0.25">
      <c r="A127" s="183" t="str">
        <f>IF(B127&gt;0,VLOOKUP(B127,КВСР!A33:B1198,2),IF(C127&gt;0,VLOOKUP(C127,КФСР!A33:B1545,2),IF(D127&gt;0,VLOOKUP(D127,Программа!A$3:B$4988,2),IF(F127&gt;0,VLOOKUP(F127,КВР!A$1:B$5001,2),IF(E127&gt;0,VLOOKUP(E127,Направление!A$1:B$4610,2))))))</f>
        <v xml:space="preserve"> Межбюджетные трансферты</v>
      </c>
      <c r="B127" s="51"/>
      <c r="C127" s="52"/>
      <c r="D127" s="54"/>
      <c r="E127" s="52"/>
      <c r="F127" s="54">
        <v>500</v>
      </c>
      <c r="G127" s="303">
        <v>500000</v>
      </c>
      <c r="H127" s="317">
        <v>58318.879999999997</v>
      </c>
      <c r="I127" s="238">
        <f>G127+H127</f>
        <v>558318.88</v>
      </c>
      <c r="J127" s="313"/>
    </row>
    <row r="128" spans="1:10" s="7" customFormat="1" x14ac:dyDescent="0.25">
      <c r="A128" s="184" t="str">
        <f>IF(B128&gt;0,VLOOKUP(B128,КВСР!A34:B1199,2),IF(C128&gt;0,VLOOKUP(C128,КФСР!A34:B1546,2),IF(D128&gt;0,VLOOKUP(D128,Программа!A$3:B$4988,2),IF(F128&gt;0,VLOOKUP(F128,КВР!A$1:B$5001,2),IF(E128&gt;0,VLOOKUP(E128,Направление!A$1:B$4610,2))))))</f>
        <v>Жилищное хозяйство</v>
      </c>
      <c r="B128" s="55"/>
      <c r="C128" s="56">
        <v>501</v>
      </c>
      <c r="D128" s="58"/>
      <c r="E128" s="56"/>
      <c r="F128" s="58"/>
      <c r="G128" s="256">
        <f>G129+G141</f>
        <v>102827233.40000001</v>
      </c>
      <c r="H128" s="253">
        <f>H129+H141</f>
        <v>68852785.830000013</v>
      </c>
      <c r="I128" s="253">
        <f>SUM(G128:H128)</f>
        <v>171680019.23000002</v>
      </c>
      <c r="J128" s="313"/>
    </row>
    <row r="129" spans="1:10" s="7" customFormat="1" x14ac:dyDescent="0.25">
      <c r="A129" s="182" t="str">
        <f>IF(B129&gt;0,VLOOKUP(B129,КВСР!A35:B1200,2),IF(C129&gt;0,VLOOKUP(C129,КФСР!A35:B1547,2),IF(D129&gt;0,VLOOKUP(D129,Программа!A$3:B$4988,2),IF(F129&gt;0,VLOOKUP(F129,КВР!A$1:B$5001,2),IF(E129&gt;0,VLOOKUP(E129,Направление!A$1:B$4610,2))))))</f>
        <v>Программные расходы бюджета</v>
      </c>
      <c r="B129" s="114"/>
      <c r="C129" s="115"/>
      <c r="D129" s="117" t="s">
        <v>634</v>
      </c>
      <c r="E129" s="115"/>
      <c r="F129" s="117"/>
      <c r="G129" s="257">
        <f>G130</f>
        <v>92023087</v>
      </c>
      <c r="H129" s="254">
        <f>H130</f>
        <v>61653327.850000009</v>
      </c>
      <c r="I129" s="254">
        <f>SUM(G129:H129)</f>
        <v>153676414.85000002</v>
      </c>
      <c r="J129" s="313"/>
    </row>
    <row r="130" spans="1:10" s="7" customFormat="1" ht="63" x14ac:dyDescent="0.25">
      <c r="A130" s="183" t="str">
        <f>IF(B130&gt;0,VLOOKUP(B130,КВСР!A35:B1200,2),IF(C130&gt;0,VLOOKUP(C130,КФСР!A35:B1547,2),IF(D130&gt;0,VLOOKUP(D130,Программа!A$3:B$4988,2),IF(F130&gt;0,VLOOKUP(F130,КВР!A$1:B$5001,2),IF(E130&gt;0,VLOOKUP(E130,Направление!A$1:B$4610,2))))))</f>
        <v xml:space="preserve">Муниципальная программа "Переселение граждан из аварийного жилищного фонда городского поселения Тутаев" </v>
      </c>
      <c r="B130" s="51"/>
      <c r="C130" s="52"/>
      <c r="D130" s="54" t="s">
        <v>741</v>
      </c>
      <c r="E130" s="52"/>
      <c r="F130" s="54"/>
      <c r="G130" s="259">
        <f>G131+G134</f>
        <v>92023087</v>
      </c>
      <c r="H130" s="261">
        <f>H131+H134</f>
        <v>61653327.850000009</v>
      </c>
      <c r="I130" s="266">
        <f>I134+I131</f>
        <v>153676414.84999999</v>
      </c>
      <c r="J130" s="313"/>
    </row>
    <row r="131" spans="1:10" s="7" customFormat="1" ht="220.5" x14ac:dyDescent="0.25">
      <c r="A131" s="183" t="str">
        <f>IF(B131&gt;0,VLOOKUP(B131,КВСР!A36:B1201,2),IF(C131&gt;0,VLOOKUP(C131,КФСР!A36:B1548,2),IF(D131&gt;0,VLOOKUP(D131,Программа!A$3:B$4988,2),IF(F131&gt;0,VLOOKUP(F131,КВР!A$1:B$5001,2),IF(E131&gt;0,VLOOKUP(E131,Направление!A$1:B$4610,2))))))</f>
        <v>Обеспечение благоустроенными жилыми помещениями гражданам, переселяемым из многоквартирных домов, признанных в установленном порядке аварийными и подлежащими сносу или реконструкции в связи с физическим износом в процессе их эксплуатации за счет привлечения финансовой поддержки государственной корпорации – Фонда содействия реформированию жилищно-коммунального хозяйства (далее - Фонд) на территории городского поселения Тутаев</v>
      </c>
      <c r="B131" s="51"/>
      <c r="C131" s="52"/>
      <c r="D131" s="54" t="s">
        <v>742</v>
      </c>
      <c r="E131" s="52"/>
      <c r="F131" s="54"/>
      <c r="G131" s="259">
        <f>G132</f>
        <v>6137928</v>
      </c>
      <c r="H131" s="259">
        <f t="shared" ref="H131:I132" si="52">H132</f>
        <v>3361447.7</v>
      </c>
      <c r="I131" s="266">
        <f t="shared" si="52"/>
        <v>9499375.6999999993</v>
      </c>
      <c r="J131" s="313"/>
    </row>
    <row r="132" spans="1:10" s="7" customFormat="1" ht="47.25" x14ac:dyDescent="0.25">
      <c r="A132" s="183" t="str">
        <f>IF(B132&gt;0,VLOOKUP(B132,КВСР!A37:B1202,2),IF(C132&gt;0,VLOOKUP(C132,КФСР!A37:B1549,2),IF(D132&gt;0,VLOOKUP(D132,Программа!A$3:B$4988,2),IF(F132&gt;0,VLOOKUP(F132,КВР!A$1:B$5001,2),IF(E132&gt;0,VLOOKUP(E132,Направление!A$1:B$4610,2))))))</f>
        <v>Расходы на  обеспечение мероприятий по переселению граждан из аварийного жилищного фонда, доп. площади</v>
      </c>
      <c r="B132" s="51"/>
      <c r="C132" s="52"/>
      <c r="D132" s="54"/>
      <c r="E132" s="52">
        <v>20350</v>
      </c>
      <c r="F132" s="54"/>
      <c r="G132" s="259">
        <f>G133</f>
        <v>6137928</v>
      </c>
      <c r="H132" s="259">
        <f t="shared" si="52"/>
        <v>3361447.7</v>
      </c>
      <c r="I132" s="266">
        <f t="shared" si="52"/>
        <v>9499375.6999999993</v>
      </c>
      <c r="J132" s="313"/>
    </row>
    <row r="133" spans="1:10" s="7" customFormat="1" ht="47.25" x14ac:dyDescent="0.25">
      <c r="A133" s="183" t="str">
        <f>IF(B133&gt;0,VLOOKUP(B133,КВСР!A38:B1203,2),IF(C133&gt;0,VLOOKUP(C133,КФСР!A38:B1550,2),IF(D133&gt;0,VLOOKUP(D133,Программа!A$3:B$4988,2),IF(F133&gt;0,VLOOKUP(F133,КВР!A$1:B$5001,2),IF(E133&gt;0,VLOOKUP(E133,Направление!A$1:B$4610,2))))))</f>
        <v>Капитальные вложения в объекты государственной (муниципальной) собственности</v>
      </c>
      <c r="B133" s="51"/>
      <c r="C133" s="52"/>
      <c r="D133" s="54"/>
      <c r="E133" s="52"/>
      <c r="F133" s="54">
        <v>400</v>
      </c>
      <c r="G133" s="303">
        <v>6137928</v>
      </c>
      <c r="H133" s="317">
        <v>3361447.7</v>
      </c>
      <c r="I133" s="238">
        <f>G133+H133</f>
        <v>9499375.6999999993</v>
      </c>
      <c r="J133" s="313"/>
    </row>
    <row r="134" spans="1:10" s="7" customFormat="1" ht="47.25" x14ac:dyDescent="0.25">
      <c r="A134" s="183" t="str">
        <f>IF(B134&gt;0,VLOOKUP(B134,КВСР!A36:B1201,2),IF(C134&gt;0,VLOOKUP(C134,КФСР!A36:B1548,2),IF(D134&gt;0,VLOOKUP(D134,Программа!A$3:B$4988,2),IF(F134&gt;0,VLOOKUP(F134,КВР!A$1:B$5001,2),IF(E134&gt;0,VLOOKUP(E134,Направление!A$1:B$4610,2))))))</f>
        <v>Федеральный проект "Обеспечение устойчивого сокращения непригодного для проживания жилищного фонда"</v>
      </c>
      <c r="B134" s="51"/>
      <c r="C134" s="52"/>
      <c r="D134" s="53" t="s">
        <v>773</v>
      </c>
      <c r="E134" s="52"/>
      <c r="F134" s="54"/>
      <c r="G134" s="240">
        <f>G135+G137+G139</f>
        <v>85885159</v>
      </c>
      <c r="H134" s="240">
        <f>H135+H137+H139</f>
        <v>58291880.150000006</v>
      </c>
      <c r="I134" s="240">
        <f>I135+I137+I139</f>
        <v>144177039.15000001</v>
      </c>
      <c r="J134" s="313"/>
    </row>
    <row r="135" spans="1:10" s="7" customFormat="1" ht="141.75" x14ac:dyDescent="0.25">
      <c r="A135" s="183" t="str">
        <f>IF(B135&gt;0,VLOOKUP(B135,КВСР!A39:B1204,2),IF(C135&gt;0,VLOOKUP(C135,КФСР!A39:B1551,2),IF(D135&gt;0,VLOOKUP(D135,Программа!A$3:B$4988,2),IF(F135&gt;0,VLOOKUP(F135,КВР!A$1:B$5001,2),IF(E135&gt;0,VLOOKUP(E135,Направление!A$1:B$4610,2))))))</f>
        <v>Расходы на обеспечение мероприятий по переселению граждан из аварийного жилищного фонда, в т.ч. переселению граждан  из аврийного ЖФ с учетом необходимости развития малоэтажного жилищного строительства, за счет средств ,поступивших от гос.корпорации-Фонда содействия реформированию ЖКХ</v>
      </c>
      <c r="B135" s="51"/>
      <c r="C135" s="52"/>
      <c r="D135" s="54"/>
      <c r="E135" s="52">
        <v>67483</v>
      </c>
      <c r="F135" s="54"/>
      <c r="G135" s="259">
        <f>G136</f>
        <v>82449898</v>
      </c>
      <c r="H135" s="259">
        <f t="shared" ref="H135:I135" si="53">H136</f>
        <v>55960204.960000001</v>
      </c>
      <c r="I135" s="259">
        <f t="shared" si="53"/>
        <v>138410102.96000001</v>
      </c>
      <c r="J135" s="313"/>
    </row>
    <row r="136" spans="1:10" s="7" customFormat="1" ht="47.25" x14ac:dyDescent="0.25">
      <c r="A136" s="183" t="str">
        <f>IF(B136&gt;0,VLOOKUP(B136,КВСР!A40:B1205,2),IF(C136&gt;0,VLOOKUP(C136,КФСР!A40:B1552,2),IF(D136&gt;0,VLOOKUP(D136,Программа!A$3:B$4988,2),IF(F136&gt;0,VLOOKUP(F136,КВР!A$1:B$5001,2),IF(E136&gt;0,VLOOKUP(E136,Направление!A$1:B$4610,2))))))</f>
        <v>Капитальные вложения в объекты государственной (муниципальной) собственности</v>
      </c>
      <c r="B136" s="51"/>
      <c r="C136" s="52"/>
      <c r="D136" s="54"/>
      <c r="E136" s="52"/>
      <c r="F136" s="54">
        <v>400</v>
      </c>
      <c r="G136" s="303">
        <v>82449898</v>
      </c>
      <c r="H136" s="317">
        <v>55960204.960000001</v>
      </c>
      <c r="I136" s="238">
        <f>G136+H136</f>
        <v>138410102.96000001</v>
      </c>
      <c r="J136" s="313"/>
    </row>
    <row r="137" spans="1:10" s="7" customFormat="1" ht="126" x14ac:dyDescent="0.25">
      <c r="A137" s="183" t="str">
        <f>IF(B137&gt;0,VLOOKUP(B137,КВСР!A39:B1204,2),IF(C137&gt;0,VLOOKUP(C137,КФСР!A39:B1551,2),IF(D137&gt;0,VLOOKUP(D137,Программа!A$3:B$4988,2),IF(F137&gt;0,VLOOKUP(F137,КВР!A$1:B$5001,2),IF(E137&gt;0,VLOOKUP(E137,Направление!A$1:B$4610,2))))))</f>
        <v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v>
      </c>
      <c r="B137" s="51"/>
      <c r="C137" s="52"/>
      <c r="D137" s="54"/>
      <c r="E137" s="52">
        <v>67484</v>
      </c>
      <c r="F137" s="54"/>
      <c r="G137" s="259">
        <f>G138</f>
        <v>3091872</v>
      </c>
      <c r="H137" s="259">
        <f t="shared" ref="H137:I137" si="54">H138</f>
        <v>2098507.7000000002</v>
      </c>
      <c r="I137" s="259">
        <f t="shared" si="54"/>
        <v>5190379.7</v>
      </c>
      <c r="J137" s="313"/>
    </row>
    <row r="138" spans="1:10" s="7" customFormat="1" ht="47.25" x14ac:dyDescent="0.25">
      <c r="A138" s="183" t="str">
        <f>IF(B138&gt;0,VLOOKUP(B138,КВСР!A40:B1205,2),IF(C138&gt;0,VLOOKUP(C138,КФСР!A40:B1552,2),IF(D138&gt;0,VLOOKUP(D138,Программа!A$3:B$4988,2),IF(F138&gt;0,VLOOKUP(F138,КВР!A$1:B$5001,2),IF(E138&gt;0,VLOOKUP(E138,Направление!A$1:B$4610,2))))))</f>
        <v>Капитальные вложения в объекты государственной (муниципальной) собственности</v>
      </c>
      <c r="B138" s="51"/>
      <c r="C138" s="52"/>
      <c r="D138" s="54"/>
      <c r="E138" s="52"/>
      <c r="F138" s="54">
        <v>400</v>
      </c>
      <c r="G138" s="303">
        <v>3091872</v>
      </c>
      <c r="H138" s="317">
        <v>2098507.7000000002</v>
      </c>
      <c r="I138" s="238">
        <f>G138+H138</f>
        <v>5190379.7</v>
      </c>
      <c r="J138" s="313"/>
    </row>
    <row r="139" spans="1:10" s="7" customFormat="1" ht="126" x14ac:dyDescent="0.25">
      <c r="A139" s="183" t="str">
        <f>IF(B139&gt;0,VLOOKUP(B139,КВСР!A41:B1206,2),IF(C139&gt;0,VLOOKUP(C139,КФСР!A41:B1553,2),IF(D139&gt;0,VLOOKUP(D139,Программа!A$3:B$4988,2),IF(F139&gt;0,VLOOKUP(F139,КВР!A$1:B$5001,2),IF(E139&gt;0,VLOOKUP(E139,Направление!A$1:B$4610,2))))))</f>
        <v xml:space="preserve"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местного бюджета </v>
      </c>
      <c r="B139" s="51"/>
      <c r="C139" s="52"/>
      <c r="D139" s="54"/>
      <c r="E139" s="52" t="s">
        <v>795</v>
      </c>
      <c r="F139" s="54"/>
      <c r="G139" s="259">
        <f>G140</f>
        <v>343389</v>
      </c>
      <c r="H139" s="259">
        <f t="shared" ref="H139:I139" si="55">H140</f>
        <v>233167.49</v>
      </c>
      <c r="I139" s="259">
        <f t="shared" si="55"/>
        <v>576556.49</v>
      </c>
      <c r="J139" s="313"/>
    </row>
    <row r="140" spans="1:10" s="7" customFormat="1" ht="47.25" x14ac:dyDescent="0.25">
      <c r="A140" s="183" t="str">
        <f>IF(B140&gt;0,VLOOKUP(B140,КВСР!A42:B1207,2),IF(C140&gt;0,VLOOKUP(C140,КФСР!A42:B1554,2),IF(D140&gt;0,VLOOKUP(D140,Программа!A$3:B$4988,2),IF(F140&gt;0,VLOOKUP(F140,КВР!A$1:B$5001,2),IF(E140&gt;0,VLOOKUP(E140,Направление!A$1:B$4610,2))))))</f>
        <v>Капитальные вложения в объекты государственной (муниципальной) собственности</v>
      </c>
      <c r="B140" s="51"/>
      <c r="C140" s="52"/>
      <c r="D140" s="54"/>
      <c r="E140" s="52"/>
      <c r="F140" s="54">
        <v>400</v>
      </c>
      <c r="G140" s="303">
        <v>343389</v>
      </c>
      <c r="H140" s="317">
        <v>233167.49</v>
      </c>
      <c r="I140" s="238">
        <f>G140+H140</f>
        <v>576556.49</v>
      </c>
      <c r="J140" s="313"/>
    </row>
    <row r="141" spans="1:10" s="7" customFormat="1" x14ac:dyDescent="0.25">
      <c r="A141" s="182" t="str">
        <f>IF(B141&gt;0,VLOOKUP(B141,КВСР!A39:B1204,2),IF(C141&gt;0,VLOOKUP(C141,КФСР!A39:B1551,2),IF(D141&gt;0,VLOOKUP(D141,Программа!A$3:B$4988,2),IF(F141&gt;0,VLOOKUP(F141,КВР!A$1:B$5001,2),IF(E141&gt;0,VLOOKUP(E141,Направление!A$1:B$4610,2))))))</f>
        <v>Непрограммные расходы бюджета</v>
      </c>
      <c r="B141" s="114"/>
      <c r="C141" s="115"/>
      <c r="D141" s="117" t="s">
        <v>521</v>
      </c>
      <c r="E141" s="115"/>
      <c r="F141" s="117"/>
      <c r="G141" s="257">
        <f>G142+G144+G146+G148+G150</f>
        <v>10804146.4</v>
      </c>
      <c r="H141" s="254">
        <f t="shared" ref="H141:I141" si="56">H146+H142+H144+H150+H148</f>
        <v>7199457.9800000004</v>
      </c>
      <c r="I141" s="254">
        <f t="shared" si="56"/>
        <v>18003604.379999999</v>
      </c>
      <c r="J141" s="313"/>
    </row>
    <row r="142" spans="1:10" s="7" customFormat="1" ht="47.25" x14ac:dyDescent="0.25">
      <c r="A142" s="183" t="str">
        <f>IF(B142&gt;0,VLOOKUP(B142,КВСР!A40:B1205,2),IF(C142&gt;0,VLOOKUP(C142,КФСР!A40:B1552,2),IF(D142&gt;0,VLOOKUP(D142,Программа!A$3:B$4988,2),IF(F142&gt;0,VLOOKUP(F142,КВР!A$1:B$5001,2),IF(E142&gt;0,VLOOKUP(E142,Направление!A$1:B$4610,2))))))</f>
        <v>Взнос на капитальный  ремонт  жилых помещений муниципального жилищного фонда</v>
      </c>
      <c r="B142" s="51"/>
      <c r="C142" s="52"/>
      <c r="D142" s="54"/>
      <c r="E142" s="52">
        <v>20090</v>
      </c>
      <c r="F142" s="54"/>
      <c r="G142" s="240">
        <f>G143</f>
        <v>3900000</v>
      </c>
      <c r="H142" s="266">
        <f t="shared" ref="H142:I142" si="57">H143</f>
        <v>2602217.9900000002</v>
      </c>
      <c r="I142" s="266">
        <f t="shared" si="57"/>
        <v>6502217.9900000002</v>
      </c>
      <c r="J142" s="313"/>
    </row>
    <row r="143" spans="1:10" s="7" customFormat="1" ht="63" x14ac:dyDescent="0.25">
      <c r="A143" s="183" t="str">
        <f>IF(B143&gt;0,VLOOKUP(B143,КВСР!A41:B1206,2),IF(C143&gt;0,VLOOKUP(C143,КФСР!A41:B1553,2),IF(D143&gt;0,VLOOKUP(D143,Программа!A$3:B$4988,2),IF(F143&gt;0,VLOOKUP(F143,КВР!A$1:B$5001,2),IF(E143&gt;0,VLOOKUP(E143,Направление!A$1:B$4610,2))))))</f>
        <v xml:space="preserve">Закупка товаров, работ и услуг для обеспечения государственных (муниципальных) нужд
</v>
      </c>
      <c r="B143" s="51"/>
      <c r="C143" s="52"/>
      <c r="D143" s="54"/>
      <c r="E143" s="52"/>
      <c r="F143" s="54">
        <v>200</v>
      </c>
      <c r="G143" s="246">
        <v>3900000</v>
      </c>
      <c r="H143" s="316">
        <v>2602217.9900000002</v>
      </c>
      <c r="I143" s="238">
        <f>G143+H143</f>
        <v>6502217.9900000002</v>
      </c>
      <c r="J143" s="313"/>
    </row>
    <row r="144" spans="1:10" s="7" customFormat="1" ht="63" hidden="1" x14ac:dyDescent="0.25">
      <c r="A144" s="183" t="str">
        <f>IF(B144&gt;0,VLOOKUP(B144,КВСР!A42:B1207,2),IF(C144&gt;0,VLOOKUP(C144,КФСР!A42:B1554,2),IF(D144&gt;0,VLOOKUP(D144,Программа!A$3:B$4988,2),IF(F144&gt;0,VLOOKUP(F144,КВР!A$1:B$5001,2),IF(E144&gt;0,VLOOKUP(E144,Направление!A$1:B$4610,2))))))</f>
        <v>Обеспечение мероприятий по получению  технических паспортов  МКД, которые признаны аварийными и подлежащими сносу</v>
      </c>
      <c r="B144" s="51"/>
      <c r="C144" s="52"/>
      <c r="D144" s="54"/>
      <c r="E144" s="52">
        <v>20240</v>
      </c>
      <c r="F144" s="54"/>
      <c r="G144" s="240">
        <f>G145</f>
        <v>0</v>
      </c>
      <c r="H144" s="266">
        <f t="shared" ref="H144:I144" si="58">H145</f>
        <v>0</v>
      </c>
      <c r="I144" s="266">
        <f t="shared" si="58"/>
        <v>0</v>
      </c>
      <c r="J144" s="313"/>
    </row>
    <row r="145" spans="1:10" s="7" customFormat="1" ht="63" hidden="1" x14ac:dyDescent="0.25">
      <c r="A145" s="183" t="str">
        <f>IF(B145&gt;0,VLOOKUP(B145,КВСР!A43:B1208,2),IF(C145&gt;0,VLOOKUP(C145,КФСР!A43:B1555,2),IF(D145&gt;0,VLOOKUP(D145,Программа!A$3:B$4988,2),IF(F145&gt;0,VLOOKUP(F145,КВР!A$1:B$5001,2),IF(E145&gt;0,VLOOKUP(E145,Направление!A$1:B$4610,2))))))</f>
        <v xml:space="preserve">Закупка товаров, работ и услуг для обеспечения государственных (муниципальных) нужд
</v>
      </c>
      <c r="B145" s="51"/>
      <c r="C145" s="52"/>
      <c r="D145" s="54"/>
      <c r="E145" s="52"/>
      <c r="F145" s="54">
        <v>200</v>
      </c>
      <c r="G145" s="246">
        <v>0</v>
      </c>
      <c r="H145" s="316">
        <v>0</v>
      </c>
      <c r="I145" s="238">
        <f>SUM(G145:H145)</f>
        <v>0</v>
      </c>
      <c r="J145" s="313"/>
    </row>
    <row r="146" spans="1:10" s="7" customFormat="1" ht="78.75" x14ac:dyDescent="0.25">
      <c r="A146" s="183" t="str">
        <f>IF(B146&gt;0,VLOOKUP(B146,КВСР!A42:B1207,2),IF(C146&gt;0,VLOOKUP(C146,КФСР!A42:B1554,2),IF(D146&gt;0,VLOOKUP(D146,Программа!A$3:B$4988,2),IF(F146&gt;0,VLOOKUP(F146,КВР!A$1:B$5001,2),IF(E146&gt;0,VLOOKUP(E146,Направление!A$1:B$4610,2))))))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B146" s="51"/>
      <c r="C146" s="52"/>
      <c r="D146" s="54"/>
      <c r="E146" s="52">
        <v>29376</v>
      </c>
      <c r="F146" s="54"/>
      <c r="G146" s="240">
        <f>G147</f>
        <v>6494146.4000000004</v>
      </c>
      <c r="H146" s="266">
        <f t="shared" ref="H146:I146" si="59">H147</f>
        <v>4384532.55</v>
      </c>
      <c r="I146" s="266">
        <f t="shared" si="59"/>
        <v>10878678.949999999</v>
      </c>
      <c r="J146" s="313"/>
    </row>
    <row r="147" spans="1:10" s="7" customFormat="1" x14ac:dyDescent="0.25">
      <c r="A147" s="183" t="str">
        <f>IF(B147&gt;0,VLOOKUP(B147,КВСР!A43:B1208,2),IF(C147&gt;0,VLOOKUP(C147,КФСР!A43:B1555,2),IF(D147&gt;0,VLOOKUP(D147,Программа!A$3:B$4988,2),IF(F147&gt;0,VLOOKUP(F147,КВР!A$1:B$5001,2),IF(E147&gt;0,VLOOKUP(E147,Направление!A$1:B$4610,2))))))</f>
        <v xml:space="preserve"> Межбюджетные трансферты</v>
      </c>
      <c r="B147" s="51"/>
      <c r="C147" s="52"/>
      <c r="D147" s="54"/>
      <c r="E147" s="52"/>
      <c r="F147" s="54">
        <v>500</v>
      </c>
      <c r="G147" s="246">
        <v>6494146.4000000004</v>
      </c>
      <c r="H147" s="316">
        <v>4384532.55</v>
      </c>
      <c r="I147" s="238">
        <f>G147+H147</f>
        <v>10878678.949999999</v>
      </c>
      <c r="J147" s="313"/>
    </row>
    <row r="148" spans="1:10" s="7" customFormat="1" ht="63" x14ac:dyDescent="0.25">
      <c r="A148" s="183" t="str">
        <f>IF(B148&gt;0,VLOOKUP(B148,КВСР!A44:B1209,2),IF(C148&gt;0,VLOOKUP(C148,КФСР!A44:B1556,2),IF(D148&gt;0,VLOOKUP(D148,Программа!A$3:B$4988,2),IF(F148&gt;0,VLOOKUP(F148,КВР!A$1:B$5001,2),IF(E148&gt;0,VLOOKUP(E148,Направление!A$1:B$4610,2))))))</f>
        <v xml:space="preserve">Межбюджетные трансферты на обеспечение мероприятий по начислению и сбору платы за найм муниципального жилищного фонда </v>
      </c>
      <c r="B148" s="51"/>
      <c r="C148" s="52"/>
      <c r="D148" s="54"/>
      <c r="E148" s="52">
        <v>29436</v>
      </c>
      <c r="F148" s="54"/>
      <c r="G148" s="240">
        <f>G149</f>
        <v>350000</v>
      </c>
      <c r="H148" s="239">
        <f t="shared" ref="H148:I148" si="60">H149</f>
        <v>212707.44</v>
      </c>
      <c r="I148" s="239">
        <f t="shared" si="60"/>
        <v>562707.43999999994</v>
      </c>
      <c r="J148" s="313"/>
    </row>
    <row r="149" spans="1:10" s="7" customFormat="1" x14ac:dyDescent="0.25">
      <c r="A149" s="183" t="str">
        <f>IF(B149&gt;0,VLOOKUP(B149,КВСР!A45:B1210,2),IF(C149&gt;0,VLOOKUP(C149,КФСР!A45:B1557,2),IF(D149&gt;0,VLOOKUP(D149,Программа!A$3:B$4988,2),IF(F149&gt;0,VLOOKUP(F149,КВР!A$1:B$5001,2),IF(E149&gt;0,VLOOKUP(E149,Направление!A$1:B$4610,2))))))</f>
        <v xml:space="preserve"> Межбюджетные трансферты</v>
      </c>
      <c r="B149" s="51"/>
      <c r="C149" s="52"/>
      <c r="D149" s="54"/>
      <c r="E149" s="52"/>
      <c r="F149" s="54">
        <v>500</v>
      </c>
      <c r="G149" s="246">
        <v>350000</v>
      </c>
      <c r="H149" s="316">
        <v>212707.44</v>
      </c>
      <c r="I149" s="238">
        <f>SUM(G149:H149)</f>
        <v>562707.43999999994</v>
      </c>
      <c r="J149" s="313"/>
    </row>
    <row r="150" spans="1:10" s="7" customFormat="1" ht="94.5" hidden="1" x14ac:dyDescent="0.25">
      <c r="A150" s="183" t="str">
        <f>IF(B150&gt;0,VLOOKUP(B150,КВСР!A44:B1209,2),IF(C150&gt;0,VLOOKUP(C150,КФСР!A44:B1556,2),IF(D150&gt;0,VLOOKUP(D150,Программа!A$3:B$4988,2),IF(F150&gt;0,VLOOKUP(F150,КВР!A$1:B$5001,2),IF(E150&gt;0,VLOOKUP(E150,Направление!A$1:B$4610,2))))))</f>
        <v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v>
      </c>
      <c r="B150" s="51"/>
      <c r="C150" s="52"/>
      <c r="D150" s="54"/>
      <c r="E150" s="52">
        <v>29446</v>
      </c>
      <c r="F150" s="54"/>
      <c r="G150" s="240">
        <f>G151</f>
        <v>60000</v>
      </c>
      <c r="H150" s="239">
        <f>H151</f>
        <v>0</v>
      </c>
      <c r="I150" s="239">
        <f>SUM(G150:H150)</f>
        <v>60000</v>
      </c>
      <c r="J150" s="313"/>
    </row>
    <row r="151" spans="1:10" s="7" customFormat="1" hidden="1" x14ac:dyDescent="0.25">
      <c r="A151" s="183" t="str">
        <f>IF(B151&gt;0,VLOOKUP(B151,КВСР!A45:B1210,2),IF(C151&gt;0,VLOOKUP(C151,КФСР!A45:B1557,2),IF(D151&gt;0,VLOOKUP(D151,Программа!A$3:B$4988,2),IF(F151&gt;0,VLOOKUP(F151,КВР!A$1:B$5001,2),IF(E151&gt;0,VLOOKUP(E151,Направление!A$1:B$4610,2))))))</f>
        <v xml:space="preserve"> Межбюджетные трансферты</v>
      </c>
      <c r="B151" s="51"/>
      <c r="C151" s="52"/>
      <c r="D151" s="54"/>
      <c r="E151" s="52"/>
      <c r="F151" s="54">
        <v>500</v>
      </c>
      <c r="G151" s="246">
        <v>60000</v>
      </c>
      <c r="H151" s="316">
        <v>0</v>
      </c>
      <c r="I151" s="238">
        <f>SUM(G151:H151)</f>
        <v>60000</v>
      </c>
      <c r="J151" s="313"/>
    </row>
    <row r="152" spans="1:10" s="7" customFormat="1" x14ac:dyDescent="0.25">
      <c r="A152" s="184" t="str">
        <f>IF(B152&gt;0,VLOOKUP(B152,КВСР!A46:B1211,2),IF(C152&gt;0,VLOOKUP(C152,КФСР!A46:B1558,2),IF(D152&gt;0,VLOOKUP(D152,Программа!A$3:B$4988,2),IF(F152&gt;0,VLOOKUP(F152,КВР!A$1:B$5001,2),IF(E152&gt;0,VLOOKUP(E152,Направление!A$1:B$4610,2))))))</f>
        <v>Коммунальное хозяйство</v>
      </c>
      <c r="B152" s="55"/>
      <c r="C152" s="56">
        <v>502</v>
      </c>
      <c r="D152" s="58"/>
      <c r="E152" s="56"/>
      <c r="F152" s="58"/>
      <c r="G152" s="304">
        <f>G153+G171</f>
        <v>5836697</v>
      </c>
      <c r="H152" s="267">
        <f>H153+H171</f>
        <v>2799856.41</v>
      </c>
      <c r="I152" s="267">
        <f>I153+I171</f>
        <v>8636553.4100000001</v>
      </c>
      <c r="J152" s="313"/>
    </row>
    <row r="153" spans="1:10" s="7" customFormat="1" x14ac:dyDescent="0.25">
      <c r="A153" s="182" t="str">
        <f>IF(B153&gt;0,VLOOKUP(B153,КВСР!A47:B1212,2),IF(C153&gt;0,VLOOKUP(C153,КФСР!A47:B1559,2),IF(D153&gt;0,VLOOKUP(D153,Программа!A$3:B$4988,2),IF(F153&gt;0,VLOOKUP(F153,КВР!A$1:B$5001,2),IF(E153&gt;0,VLOOKUP(E153,Направление!A$1:B$4610,2))))))</f>
        <v>Программные расходы бюджета</v>
      </c>
      <c r="B153" s="114"/>
      <c r="C153" s="115"/>
      <c r="D153" s="117" t="s">
        <v>634</v>
      </c>
      <c r="E153" s="115"/>
      <c r="F153" s="117"/>
      <c r="G153" s="301">
        <f>G160</f>
        <v>2457200</v>
      </c>
      <c r="H153" s="264">
        <f>H160+H154+H164</f>
        <v>1630478.3</v>
      </c>
      <c r="I153" s="264">
        <f>I160+I154+I164</f>
        <v>4087678.3</v>
      </c>
      <c r="J153" s="313"/>
    </row>
    <row r="154" spans="1:10" s="7" customFormat="1" ht="63" hidden="1" x14ac:dyDescent="0.25">
      <c r="A154" s="223" t="str">
        <f>IF(B154&gt;0,VLOOKUP(B154,КВСР!A35:B1200,2),IF(C154&gt;0,VLOOKUP(C154,КФСР!A35:B1547,2),IF(D154&gt;0,VLOOKUP(D154,Программа!A$3:B$4988,2),IF(F154&gt;0,VLOOKUP(F154,КВР!A$1:B$5001,2),IF(E154&gt;0,VLOOKUP(E154,Направление!A$1:B$4610,2))))))</f>
        <v>Муниципальная программа "Развитие субъектов малого и среднего предпринимательства городского поселения Тутаев"</v>
      </c>
      <c r="B154" s="72"/>
      <c r="C154" s="73"/>
      <c r="D154" s="53" t="s">
        <v>208</v>
      </c>
      <c r="E154" s="52"/>
      <c r="F154" s="54"/>
      <c r="G154" s="240">
        <v>0</v>
      </c>
      <c r="H154" s="240">
        <f t="shared" ref="H154" si="61">H155</f>
        <v>0</v>
      </c>
      <c r="I154" s="240">
        <f t="shared" ref="I154" si="62">I155</f>
        <v>0</v>
      </c>
      <c r="J154" s="313"/>
    </row>
    <row r="155" spans="1:10" s="7" customFormat="1" ht="63" hidden="1" x14ac:dyDescent="0.25">
      <c r="A155" s="183" t="str">
        <f>IF(B155&gt;0,VLOOKUP(B155,КВСР!A36:B1201,2),IF(C155&gt;0,VLOOKUP(C155,КФСР!A36:B1548,2),IF(D155&gt;0,VLOOKUP(D155,Программа!A$3:B$4988,2),IF(F155&gt;0,VLOOKUP(F155,КВР!A$1:B$5001,2),IF(E155&gt;0,VLOOKUP(E155,Направление!A$1:B$4610,2))))))</f>
        <v>Реализации мероприятий по развитию инвестиционной привлекательности в монопрофильных муниципальных образованиях</v>
      </c>
      <c r="B155" s="72"/>
      <c r="C155" s="73"/>
      <c r="D155" s="53" t="s">
        <v>807</v>
      </c>
      <c r="E155" s="52"/>
      <c r="F155" s="54"/>
      <c r="G155" s="240">
        <v>0</v>
      </c>
      <c r="H155" s="240">
        <f>H156</f>
        <v>0</v>
      </c>
      <c r="I155" s="240">
        <f>I156</f>
        <v>0</v>
      </c>
      <c r="J155" s="313"/>
    </row>
    <row r="156" spans="1:10" s="7" customFormat="1" ht="126" hidden="1" x14ac:dyDescent="0.25">
      <c r="A156" s="183" t="str">
        <f>IF(B156&gt;0,VLOOKUP(B156,КВСР!A37:B1202,2),IF(C156&gt;0,VLOOKUP(C156,КФСР!A37:B1549,2),IF(D156&gt;0,VLOOKUP(D156,Программа!A$3:B$4988,2),IF(F156&gt;0,VLOOKUP(F156,КВР!A$1:B$5001,2),IF(E156&gt;0,VLOOKUP(E156,Направление!A$1:B$4610,2))))))</f>
        <v>Межбюджетные трансферты  на софинансирование расходов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56" s="72"/>
      <c r="C156" s="73"/>
      <c r="D156" s="53"/>
      <c r="E156" s="52">
        <v>26936</v>
      </c>
      <c r="F156" s="54"/>
      <c r="G156" s="240">
        <v>0</v>
      </c>
      <c r="H156" s="240">
        <f t="shared" ref="H156" si="63">H157</f>
        <v>0</v>
      </c>
      <c r="I156" s="240">
        <f t="shared" ref="I156" si="64">I157</f>
        <v>0</v>
      </c>
      <c r="J156" s="313"/>
    </row>
    <row r="157" spans="1:10" s="7" customFormat="1" hidden="1" x14ac:dyDescent="0.25">
      <c r="A157" s="183" t="str">
        <f>IF(B157&gt;0,VLOOKUP(B157,КВСР!A38:B1203,2),IF(C157&gt;0,VLOOKUP(C157,КФСР!A38:B1550,2),IF(D157&gt;0,VLOOKUP(D157,Программа!A$3:B$4988,2),IF(F157&gt;0,VLOOKUP(F157,КВР!A$1:B$5001,2),IF(E157&gt;0,VLOOKUP(E157,Направление!A$1:B$4610,2))))))</f>
        <v xml:space="preserve"> Межбюджетные трансферты</v>
      </c>
      <c r="B157" s="72"/>
      <c r="C157" s="73"/>
      <c r="D157" s="53"/>
      <c r="E157" s="52"/>
      <c r="F157" s="54">
        <v>500</v>
      </c>
      <c r="G157" s="246">
        <v>0</v>
      </c>
      <c r="H157" s="246">
        <v>0</v>
      </c>
      <c r="I157" s="238">
        <f>G157+H157</f>
        <v>0</v>
      </c>
      <c r="J157" s="313"/>
    </row>
    <row r="158" spans="1:10" s="7" customFormat="1" ht="110.25" hidden="1" x14ac:dyDescent="0.25">
      <c r="A158" s="183" t="str">
        <f>IF(B158&gt;0,VLOOKUP(B158,КВСР!A39:B1204,2),IF(C158&gt;0,VLOOKUP(C158,КФСР!A39:B1551,2),IF(D158&gt;0,VLOOKUP(D158,Программа!A$3:B$4988,2),IF(F158&gt;0,VLOOKUP(F158,КВР!A$1:B$5001,2),IF(E158&gt;0,VLOOKUP(E158,Направление!A$1:B$4610,2))))))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158" s="72"/>
      <c r="C158" s="73"/>
      <c r="D158" s="53"/>
      <c r="E158" s="52">
        <v>76936</v>
      </c>
      <c r="F158" s="54"/>
      <c r="G158" s="240">
        <v>0</v>
      </c>
      <c r="H158" s="240">
        <f t="shared" ref="H158" si="65">H159</f>
        <v>0</v>
      </c>
      <c r="I158" s="240">
        <f t="shared" ref="I158" si="66">I159</f>
        <v>0</v>
      </c>
      <c r="J158" s="313"/>
    </row>
    <row r="159" spans="1:10" s="7" customFormat="1" hidden="1" x14ac:dyDescent="0.25">
      <c r="A159" s="183" t="str">
        <f>IF(B159&gt;0,VLOOKUP(B159,КВСР!A40:B1205,2),IF(C159&gt;0,VLOOKUP(C159,КФСР!A40:B1552,2),IF(D159&gt;0,VLOOKUP(D159,Программа!A$3:B$4988,2),IF(F159&gt;0,VLOOKUP(F159,КВР!A$1:B$5001,2),IF(E159&gt;0,VLOOKUP(E159,Направление!A$1:B$4610,2))))))</f>
        <v xml:space="preserve"> Межбюджетные трансферты</v>
      </c>
      <c r="B159" s="72"/>
      <c r="C159" s="73"/>
      <c r="D159" s="53"/>
      <c r="E159" s="52"/>
      <c r="F159" s="54">
        <v>500</v>
      </c>
      <c r="G159" s="246">
        <v>0</v>
      </c>
      <c r="H159" s="238">
        <v>0</v>
      </c>
      <c r="I159" s="238">
        <f>SUBTOTAL(9,G159:H159)</f>
        <v>0</v>
      </c>
      <c r="J159" s="313"/>
    </row>
    <row r="160" spans="1:10" s="7" customFormat="1" ht="47.25" x14ac:dyDescent="0.25">
      <c r="A160" s="183" t="str">
        <f>IF(B160&gt;0,VLOOKUP(B160,КВСР!A48:B1213,2),IF(C160&gt;0,VLOOKUP(C160,КФСР!A48:B1560,2),IF(D160&gt;0,VLOOKUP(D160,Программа!A$3:B$4988,2),IF(F160&gt;0,VLOOKUP(F160,КВР!A$1:B$5001,2),IF(E160&gt;0,VLOOKUP(E160,Направление!A$1:B$4610,2))))))</f>
        <v xml:space="preserve">Муниципальная программа "Обеспечение населения городского поселения Тутаев банными услугами" </v>
      </c>
      <c r="B160" s="72"/>
      <c r="C160" s="73"/>
      <c r="D160" s="74" t="s">
        <v>603</v>
      </c>
      <c r="E160" s="73"/>
      <c r="F160" s="74"/>
      <c r="G160" s="258">
        <f>G161</f>
        <v>2457200</v>
      </c>
      <c r="H160" s="260">
        <f t="shared" ref="H160:I162" si="67">H161</f>
        <v>1630478.3</v>
      </c>
      <c r="I160" s="260">
        <f t="shared" si="67"/>
        <v>4087678.3</v>
      </c>
      <c r="J160" s="313"/>
    </row>
    <row r="161" spans="1:10" s="7" customFormat="1" ht="78.75" x14ac:dyDescent="0.25">
      <c r="A161" s="183" t="str">
        <f>IF(B161&gt;0,VLOOKUP(B161,КВСР!A49:B1214,2),IF(C161&gt;0,VLOOKUP(C161,КФСР!A49:B1561,2),IF(D161&gt;0,VLOOKUP(D161,Программа!A$3:B$4988,2),IF(F161&gt;0,VLOOKUP(F161,КВР!A$1:B$5001,2),IF(E161&gt;0,VLOOKUP(E161,Направление!A$1:B$4610,2))))))</f>
        <v>Создание возможности предоставления качественных бытовых и оздоровительных услуг к современным требованиям санитарных норм и правил</v>
      </c>
      <c r="B161" s="72"/>
      <c r="C161" s="73"/>
      <c r="D161" s="74" t="s">
        <v>604</v>
      </c>
      <c r="E161" s="73"/>
      <c r="F161" s="74"/>
      <c r="G161" s="258">
        <f>G162</f>
        <v>2457200</v>
      </c>
      <c r="H161" s="260">
        <f t="shared" si="67"/>
        <v>1630478.3</v>
      </c>
      <c r="I161" s="260">
        <f t="shared" si="67"/>
        <v>4087678.3</v>
      </c>
      <c r="J161" s="313"/>
    </row>
    <row r="162" spans="1:10" s="7" customFormat="1" ht="47.25" x14ac:dyDescent="0.25">
      <c r="A162" s="183" t="str">
        <f>IF(B162&gt;0,VLOOKUP(B162,КВСР!A50:B1215,2),IF(C162&gt;0,VLOOKUP(C162,КФСР!A50:B1562,2),IF(D162&gt;0,VLOOKUP(D162,Программа!A$3:B$4988,2),IF(F162&gt;0,VLOOKUP(F162,КВР!A$1:B$5001,2),IF(E162&gt;0,VLOOKUP(E162,Направление!A$1:B$4610,2))))))</f>
        <v>Обеспечение мероприятий по организации населению услуг бань в общих отделениях</v>
      </c>
      <c r="B162" s="72"/>
      <c r="C162" s="73"/>
      <c r="D162" s="74"/>
      <c r="E162" s="73">
        <v>20170</v>
      </c>
      <c r="F162" s="74"/>
      <c r="G162" s="258">
        <f>G163</f>
        <v>2457200</v>
      </c>
      <c r="H162" s="260">
        <f t="shared" si="67"/>
        <v>1630478.3</v>
      </c>
      <c r="I162" s="260">
        <f t="shared" si="67"/>
        <v>4087678.3</v>
      </c>
      <c r="J162" s="313"/>
    </row>
    <row r="163" spans="1:10" s="7" customFormat="1" x14ac:dyDescent="0.25">
      <c r="A163" s="183" t="str">
        <f>IF(B163&gt;0,VLOOKUP(B163,КВСР!A51:B1216,2),IF(C163&gt;0,VLOOKUP(C163,КФСР!A51:B1563,2),IF(D163&gt;0,VLOOKUP(D163,Программа!A$3:B$4988,2),IF(F163&gt;0,VLOOKUP(F163,КВР!A$1:B$5001,2),IF(E163&gt;0,VLOOKUP(E163,Направление!A$1:B$4610,2))))))</f>
        <v>Иные бюджетные ассигнования</v>
      </c>
      <c r="B163" s="72"/>
      <c r="C163" s="73"/>
      <c r="D163" s="74"/>
      <c r="E163" s="73"/>
      <c r="F163" s="74">
        <v>800</v>
      </c>
      <c r="G163" s="305">
        <v>2457200</v>
      </c>
      <c r="H163" s="317">
        <v>1630478.3</v>
      </c>
      <c r="I163" s="238">
        <f t="shared" si="28"/>
        <v>4087678.3</v>
      </c>
      <c r="J163" s="313"/>
    </row>
    <row r="164" spans="1:10" s="7" customFormat="1" ht="63" hidden="1" x14ac:dyDescent="0.25">
      <c r="A164" s="183" t="str">
        <f>IF(B164&gt;0,VLOOKUP(B164,КВСР!A52:B1217,2),IF(C164&gt;0,VLOOKUP(C164,КФСР!A52:B1564,2),IF(D164&gt;0,VLOOKUP(D164,Программа!A$3:B$4988,2),IF(F164&gt;0,VLOOKUP(F164,КВР!A$1:B$5001,2),IF(E164&gt;0,VLOOKUP(E164,Направление!A$1:B$4610,2))))))</f>
        <v>Муниципальная программа "Развитие водоснабжения, водоотведения и очистки сточных вод на территории городского поселения Тутаев"</v>
      </c>
      <c r="B164" s="72"/>
      <c r="C164" s="73"/>
      <c r="D164" s="53" t="s">
        <v>722</v>
      </c>
      <c r="E164" s="52"/>
      <c r="F164" s="54"/>
      <c r="G164" s="240">
        <v>0</v>
      </c>
      <c r="H164" s="239">
        <f>H168+H165</f>
        <v>0</v>
      </c>
      <c r="I164" s="239">
        <f>I168+I165</f>
        <v>0</v>
      </c>
      <c r="J164" s="313"/>
    </row>
    <row r="165" spans="1:10" s="7" customFormat="1" ht="78.75" hidden="1" x14ac:dyDescent="0.25">
      <c r="A165" s="183" t="str">
        <f>IF(B165&gt;0,VLOOKUP(B165,КВСР!A50:B1215,2),IF(C165&gt;0,VLOOKUP(C165,КФСР!A50:B1562,2),IF(D165&gt;0,VLOOKUP(D165,Программа!A$3:B$4988,2),IF(F165&gt;0,VLOOKUP(F165,КВР!A$1:B$5001,2),IF(E165&gt;0,VLOOKUP(E165,Направление!A$1:B$4610,2))))))</f>
        <v>Мероприятия по гарантированому  обеспечению  населения питьевой водой, очистки сточных вод,охраны источников питьевого водоснабжения от загрязнения</v>
      </c>
      <c r="B165" s="72"/>
      <c r="C165" s="73"/>
      <c r="D165" s="53" t="s">
        <v>802</v>
      </c>
      <c r="E165" s="52"/>
      <c r="F165" s="54"/>
      <c r="G165" s="240">
        <v>0</v>
      </c>
      <c r="H165" s="239">
        <f>H166</f>
        <v>0</v>
      </c>
      <c r="I165" s="239">
        <f>I166</f>
        <v>0</v>
      </c>
      <c r="J165" s="313"/>
    </row>
    <row r="166" spans="1:10" s="7" customFormat="1" ht="78.75" hidden="1" x14ac:dyDescent="0.25">
      <c r="A166" s="183" t="str">
        <f>IF(B166&gt;0,VLOOKUP(B166,КВСР!A51:B1216,2),IF(C166&gt;0,VLOOKUP(C166,КФСР!A51:B1563,2),IF(D166&gt;0,VLOOKUP(D166,Программа!A$3:B$4988,2),IF(F166&gt;0,VLOOKUP(F166,КВР!A$1:B$5001,2),IF(E166&gt;0,VLOOKUP(E166,Направление!A$1:B$4610,2))))))</f>
        <v xml:space="preserve">Межбюджетные трансферты на обеспечение мероприятий по строительству,  реконструкции и ремонту  объектов водоснабжения и водоотведения </v>
      </c>
      <c r="B166" s="72"/>
      <c r="C166" s="73"/>
      <c r="D166" s="53"/>
      <c r="E166" s="52">
        <v>29046</v>
      </c>
      <c r="F166" s="54"/>
      <c r="G166" s="240">
        <v>0</v>
      </c>
      <c r="H166" s="239">
        <f t="shared" ref="H166:I166" si="68">H167</f>
        <v>0</v>
      </c>
      <c r="I166" s="239">
        <f t="shared" si="68"/>
        <v>0</v>
      </c>
      <c r="J166" s="313"/>
    </row>
    <row r="167" spans="1:10" s="7" customFormat="1" hidden="1" x14ac:dyDescent="0.25">
      <c r="A167" s="183" t="str">
        <f>IF(B167&gt;0,VLOOKUP(B167,КВСР!A52:B1217,2),IF(C167&gt;0,VLOOKUP(C167,КФСР!A52:B1564,2),IF(D167&gt;0,VLOOKUP(D167,Программа!A$3:B$4988,2),IF(F167&gt;0,VLOOKUP(F167,КВР!A$1:B$5001,2),IF(E167&gt;0,VLOOKUP(E167,Направление!A$1:B$4610,2))))))</f>
        <v xml:space="preserve"> Межбюджетные трансферты</v>
      </c>
      <c r="B167" s="72"/>
      <c r="C167" s="73"/>
      <c r="D167" s="53"/>
      <c r="E167" s="52"/>
      <c r="F167" s="54">
        <v>500</v>
      </c>
      <c r="G167" s="246">
        <v>0</v>
      </c>
      <c r="H167" s="238">
        <v>0</v>
      </c>
      <c r="I167" s="238">
        <f>G167+H167</f>
        <v>0</v>
      </c>
      <c r="J167" s="313"/>
    </row>
    <row r="168" spans="1:10" s="7" customFormat="1" ht="31.5" hidden="1" x14ac:dyDescent="0.25">
      <c r="A168" s="183" t="str">
        <f>IF(B168&gt;0,VLOOKUP(B168,КВСР!A53:B1218,2),IF(C168&gt;0,VLOOKUP(C168,КФСР!A53:B1565,2),IF(D168&gt;0,VLOOKUP(D168,Программа!A$3:B$4988,2),IF(F168&gt;0,VLOOKUP(F168,КВР!A$1:B$5001,2),IF(E168&gt;0,VLOOKUP(E168,Направление!A$1:B$4610,2))))))</f>
        <v>Федеральный проект "Оздоровление Волги"</v>
      </c>
      <c r="B168" s="72"/>
      <c r="C168" s="73"/>
      <c r="D168" s="53" t="s">
        <v>723</v>
      </c>
      <c r="E168" s="52"/>
      <c r="F168" s="54"/>
      <c r="G168" s="240">
        <v>0</v>
      </c>
      <c r="H168" s="239">
        <f>H169</f>
        <v>0</v>
      </c>
      <c r="I168" s="239">
        <f>I169</f>
        <v>0</v>
      </c>
      <c r="J168" s="313"/>
    </row>
    <row r="169" spans="1:10" s="7" customFormat="1" ht="94.5" hidden="1" x14ac:dyDescent="0.25">
      <c r="A169" s="183" t="str">
        <f>IF(B169&gt;0,VLOOKUP(B169,КВСР!A54:B1219,2),IF(C169&gt;0,VLOOKUP(C169,КФСР!A54:B1566,2),IF(D169&gt;0,VLOOKUP(D169,Программа!A$3:B$4988,2),IF(F169&gt;0,VLOOKUP(F169,КВР!A$1:B$5001,2),IF(E169&gt;0,VLOOKUP(E169,Направление!A$1:B$4610,2))))))</f>
        <v>Межбюджетные трансферты на реализацию мероприятий по сокращению доли загрязненных сточных вод в части строительства и реконструкции (модернизации) объектов водоотведения</v>
      </c>
      <c r="B169" s="72"/>
      <c r="C169" s="73"/>
      <c r="D169" s="53"/>
      <c r="E169" s="52">
        <v>50136</v>
      </c>
      <c r="F169" s="54"/>
      <c r="G169" s="240">
        <v>0</v>
      </c>
      <c r="H169" s="239">
        <f t="shared" ref="H169" si="69">H170</f>
        <v>0</v>
      </c>
      <c r="I169" s="239">
        <f t="shared" ref="I169" si="70">I170</f>
        <v>0</v>
      </c>
      <c r="J169" s="313"/>
    </row>
    <row r="170" spans="1:10" s="7" customFormat="1" hidden="1" x14ac:dyDescent="0.25">
      <c r="A170" s="183" t="str">
        <f>IF(B170&gt;0,VLOOKUP(B170,КВСР!A55:B1220,2),IF(C170&gt;0,VLOOKUP(C170,КФСР!A55:B1567,2),IF(D170&gt;0,VLOOKUP(D170,Программа!A$3:B$4988,2),IF(F170&gt;0,VLOOKUP(F170,КВР!A$1:B$5001,2),IF(E170&gt;0,VLOOKUP(E170,Направление!A$1:B$4610,2))))))</f>
        <v xml:space="preserve"> Межбюджетные трансферты</v>
      </c>
      <c r="B170" s="72"/>
      <c r="C170" s="73"/>
      <c r="D170" s="53"/>
      <c r="E170" s="52"/>
      <c r="F170" s="54">
        <v>500</v>
      </c>
      <c r="G170" s="246">
        <v>0</v>
      </c>
      <c r="H170" s="238"/>
      <c r="I170" s="238">
        <f>G170+H170</f>
        <v>0</v>
      </c>
      <c r="J170" s="313"/>
    </row>
    <row r="171" spans="1:10" s="7" customFormat="1" x14ac:dyDescent="0.25">
      <c r="A171" s="182" t="str">
        <f>IF(B171&gt;0,VLOOKUP(B171,КВСР!A47:B1212,2),IF(C171&gt;0,VLOOKUP(C171,КФСР!A47:B1559,2),IF(D171&gt;0,VLOOKUP(D171,Программа!A$3:B$4988,2),IF(F171&gt;0,VLOOKUP(F171,КВР!A$1:B$5001,2),IF(E171&gt;0,VLOOKUP(E171,Направление!A$1:B$4610,2))))))</f>
        <v>Непрограммные расходы бюджета</v>
      </c>
      <c r="B171" s="114"/>
      <c r="C171" s="115"/>
      <c r="D171" s="116" t="s">
        <v>521</v>
      </c>
      <c r="E171" s="115"/>
      <c r="F171" s="117"/>
      <c r="G171" s="257">
        <f>G174+G178+G180</f>
        <v>3379497</v>
      </c>
      <c r="H171" s="254">
        <f>H178+H176+H180+H174+H172</f>
        <v>1169378.1100000001</v>
      </c>
      <c r="I171" s="254">
        <f>I178+I176+I180+I174+I172</f>
        <v>4548875.1100000003</v>
      </c>
      <c r="J171" s="313"/>
    </row>
    <row r="172" spans="1:10" s="7" customFormat="1" ht="63" hidden="1" x14ac:dyDescent="0.25">
      <c r="A172" s="183" t="str">
        <f>IF(B172&gt;0,VLOOKUP(B172,КВСР!A46:B1211,2),IF(C172&gt;0,VLOOKUP(C172,КФСР!A46:B1558,2),IF(D172&gt;0,VLOOKUP(D172,Программа!A$3:B$4988,2),IF(F172&gt;0,VLOOKUP(F172,КВР!A$1:B$5001,2),IF(E172&gt;0,VLOOKUP(E172,Направление!A$1:B$4610,2))))))</f>
        <v>Межбюджетные трансферты на обеспечение мероприятий,  связанные с выполнением полномочий ОМС МО  по теплоснабжению</v>
      </c>
      <c r="B172" s="51"/>
      <c r="C172" s="52"/>
      <c r="D172" s="53"/>
      <c r="E172" s="52">
        <v>29036</v>
      </c>
      <c r="F172" s="54"/>
      <c r="G172" s="240">
        <v>0</v>
      </c>
      <c r="H172" s="239">
        <f t="shared" ref="H172:I174" si="71">H173</f>
        <v>0</v>
      </c>
      <c r="I172" s="239">
        <f t="shared" si="71"/>
        <v>0</v>
      </c>
      <c r="J172" s="313"/>
    </row>
    <row r="173" spans="1:10" s="7" customFormat="1" hidden="1" x14ac:dyDescent="0.25">
      <c r="A173" s="183" t="str">
        <f>IF(B173&gt;0,VLOOKUP(B173,КВСР!A47:B1212,2),IF(C173&gt;0,VLOOKUP(C173,КФСР!A47:B1559,2),IF(D173&gt;0,VLOOKUP(D173,Программа!A$3:B$4988,2),IF(F173&gt;0,VLOOKUP(F173,КВР!A$1:B$5001,2),IF(E173&gt;0,VLOOKUP(E173,Направление!A$1:B$4610,2))))))</f>
        <v xml:space="preserve"> Межбюджетные трансферты</v>
      </c>
      <c r="B173" s="51"/>
      <c r="C173" s="52"/>
      <c r="D173" s="53"/>
      <c r="E173" s="52"/>
      <c r="F173" s="54">
        <v>500</v>
      </c>
      <c r="G173" s="246">
        <v>0</v>
      </c>
      <c r="H173" s="238">
        <f>1400000-1400000</f>
        <v>0</v>
      </c>
      <c r="I173" s="238">
        <f t="shared" ref="I173" si="72">SUM(G173:H173)</f>
        <v>0</v>
      </c>
      <c r="J173" s="313"/>
    </row>
    <row r="174" spans="1:10" s="7" customFormat="1" ht="78.75" hidden="1" x14ac:dyDescent="0.25">
      <c r="A174" s="183" t="str">
        <f>IF(B174&gt;0,VLOOKUP(B174,КВСР!A48:B1213,2),IF(C174&gt;0,VLOOKUP(C174,КФСР!A48:B1560,2),IF(D174&gt;0,VLOOKUP(D174,Программа!A$3:B$4988,2),IF(F174&gt;0,VLOOKUP(F174,КВР!A$1:B$5001,2),IF(E174&gt;0,VLOOKUP(E174,Направление!A$1:B$4610,2))))))</f>
        <v xml:space="preserve">Межбюджетные трансферты на обеспечение мероприятий по строительству,  реконструкции и ремонту  объектов водоснабжения и водоотведения </v>
      </c>
      <c r="B174" s="51"/>
      <c r="C174" s="52"/>
      <c r="D174" s="53"/>
      <c r="E174" s="52">
        <v>29046</v>
      </c>
      <c r="F174" s="54"/>
      <c r="G174" s="240">
        <f>G175</f>
        <v>200000</v>
      </c>
      <c r="H174" s="239">
        <f t="shared" si="71"/>
        <v>0</v>
      </c>
      <c r="I174" s="239">
        <f t="shared" si="71"/>
        <v>200000</v>
      </c>
      <c r="J174" s="313"/>
    </row>
    <row r="175" spans="1:10" s="7" customFormat="1" hidden="1" x14ac:dyDescent="0.25">
      <c r="A175" s="183" t="str">
        <f>IF(B175&gt;0,VLOOKUP(B175,КВСР!A49:B1214,2),IF(C175&gt;0,VLOOKUP(C175,КФСР!A49:B1561,2),IF(D175&gt;0,VLOOKUP(D175,Программа!A$3:B$4988,2),IF(F175&gt;0,VLOOKUP(F175,КВР!A$1:B$5001,2),IF(E175&gt;0,VLOOKUP(E175,Направление!A$1:B$4610,2))))))</f>
        <v xml:space="preserve"> Межбюджетные трансферты</v>
      </c>
      <c r="B175" s="51"/>
      <c r="C175" s="52"/>
      <c r="D175" s="53"/>
      <c r="E175" s="52"/>
      <c r="F175" s="54">
        <v>500</v>
      </c>
      <c r="G175" s="246">
        <v>200000</v>
      </c>
      <c r="H175" s="238">
        <v>0</v>
      </c>
      <c r="I175" s="238">
        <f t="shared" si="28"/>
        <v>200000</v>
      </c>
      <c r="J175" s="313"/>
    </row>
    <row r="176" spans="1:10" s="7" customFormat="1" ht="47.25" hidden="1" x14ac:dyDescent="0.25">
      <c r="A176" s="183" t="str">
        <f>IF(B176&gt;0,VLOOKUP(B176,КВСР!A50:B1215,2),IF(C176&gt;0,VLOOKUP(C176,КФСР!A50:B1562,2),IF(D176&gt;0,VLOOKUP(D176,Программа!A$3:B$4988,2),IF(F176&gt;0,VLOOKUP(F176,КВР!A$1:B$5001,2),IF(E176&gt;0,VLOOKUP(E176,Направление!A$1:B$4610,2))))))</f>
        <v xml:space="preserve">Межбюджетные трансферты на строительство и реконструкцию  объектов  газификации </v>
      </c>
      <c r="B176" s="51"/>
      <c r="C176" s="52"/>
      <c r="D176" s="53"/>
      <c r="E176" s="52">
        <v>29066</v>
      </c>
      <c r="F176" s="54"/>
      <c r="G176" s="240">
        <v>0</v>
      </c>
      <c r="H176" s="239">
        <f t="shared" ref="H176:I176" si="73">H177</f>
        <v>0</v>
      </c>
      <c r="I176" s="239">
        <f t="shared" si="73"/>
        <v>0</v>
      </c>
      <c r="J176" s="313"/>
    </row>
    <row r="177" spans="1:10" s="7" customFormat="1" hidden="1" x14ac:dyDescent="0.25">
      <c r="A177" s="183" t="str">
        <f>IF(B177&gt;0,VLOOKUP(B177,КВСР!A51:B1216,2),IF(C177&gt;0,VLOOKUP(C177,КФСР!A51:B1563,2),IF(D177&gt;0,VLOOKUP(D177,Программа!A$3:B$4988,2),IF(F177&gt;0,VLOOKUP(F177,КВР!A$1:B$5001,2),IF(E177&gt;0,VLOOKUP(E177,Направление!A$1:B$4610,2))))))</f>
        <v xml:space="preserve"> Межбюджетные трансферты</v>
      </c>
      <c r="B177" s="51"/>
      <c r="C177" s="52"/>
      <c r="D177" s="53"/>
      <c r="E177" s="52"/>
      <c r="F177" s="54">
        <v>500</v>
      </c>
      <c r="G177" s="246">
        <v>0</v>
      </c>
      <c r="H177" s="238">
        <v>0</v>
      </c>
      <c r="I177" s="238">
        <f t="shared" si="28"/>
        <v>0</v>
      </c>
      <c r="J177" s="313"/>
    </row>
    <row r="178" spans="1:10" s="7" customFormat="1" ht="63" x14ac:dyDescent="0.25">
      <c r="A178" s="183" t="str">
        <f>IF(B178&gt;0,VLOOKUP(B178,КВСР!A50:B1215,2),IF(C178&gt;0,VLOOKUP(C178,КФСР!A50:B1562,2),IF(D178&gt;0,VLOOKUP(D178,Программа!A$3:B$4988,2),IF(F178&gt;0,VLOOKUP(F178,КВР!A$1:B$5001,2),IF(E178&gt;0,VLOOKUP(E178,Направление!A$1:B$4610,2))))))</f>
        <v>Межбюджетные трансферты на обеспечение мероприятий по актуализации схем коммунальной инфраструктуры</v>
      </c>
      <c r="B178" s="51"/>
      <c r="C178" s="52"/>
      <c r="D178" s="54"/>
      <c r="E178" s="52">
        <v>29536</v>
      </c>
      <c r="F178" s="54"/>
      <c r="G178" s="259">
        <f>G179</f>
        <v>199990</v>
      </c>
      <c r="H178" s="261">
        <f t="shared" ref="H178:I178" si="74">H179</f>
        <v>99990</v>
      </c>
      <c r="I178" s="261">
        <f t="shared" si="74"/>
        <v>299980</v>
      </c>
      <c r="J178" s="313"/>
    </row>
    <row r="179" spans="1:10" s="7" customFormat="1" x14ac:dyDescent="0.25">
      <c r="A179" s="183" t="str">
        <f>IF(B179&gt;0,VLOOKUP(B179,КВСР!A51:B1216,2),IF(C179&gt;0,VLOOKUP(C179,КФСР!A51:B1563,2),IF(D179&gt;0,VLOOKUP(D179,Программа!A$3:B$4988,2),IF(F179&gt;0,VLOOKUP(F179,КВР!A$1:B$5001,2),IF(E179&gt;0,VLOOKUP(E179,Направление!A$1:B$4610,2))))))</f>
        <v xml:space="preserve"> Межбюджетные трансферты</v>
      </c>
      <c r="B179" s="51"/>
      <c r="C179" s="52"/>
      <c r="D179" s="53"/>
      <c r="E179" s="52"/>
      <c r="F179" s="54">
        <v>500</v>
      </c>
      <c r="G179" s="246">
        <v>199990</v>
      </c>
      <c r="H179" s="238">
        <v>99990</v>
      </c>
      <c r="I179" s="238">
        <f t="shared" si="28"/>
        <v>299980</v>
      </c>
      <c r="J179" s="313"/>
    </row>
    <row r="180" spans="1:10" s="7" customFormat="1" ht="63" x14ac:dyDescent="0.25">
      <c r="A180" s="183" t="str">
        <f>IF(B180&gt;0,VLOOKUP(B180,КВСР!A58:B1223,2),IF(C180&gt;0,VLOOKUP(C180,КФСР!A58:B1570,2),IF(D180&gt;0,VLOOKUP(D180,Программа!A$3:B$4988,2),IF(F180&gt;0,VLOOKUP(F180,КВР!A$1:B$5001,2),IF(E180&gt;0,VLOOKUP(E180,Направление!A$1:B$4610,2))))))</f>
        <v>Межбюджетные трансферты на обеспечение мероприятий по переработке и утилизации ливневых стоков</v>
      </c>
      <c r="B180" s="51"/>
      <c r="C180" s="52"/>
      <c r="D180" s="53"/>
      <c r="E180" s="52">
        <v>29616</v>
      </c>
      <c r="F180" s="54"/>
      <c r="G180" s="240">
        <f>G181</f>
        <v>2979507</v>
      </c>
      <c r="H180" s="239">
        <f t="shared" ref="H180:I180" si="75">H181</f>
        <v>1069388.1100000001</v>
      </c>
      <c r="I180" s="239">
        <f t="shared" si="75"/>
        <v>4048895.1100000003</v>
      </c>
      <c r="J180" s="313"/>
    </row>
    <row r="181" spans="1:10" s="7" customFormat="1" x14ac:dyDescent="0.25">
      <c r="A181" s="183" t="str">
        <f>IF(B181&gt;0,VLOOKUP(B181,КВСР!A59:B1224,2),IF(C181&gt;0,VLOOKUP(C181,КФСР!A59:B1571,2),IF(D181&gt;0,VLOOKUP(D181,Программа!A$3:B$4988,2),IF(F181&gt;0,VLOOKUP(F181,КВР!A$1:B$5001,2),IF(E181&gt;0,VLOOKUP(E181,Направление!A$1:B$4610,2))))))</f>
        <v xml:space="preserve"> Межбюджетные трансферты</v>
      </c>
      <c r="B181" s="51"/>
      <c r="C181" s="52"/>
      <c r="D181" s="53"/>
      <c r="E181" s="52"/>
      <c r="F181" s="54">
        <v>500</v>
      </c>
      <c r="G181" s="246">
        <v>2979507</v>
      </c>
      <c r="H181" s="238">
        <v>1069388.1100000001</v>
      </c>
      <c r="I181" s="238">
        <f t="shared" si="28"/>
        <v>4048895.1100000003</v>
      </c>
      <c r="J181" s="313"/>
    </row>
    <row r="182" spans="1:10" s="7" customFormat="1" x14ac:dyDescent="0.25">
      <c r="A182" s="184" t="str">
        <f>IF(B182&gt;0,VLOOKUP(B182,КВСР!A64:B1229,2),IF(C182&gt;0,VLOOKUP(C182,КФСР!A64:B1576,2),IF(D182&gt;0,VLOOKUP(D182,Программа!A$3:B$4988,2),IF(F182&gt;0,VLOOKUP(F182,КВР!A$1:B$5001,2),IF(E182&gt;0,VLOOKUP(E182,Направление!A$1:B$4610,2))))))</f>
        <v>Благоустройство</v>
      </c>
      <c r="B182" s="55"/>
      <c r="C182" s="56">
        <v>503</v>
      </c>
      <c r="D182" s="58"/>
      <c r="E182" s="56"/>
      <c r="F182" s="58"/>
      <c r="G182" s="256">
        <f>G183</f>
        <v>176176525.59999999</v>
      </c>
      <c r="H182" s="253">
        <f>H183</f>
        <v>122929158.16</v>
      </c>
      <c r="I182" s="253">
        <f>SUM(G182:H182)</f>
        <v>299105683.75999999</v>
      </c>
      <c r="J182" s="313"/>
    </row>
    <row r="183" spans="1:10" s="119" customFormat="1" x14ac:dyDescent="0.25">
      <c r="A183" s="182" t="str">
        <f>IF(B183&gt;0,VLOOKUP(B183,КВСР!A65:B1230,2),IF(C183&gt;0,VLOOKUP(C183,КФСР!A65:B1577,2),IF(D183&gt;0,VLOOKUP(D183,Программа!A$3:B$4988,2),IF(F183&gt;0,VLOOKUP(F183,КВР!A$1:B$5001,2),IF(E183&gt;0,VLOOKUP(E183,Направление!A$1:B$4610,2))))))</f>
        <v>Программные расходы бюджета</v>
      </c>
      <c r="B183" s="114"/>
      <c r="C183" s="115"/>
      <c r="D183" s="117" t="s">
        <v>634</v>
      </c>
      <c r="E183" s="115"/>
      <c r="F183" s="117"/>
      <c r="G183" s="257">
        <f>G184+G196+G222</f>
        <v>176176525.59999999</v>
      </c>
      <c r="H183" s="257">
        <f>H184+H196+H222</f>
        <v>122929158.16</v>
      </c>
      <c r="I183" s="257">
        <f>I184+I196+I222</f>
        <v>299105683.75999999</v>
      </c>
      <c r="J183" s="315"/>
    </row>
    <row r="184" spans="1:10" s="7" customFormat="1" ht="78.75" x14ac:dyDescent="0.25">
      <c r="A184" s="183" t="str">
        <f>IF(B184&gt;0,VLOOKUP(B184,КВСР!A65:B1230,2),IF(C184&gt;0,VLOOKUP(C184,КФСР!A65:B1577,2),IF(D184&gt;0,VLOOKUP(D184,Программа!A$3:B$4988,2),IF(F184&gt;0,VLOOKUP(F184,КВР!A$1:B$5001,2),IF(E184&gt;0,VLOOKUP(E184,Направление!A$1:B$4610,2))))))</f>
        <v xml:space="preserve">Муниципальная программа "Формирование современной городской среды на территории городского поселения Тутаев"
</v>
      </c>
      <c r="B184" s="72"/>
      <c r="C184" s="73"/>
      <c r="D184" s="74" t="s">
        <v>202</v>
      </c>
      <c r="E184" s="73"/>
      <c r="F184" s="74"/>
      <c r="G184" s="262">
        <f>G185+G188+G191</f>
        <v>101042968</v>
      </c>
      <c r="H184" s="262">
        <f>H185+H191+H188</f>
        <v>96724282.850000009</v>
      </c>
      <c r="I184" s="262">
        <f>I185+I191+I188</f>
        <v>197767250.84999999</v>
      </c>
      <c r="J184" s="313"/>
    </row>
    <row r="185" spans="1:10" s="7" customFormat="1" ht="31.5" x14ac:dyDescent="0.25">
      <c r="A185" s="183" t="str">
        <f>IF(B185&gt;0,VLOOKUP(B185,КВСР!A66:B1231,2),IF(C185&gt;0,VLOOKUP(C185,КФСР!A66:B1578,2),IF(D185&gt;0,VLOOKUP(D185,Программа!A$3:B$4988,2),IF(F185&gt;0,VLOOKUP(F185,КВР!A$1:B$5001,2),IF(E185&gt;0,VLOOKUP(E185,Направление!A$1:B$4610,2))))))</f>
        <v>Повышение уровня благоустройства дворовых территорий</v>
      </c>
      <c r="B185" s="72"/>
      <c r="C185" s="73"/>
      <c r="D185" s="74" t="s">
        <v>513</v>
      </c>
      <c r="E185" s="73"/>
      <c r="F185" s="74"/>
      <c r="G185" s="262">
        <f>G186</f>
        <v>4599568</v>
      </c>
      <c r="H185" s="255">
        <f>H186</f>
        <v>3604377.36</v>
      </c>
      <c r="I185" s="255">
        <f>I186</f>
        <v>8203945.3599999994</v>
      </c>
      <c r="J185" s="313"/>
    </row>
    <row r="186" spans="1:10" s="7" customFormat="1" ht="63" x14ac:dyDescent="0.25">
      <c r="A186" s="183" t="str">
        <f>IF(B186&gt;0,VLOOKUP(B186,КВСР!A66:B1231,2),IF(C186&gt;0,VLOOKUP(C186,КФСР!A66:B1578,2),IF(D186&gt;0,VLOOKUP(D186,Программа!A$3:B$4988,2),IF(F186&gt;0,VLOOKUP(F186,КВР!A$1:B$5001,2),IF(E186&gt;0,VLOOKUP(E186,Направление!A$1:B$4610,2))))))</f>
        <v xml:space="preserve">Межбюджетные трансферты на обеспечение мероприятий по  формированию современной городской среды </v>
      </c>
      <c r="B186" s="72"/>
      <c r="C186" s="73"/>
      <c r="D186" s="74"/>
      <c r="E186" s="73">
        <v>29456</v>
      </c>
      <c r="F186" s="74"/>
      <c r="G186" s="262">
        <f>G187</f>
        <v>4599568</v>
      </c>
      <c r="H186" s="255">
        <f t="shared" ref="H186:I186" si="76">H187</f>
        <v>3604377.36</v>
      </c>
      <c r="I186" s="255">
        <f t="shared" si="76"/>
        <v>8203945.3599999994</v>
      </c>
      <c r="J186" s="313"/>
    </row>
    <row r="187" spans="1:10" s="7" customFormat="1" x14ac:dyDescent="0.25">
      <c r="A187" s="183" t="str">
        <f>IF(B187&gt;0,VLOOKUP(B187,КВСР!A67:B1232,2),IF(C187&gt;0,VLOOKUP(C187,КФСР!A67:B1579,2),IF(D187&gt;0,VLOOKUP(D187,Программа!A$3:B$4988,2),IF(F187&gt;0,VLOOKUP(F187,КВР!A$1:B$5001,2),IF(E187&gt;0,VLOOKUP(E187,Направление!A$1:B$4610,2))))))</f>
        <v xml:space="preserve"> Межбюджетные трансферты</v>
      </c>
      <c r="B187" s="72"/>
      <c r="C187" s="73"/>
      <c r="D187" s="74"/>
      <c r="E187" s="73"/>
      <c r="F187" s="74">
        <v>500</v>
      </c>
      <c r="G187" s="299">
        <v>4599568</v>
      </c>
      <c r="H187" s="238">
        <v>3604377.36</v>
      </c>
      <c r="I187" s="238">
        <f t="shared" ref="I187:I262" si="77">SUM(G187:H187)</f>
        <v>8203945.3599999994</v>
      </c>
      <c r="J187" s="313"/>
    </row>
    <row r="188" spans="1:10" s="7" customFormat="1" ht="47.25" x14ac:dyDescent="0.25">
      <c r="A188" s="183" t="str">
        <f>IF(B188&gt;0,VLOOKUP(B188,КВСР!A68:B1233,2),IF(C188&gt;0,VLOOKUP(C188,КФСР!A68:B1580,2),IF(D188&gt;0,VLOOKUP(D188,Программа!A$3:B$4988,2),IF(F188&gt;0,VLOOKUP(F188,КВР!A$1:B$5001,2),IF(E188&gt;0,VLOOKUP(E188,Направление!A$1:B$4610,2))))))</f>
        <v>Реализация проектов создания комфортной городской среды в малых городах и исторических поселениях</v>
      </c>
      <c r="B188" s="72"/>
      <c r="C188" s="73"/>
      <c r="D188" s="74" t="s">
        <v>677</v>
      </c>
      <c r="E188" s="73"/>
      <c r="F188" s="74"/>
      <c r="G188" s="262">
        <f t="shared" ref="G188:I189" si="78">G189</f>
        <v>3655627</v>
      </c>
      <c r="H188" s="239">
        <f t="shared" si="78"/>
        <v>435846.40000000002</v>
      </c>
      <c r="I188" s="239">
        <f t="shared" si="78"/>
        <v>4091473.4</v>
      </c>
      <c r="J188" s="313"/>
    </row>
    <row r="189" spans="1:10" s="7" customFormat="1" ht="63" x14ac:dyDescent="0.25">
      <c r="A189" s="183" t="str">
        <f>IF(B189&gt;0,VLOOKUP(B189,КВСР!A68:B1233,2),IF(C189&gt;0,VLOOKUP(C189,КФСР!A68:B1580,2),IF(D189&gt;0,VLOOKUP(D189,Программа!A$3:B$4988,2),IF(F189&gt;0,VLOOKUP(F189,КВР!A$1:B$5001,2),IF(E189&gt;0,VLOOKUP(E189,Направление!A$1:B$4610,2))))))</f>
        <v xml:space="preserve">Межбюджетные трансферты на реализацию проекта по  формированию современной городской среды в малых городах и исторических поселениях </v>
      </c>
      <c r="B189" s="72"/>
      <c r="C189" s="73"/>
      <c r="D189" s="74"/>
      <c r="E189" s="73">
        <v>29856</v>
      </c>
      <c r="F189" s="74"/>
      <c r="G189" s="262">
        <f t="shared" si="78"/>
        <v>3655627</v>
      </c>
      <c r="H189" s="239">
        <f t="shared" si="78"/>
        <v>435846.40000000002</v>
      </c>
      <c r="I189" s="239">
        <f t="shared" si="78"/>
        <v>4091473.4</v>
      </c>
      <c r="J189" s="313"/>
    </row>
    <row r="190" spans="1:10" s="7" customFormat="1" x14ac:dyDescent="0.25">
      <c r="A190" s="183" t="str">
        <f>IF(B190&gt;0,VLOOKUP(B190,КВСР!A69:B1234,2),IF(C190&gt;0,VLOOKUP(C190,КФСР!A69:B1581,2),IF(D190&gt;0,VLOOKUP(D190,Программа!A$3:B$4988,2),IF(F190&gt;0,VLOOKUP(F190,КВР!A$1:B$5001,2),IF(E190&gt;0,VLOOKUP(E190,Направление!A$1:B$4610,2))))))</f>
        <v xml:space="preserve"> Межбюджетные трансферты</v>
      </c>
      <c r="B190" s="72"/>
      <c r="C190" s="73"/>
      <c r="D190" s="74"/>
      <c r="E190" s="73"/>
      <c r="F190" s="74">
        <v>500</v>
      </c>
      <c r="G190" s="299">
        <v>3655627</v>
      </c>
      <c r="H190" s="238">
        <v>435846.40000000002</v>
      </c>
      <c r="I190" s="238">
        <f t="shared" si="77"/>
        <v>4091473.4</v>
      </c>
      <c r="J190" s="313"/>
    </row>
    <row r="191" spans="1:10" s="7" customFormat="1" ht="31.5" x14ac:dyDescent="0.25">
      <c r="A191" s="183" t="str">
        <f>IF(B191&gt;0,VLOOKUP(B191,КВСР!A71:B1236,2),IF(C191&gt;0,VLOOKUP(C191,КФСР!A71:B1583,2),IF(D191&gt;0,VLOOKUP(D191,Программа!A$3:B$4988,2),IF(F191&gt;0,VLOOKUP(F191,КВР!A$1:B$5001,2),IF(E191&gt;0,VLOOKUP(E191,Направление!A$1:B$4610,2))))))</f>
        <v>Реализация   проекта "Формирование комфортной городской среды"</v>
      </c>
      <c r="B191" s="72"/>
      <c r="C191" s="73"/>
      <c r="D191" s="74" t="s">
        <v>678</v>
      </c>
      <c r="E191" s="73"/>
      <c r="F191" s="74"/>
      <c r="G191" s="262">
        <f>G192+G194</f>
        <v>92787773</v>
      </c>
      <c r="H191" s="239">
        <f>H194+H192</f>
        <v>92684059.090000004</v>
      </c>
      <c r="I191" s="239">
        <f>I194+I192</f>
        <v>185471832.09</v>
      </c>
      <c r="J191" s="313"/>
    </row>
    <row r="192" spans="1:10" s="7" customFormat="1" ht="110.25" x14ac:dyDescent="0.25">
      <c r="A192" s="183" t="str">
        <f>IF(B192&gt;0,VLOOKUP(B192,КВСР!A72:B1237,2),IF(C192&gt;0,VLOOKUP(C192,КФСР!A72:B1584,2),IF(D192&gt;0,VLOOKUP(D192,Программа!A$3:B$4988,2),IF(F192&gt;0,VLOOKUP(F192,КВР!A$1:B$5001,2),IF(E192&gt;0,VLOOKUP(E192,Направление!A$1:B$4610,2))))))</f>
        <v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192" s="72"/>
      <c r="C192" s="73"/>
      <c r="D192" s="74"/>
      <c r="E192" s="73">
        <v>54246</v>
      </c>
      <c r="F192" s="74"/>
      <c r="G192" s="262">
        <f>G193</f>
        <v>87500000</v>
      </c>
      <c r="H192" s="239">
        <f>H193</f>
        <v>87500000</v>
      </c>
      <c r="I192" s="239">
        <f>I193</f>
        <v>175000000</v>
      </c>
      <c r="J192" s="313"/>
    </row>
    <row r="193" spans="1:10" s="7" customFormat="1" x14ac:dyDescent="0.25">
      <c r="A193" s="183" t="str">
        <f>IF(B193&gt;0,VLOOKUP(B193,КВСР!A73:B1238,2),IF(C193&gt;0,VLOOKUP(C193,КФСР!A73:B1585,2),IF(D193&gt;0,VLOOKUP(D193,Программа!A$3:B$4988,2),IF(F193&gt;0,VLOOKUP(F193,КВР!A$1:B$5001,2),IF(E193&gt;0,VLOOKUP(E193,Направление!A$1:B$4610,2))))))</f>
        <v xml:space="preserve"> Межбюджетные трансферты</v>
      </c>
      <c r="B193" s="72"/>
      <c r="C193" s="73"/>
      <c r="D193" s="74"/>
      <c r="E193" s="73"/>
      <c r="F193" s="74">
        <v>500</v>
      </c>
      <c r="G193" s="299">
        <v>87500000</v>
      </c>
      <c r="H193" s="299">
        <v>87500000</v>
      </c>
      <c r="I193" s="299">
        <f>H193+G193</f>
        <v>175000000</v>
      </c>
      <c r="J193" s="313"/>
    </row>
    <row r="194" spans="1:10" s="7" customFormat="1" ht="63" x14ac:dyDescent="0.25">
      <c r="A194" s="183" t="str">
        <f>IF(B194&gt;0,VLOOKUP(B194,КВСР!A72:E146B1237,2),IF(C194&gt;0,VLOOKUP(C194,КФСР!A72:B1584,2),IF(D194&gt;0,VLOOKUP(D194,Программа!A$3:B$4988,2),IF(F194&gt;0,VLOOKUP(F194,КВР!A$1:B$5001,2),IF(E194&gt;0,VLOOKUP(E194,Направление!A$1:B$4610,2))))))</f>
        <v xml:space="preserve">Межбюджетные трансферты на реализацию регионального проекта "Формирования современной городской среды" </v>
      </c>
      <c r="B194" s="72"/>
      <c r="C194" s="73"/>
      <c r="D194" s="74"/>
      <c r="E194" s="73">
        <v>55556</v>
      </c>
      <c r="F194" s="74"/>
      <c r="G194" s="262">
        <f>G195</f>
        <v>5287773</v>
      </c>
      <c r="H194" s="239">
        <f>H195</f>
        <v>5184059.09</v>
      </c>
      <c r="I194" s="239">
        <f>I195</f>
        <v>10471832.09</v>
      </c>
      <c r="J194" s="313"/>
    </row>
    <row r="195" spans="1:10" s="7" customFormat="1" x14ac:dyDescent="0.25">
      <c r="A195" s="183" t="str">
        <f>IF(B195&gt;0,VLOOKUP(B195,КВСР!A73:B1238,2),IF(C195&gt;0,VLOOKUP(C195,КФСР!A73:B1585,2),IF(D195&gt;0,VLOOKUP(D195,Программа!A$3:B$4988,2),IF(F195&gt;0,VLOOKUP(F195,КВР!A$1:B$5001,2),IF(E195&gt;0,VLOOKUP(E195,Направление!A$1:B$4610,2))))))</f>
        <v xml:space="preserve"> Межбюджетные трансферты</v>
      </c>
      <c r="B195" s="72"/>
      <c r="C195" s="73"/>
      <c r="D195" s="74"/>
      <c r="E195" s="73"/>
      <c r="F195" s="74">
        <v>500</v>
      </c>
      <c r="G195" s="299">
        <v>5287773</v>
      </c>
      <c r="H195" s="238">
        <f>128513.31+3084319.35+169096.45+68480.94+1643542.54+90106.5</f>
        <v>5184059.09</v>
      </c>
      <c r="I195" s="238">
        <f t="shared" ref="I195" si="79">SUM(G195:H195)</f>
        <v>10471832.09</v>
      </c>
      <c r="J195" s="313"/>
    </row>
    <row r="196" spans="1:10" s="7" customFormat="1" ht="63" x14ac:dyDescent="0.25">
      <c r="A196" s="183" t="str">
        <f>IF(B196&gt;0,VLOOKUP(B196,КВСР!A70:B1235,2),IF(C196&gt;0,VLOOKUP(C196,КФСР!A70:B1582,2),IF(D196&gt;0,VLOOKUP(D196,Программа!A$3:B$4988,2),IF(F196&gt;0,VLOOKUP(F196,КВР!A$1:B$5001,2),IF(E196&gt;0,VLOOKUP(E196,Направление!A$1:B$4610,2))))))</f>
        <v>Муниципальная программа "Благоустройство и озеленение территории городского поселения Тутаев"</v>
      </c>
      <c r="B196" s="72"/>
      <c r="C196" s="73"/>
      <c r="D196" s="74" t="s">
        <v>198</v>
      </c>
      <c r="E196" s="73"/>
      <c r="F196" s="74"/>
      <c r="G196" s="262">
        <f>G197+G210+G219</f>
        <v>60485780.600000001</v>
      </c>
      <c r="H196" s="262">
        <f>H197+H219+H210</f>
        <v>16690941.93</v>
      </c>
      <c r="I196" s="262">
        <f>I197+I219+I210</f>
        <v>77176722.530000001</v>
      </c>
      <c r="J196" s="313"/>
    </row>
    <row r="197" spans="1:10" s="7" customFormat="1" ht="47.25" x14ac:dyDescent="0.25">
      <c r="A197" s="183" t="str">
        <f>IF(B197&gt;0,VLOOKUP(B197,КВСР!A70:B1235,2),IF(C197&gt;0,VLOOKUP(C197,КФСР!A70:B1582,2),IF(D197&gt;0,VLOOKUP(D197,Программа!A$3:B$4988,2),IF(F197&gt;0,VLOOKUP(F197,КВР!A$1:B$5001,2),IF(E197&gt;0,VLOOKUP(E197,Направление!A$1:B$4610,2))))))</f>
        <v>Благоустройство и озеленение  территории городского поселения Тутаев</v>
      </c>
      <c r="B197" s="72"/>
      <c r="C197" s="73"/>
      <c r="D197" s="74" t="s">
        <v>514</v>
      </c>
      <c r="E197" s="73"/>
      <c r="F197" s="74"/>
      <c r="G197" s="262">
        <f>G198+G200+G202+G204+G206+G208</f>
        <v>26712486.600000001</v>
      </c>
      <c r="H197" s="262">
        <f>H200+H202+H204+H208+H198+H206</f>
        <v>16207601.199999999</v>
      </c>
      <c r="I197" s="262">
        <f>I200+I202+I204+I208+I198+I206</f>
        <v>42920087.799999997</v>
      </c>
      <c r="J197" s="313"/>
    </row>
    <row r="198" spans="1:10" s="7" customFormat="1" ht="78.75" hidden="1" x14ac:dyDescent="0.25">
      <c r="A198" s="183" t="str">
        <f>IF(B198&gt;0,VLOOKUP(B198,КВСР!A71:B1236,2),IF(C198&gt;0,VLOOKUP(C198,КФСР!A71:B1583,2),IF(D198&gt;0,VLOOKUP(D198,Программа!A$3:B$4988,2),IF(F198&gt;0,VLOOKUP(F198,КВР!A$1:B$5001,2),IF(E198&gt;0,VLOOKUP(E198,Направление!A$1:B$4610,2))))))</f>
        <v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v>
      </c>
      <c r="B198" s="51"/>
      <c r="C198" s="52"/>
      <c r="D198" s="54"/>
      <c r="E198" s="52">
        <v>25356</v>
      </c>
      <c r="F198" s="54"/>
      <c r="G198" s="259">
        <f>G199</f>
        <v>0</v>
      </c>
      <c r="H198" s="268">
        <f t="shared" ref="H198:I200" si="80">H199</f>
        <v>0</v>
      </c>
      <c r="I198" s="268">
        <f t="shared" si="80"/>
        <v>0</v>
      </c>
      <c r="J198" s="313"/>
    </row>
    <row r="199" spans="1:10" s="7" customFormat="1" hidden="1" x14ac:dyDescent="0.25">
      <c r="A199" s="183" t="str">
        <f>IF(B199&gt;0,VLOOKUP(B199,КВСР!A72:B1237,2),IF(C199&gt;0,VLOOKUP(C199,КФСР!A72:B1584,2),IF(D199&gt;0,VLOOKUP(D199,Программа!A$3:B$4988,2),IF(F199&gt;0,VLOOKUP(F199,КВР!A$1:B$5001,2),IF(E199&gt;0,VLOOKUP(E199,Направление!A$1:B$4610,2))))))</f>
        <v xml:space="preserve"> Межбюджетные трансферты</v>
      </c>
      <c r="B199" s="51"/>
      <c r="C199" s="52"/>
      <c r="D199" s="53"/>
      <c r="E199" s="52"/>
      <c r="F199" s="54">
        <v>500</v>
      </c>
      <c r="G199" s="246">
        <v>0</v>
      </c>
      <c r="H199" s="238"/>
      <c r="I199" s="238">
        <f t="shared" ref="I199" si="81">SUM(G199:H199)</f>
        <v>0</v>
      </c>
      <c r="J199" s="313"/>
    </row>
    <row r="200" spans="1:10" s="7" customFormat="1" ht="78.75" x14ac:dyDescent="0.25">
      <c r="A200" s="183" t="str">
        <f>IF(B200&gt;0,VLOOKUP(B200,КВСР!A73:B1238,2),IF(C200&gt;0,VLOOKUP(C200,КФСР!A73:B1585,2),IF(D200&gt;0,VLOOKUP(D200,Программа!A$3:B$4988,2),IF(F200&gt;0,VLOOKUP(F200,КВР!A$1:B$5001,2),IF(E200&gt;0,VLOOKUP(E200,Направление!A$1:B$4610,2))))))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B200" s="51"/>
      <c r="C200" s="52"/>
      <c r="D200" s="54"/>
      <c r="E200" s="52">
        <v>29246</v>
      </c>
      <c r="F200" s="54"/>
      <c r="G200" s="259">
        <f>G201</f>
        <v>2491848</v>
      </c>
      <c r="H200" s="268">
        <f t="shared" si="80"/>
        <v>1082691.6200000001</v>
      </c>
      <c r="I200" s="268">
        <f t="shared" si="80"/>
        <v>3574539.62</v>
      </c>
      <c r="J200" s="313"/>
    </row>
    <row r="201" spans="1:10" s="7" customFormat="1" x14ac:dyDescent="0.25">
      <c r="A201" s="183" t="str">
        <f>IF(B201&gt;0,VLOOKUP(B201,КВСР!A74:B1239,2),IF(C201&gt;0,VLOOKUP(C201,КФСР!A74:B1586,2),IF(D201&gt;0,VLOOKUP(D201,Программа!A$3:B$4988,2),IF(F201&gt;0,VLOOKUP(F201,КВР!A$1:B$5001,2),IF(E201&gt;0,VLOOKUP(E201,Направление!A$1:B$4610,2))))))</f>
        <v xml:space="preserve"> Межбюджетные трансферты</v>
      </c>
      <c r="B201" s="51"/>
      <c r="C201" s="52"/>
      <c r="D201" s="53"/>
      <c r="E201" s="52"/>
      <c r="F201" s="54">
        <v>500</v>
      </c>
      <c r="G201" s="246">
        <v>2491848</v>
      </c>
      <c r="H201" s="238">
        <v>1082691.6200000001</v>
      </c>
      <c r="I201" s="238">
        <f t="shared" si="77"/>
        <v>3574539.62</v>
      </c>
      <c r="J201" s="313"/>
    </row>
    <row r="202" spans="1:10" s="7" customFormat="1" ht="63" x14ac:dyDescent="0.25">
      <c r="A202" s="183" t="str">
        <f>IF(B202&gt;0,VLOOKUP(B202,КВСР!A75:B1240,2),IF(C202&gt;0,VLOOKUP(C202,КФСР!A75:B1587,2),IF(D202&gt;0,VLOOKUP(D202,Программа!A$3:B$4988,2),IF(F202&gt;0,VLOOKUP(F202,КВР!A$1:B$5001,2),IF(E202&gt;0,VLOOKUP(E202,Направление!A$1:B$4610,2))))))</f>
        <v>Межбюджетные трансферты на содержание и организацию деятельности по благоустройству на территории поселения</v>
      </c>
      <c r="B202" s="51"/>
      <c r="C202" s="52"/>
      <c r="D202" s="53"/>
      <c r="E202" s="52">
        <v>29256</v>
      </c>
      <c r="F202" s="54"/>
      <c r="G202" s="240">
        <f>G203</f>
        <v>18687140</v>
      </c>
      <c r="H202" s="239">
        <f t="shared" ref="H202:I202" si="82">H203</f>
        <v>12668591.58</v>
      </c>
      <c r="I202" s="239">
        <f t="shared" si="82"/>
        <v>31355731.579999998</v>
      </c>
      <c r="J202" s="313"/>
    </row>
    <row r="203" spans="1:10" s="7" customFormat="1" x14ac:dyDescent="0.25">
      <c r="A203" s="183" t="str">
        <f>IF(B203&gt;0,VLOOKUP(B203,КВСР!A76:B1241,2),IF(C203&gt;0,VLOOKUP(C203,КФСР!A76:B1588,2),IF(D203&gt;0,VLOOKUP(D203,Программа!A$3:B$4988,2),IF(F203&gt;0,VLOOKUP(F203,КВР!A$1:B$5001,2),IF(E203&gt;0,VLOOKUP(E203,Направление!A$1:B$4610,2))))))</f>
        <v xml:space="preserve"> Межбюджетные трансферты</v>
      </c>
      <c r="B203" s="51"/>
      <c r="C203" s="52"/>
      <c r="D203" s="53"/>
      <c r="E203" s="52"/>
      <c r="F203" s="54">
        <v>500</v>
      </c>
      <c r="G203" s="246">
        <v>18687140</v>
      </c>
      <c r="H203" s="238">
        <v>12668591.58</v>
      </c>
      <c r="I203" s="238">
        <f t="shared" si="77"/>
        <v>31355731.579999998</v>
      </c>
      <c r="J203" s="313"/>
    </row>
    <row r="204" spans="1:10" s="7" customFormat="1" ht="47.25" x14ac:dyDescent="0.25">
      <c r="A204" s="183" t="str">
        <f>IF(B204&gt;0,VLOOKUP(B204,КВСР!A77:B1242,2),IF(C204&gt;0,VLOOKUP(C204,КФСР!A77:B1589,2),IF(D204&gt;0,VLOOKUP(D204,Программа!A$3:B$4988,2),IF(F204&gt;0,VLOOKUP(F204,КВР!A$1:B$5001,2),IF(E204&gt;0,VLOOKUP(E204,Направление!A$1:B$4610,2))))))</f>
        <v>Межбюджетные трансферты на обеспечение мероприятий в области благоустройства и озеленения</v>
      </c>
      <c r="B204" s="51"/>
      <c r="C204" s="52"/>
      <c r="D204" s="54"/>
      <c r="E204" s="52">
        <v>29266</v>
      </c>
      <c r="F204" s="54"/>
      <c r="G204" s="259">
        <f>G205</f>
        <v>4949998.5999999996</v>
      </c>
      <c r="H204" s="268">
        <f t="shared" ref="H204:I204" si="83">H205</f>
        <v>2456318</v>
      </c>
      <c r="I204" s="268">
        <f t="shared" si="83"/>
        <v>7406316.5999999996</v>
      </c>
      <c r="J204" s="313"/>
    </row>
    <row r="205" spans="1:10" s="7" customFormat="1" x14ac:dyDescent="0.25">
      <c r="A205" s="183" t="str">
        <f>IF(B205&gt;0,VLOOKUP(B205,КВСР!A78:B1243,2),IF(C205&gt;0,VLOOKUP(C205,КФСР!A78:B1590,2),IF(D205&gt;0,VLOOKUP(D205,Программа!A$3:B$4988,2),IF(F205&gt;0,VLOOKUP(F205,КВР!A$1:B$5001,2),IF(E205&gt;0,VLOOKUP(E205,Направление!A$1:B$4610,2))))))</f>
        <v xml:space="preserve"> Межбюджетные трансферты</v>
      </c>
      <c r="B205" s="51"/>
      <c r="C205" s="52"/>
      <c r="D205" s="54"/>
      <c r="E205" s="52"/>
      <c r="F205" s="54">
        <v>500</v>
      </c>
      <c r="G205" s="303">
        <v>4949998.5999999996</v>
      </c>
      <c r="H205" s="318">
        <v>2456318</v>
      </c>
      <c r="I205" s="238">
        <f t="shared" si="77"/>
        <v>7406316.5999999996</v>
      </c>
      <c r="J205" s="313"/>
    </row>
    <row r="206" spans="1:10" s="7" customFormat="1" ht="47.25" hidden="1" x14ac:dyDescent="0.25">
      <c r="A206" s="350" t="str">
        <f>IF(B206&gt;0,VLOOKUP(B206,КВСР!A79:B1244,2),IF(C206&gt;0,VLOOKUP(C206,КФСР!A79:B1591,2),IF(D206&gt;0,VLOOKUP(D206,Программа!A$3:B$4988,2),IF(F206&gt;0,VLOOKUP(F206,КВР!A$1:B$5001,2),IF(E206&gt;0,VLOOKUP(E206,Направление!A$1:B$4610,2))))))</f>
        <v>Межбюджетные трансферты на реализацию мероприятий  предусмотренных НПА ЯО</v>
      </c>
      <c r="B206" s="51"/>
      <c r="C206" s="52"/>
      <c r="D206" s="54"/>
      <c r="E206" s="53" t="s">
        <v>525</v>
      </c>
      <c r="F206" s="54"/>
      <c r="G206" s="302">
        <f>G207</f>
        <v>583500</v>
      </c>
      <c r="H206" s="351">
        <f>H207</f>
        <v>0</v>
      </c>
      <c r="I206" s="351">
        <f>G206+H206</f>
        <v>583500</v>
      </c>
      <c r="J206" s="313"/>
    </row>
    <row r="207" spans="1:10" s="7" customFormat="1" hidden="1" x14ac:dyDescent="0.25">
      <c r="A207" s="183" t="str">
        <f>IF(B207&gt;0,VLOOKUP(B207,КВСР!A80:B1245,2),IF(C207&gt;0,VLOOKUP(C207,КФСР!A80:B1592,2),IF(D207&gt;0,VLOOKUP(D207,Программа!A$3:B$4988,2),IF(F207&gt;0,VLOOKUP(F207,КВР!A$1:B$5001,2),IF(E207&gt;0,VLOOKUP(E207,Направление!A$1:B$4610,2))))))</f>
        <v xml:space="preserve"> Межбюджетные трансферты</v>
      </c>
      <c r="B207" s="51"/>
      <c r="C207" s="52"/>
      <c r="D207" s="54"/>
      <c r="E207" s="52"/>
      <c r="F207" s="54">
        <v>500</v>
      </c>
      <c r="G207" s="303">
        <v>583500</v>
      </c>
      <c r="H207" s="318">
        <v>0</v>
      </c>
      <c r="I207" s="238">
        <f>G207+H207</f>
        <v>583500</v>
      </c>
      <c r="J207" s="313"/>
    </row>
    <row r="208" spans="1:10" s="7" customFormat="1" ht="63" hidden="1" x14ac:dyDescent="0.25">
      <c r="A208" s="185" t="str">
        <f>IF(B208&gt;0,VLOOKUP(B208,КВСР!A77:B1242,2),IF(C208&gt;0,VLOOKUP(C208,КФСР!A77:B1589,2),IF(D208&gt;0,VLOOKUP(D208,Программа!A$3:B$4988,2),IF(F208&gt;0,VLOOKUP(F208,КВР!A$1:B$5001,2),IF(E208&gt;0,VLOOKUP(E208,Направление!A$1:B$4610,2))))))</f>
        <v>Межбюджетные трансферты  на реализацию мероприятий инициативного бюджетирования на территории Ярославской области</v>
      </c>
      <c r="B208" s="51"/>
      <c r="C208" s="52"/>
      <c r="D208" s="54"/>
      <c r="E208" s="53" t="s">
        <v>527</v>
      </c>
      <c r="F208" s="54"/>
      <c r="G208" s="259">
        <f>G209</f>
        <v>0</v>
      </c>
      <c r="H208" s="268">
        <f t="shared" ref="H208:I208" si="84">H209</f>
        <v>0</v>
      </c>
      <c r="I208" s="268">
        <f t="shared" si="84"/>
        <v>0</v>
      </c>
      <c r="J208" s="313"/>
    </row>
    <row r="209" spans="1:10" s="7" customFormat="1" hidden="1" x14ac:dyDescent="0.25">
      <c r="A209" s="183" t="str">
        <f>IF(B209&gt;0,VLOOKUP(B209,КВСР!A80:B1245,2),IF(C209&gt;0,VLOOKUP(C209,КФСР!A80:B1592,2),IF(D209&gt;0,VLOOKUP(D209,Программа!A$3:B$4988,2),IF(F209&gt;0,VLOOKUP(F209,КВР!A$1:B$5001,2),IF(E209&gt;0,VLOOKUP(E209,Направление!A$1:B$4610,2))))))</f>
        <v xml:space="preserve"> Межбюджетные трансферты</v>
      </c>
      <c r="B209" s="51"/>
      <c r="C209" s="52"/>
      <c r="D209" s="54"/>
      <c r="E209" s="52"/>
      <c r="F209" s="54">
        <v>500</v>
      </c>
      <c r="G209" s="303">
        <v>0</v>
      </c>
      <c r="H209" s="318">
        <v>0</v>
      </c>
      <c r="I209" s="238">
        <f>SUM(G209:H209)</f>
        <v>0</v>
      </c>
      <c r="J209" s="313"/>
    </row>
    <row r="210" spans="1:10" s="7" customFormat="1" ht="63" x14ac:dyDescent="0.25">
      <c r="A210" s="183" t="str">
        <f>IF(B210&gt;0,VLOOKUP(B210,КВСР!A85:B1250,2),IF(C210&gt;0,VLOOKUP(C210,КФСР!A85:B1597,2),IF(D210&gt;0,VLOOKUP(D210,Программа!A$3:B$4988,2),IF(F210&gt;0,VLOOKUP(F210,КВР!A$1:B$5001,2),IF(E210&gt;0,VLOOKUP(E210,Направление!A$1:B$4610,2))))))</f>
        <v>Реализация мероприятий губернаторского проекта "Решаем вместе!" (приоритетные проекты пл. Юбилейная)</v>
      </c>
      <c r="B210" s="51"/>
      <c r="C210" s="52"/>
      <c r="D210" s="54" t="s">
        <v>516</v>
      </c>
      <c r="E210" s="52"/>
      <c r="F210" s="54"/>
      <c r="G210" s="259">
        <f>G211+G213+G215+G217</f>
        <v>33116430</v>
      </c>
      <c r="H210" s="268">
        <f>H217+H213+H211+H215</f>
        <v>94379.4</v>
      </c>
      <c r="I210" s="268">
        <f>I217+I213+I211+I215</f>
        <v>33210809.399999999</v>
      </c>
      <c r="J210" s="313"/>
    </row>
    <row r="211" spans="1:10" s="7" customFormat="1" ht="78.75" x14ac:dyDescent="0.25">
      <c r="A211" s="183" t="str">
        <f>IF(B211&gt;0,VLOOKUP(B211,КВСР!A82:B1247,2),IF(C211&gt;0,VLOOKUP(C211,КФСР!A82:B1594,2),IF(D211&gt;0,VLOOKUP(D211,Программа!A$3:B$4988,2),IF(F211&gt;0,VLOOKUP(F211,КВР!A$1:B$5001,2),IF(E211&gt;0,VLOOKUP(E211,Направление!A$1:B$4610,2))))))</f>
        <v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v>
      </c>
      <c r="B211" s="51"/>
      <c r="C211" s="52"/>
      <c r="D211" s="54"/>
      <c r="E211" s="52">
        <v>25356</v>
      </c>
      <c r="F211" s="54"/>
      <c r="G211" s="259">
        <f>G212</f>
        <v>1143087.21</v>
      </c>
      <c r="H211" s="268">
        <f>H212</f>
        <v>94379.4</v>
      </c>
      <c r="I211" s="268">
        <f>I212</f>
        <v>1237466.6099999999</v>
      </c>
      <c r="J211" s="313"/>
    </row>
    <row r="212" spans="1:10" s="7" customFormat="1" x14ac:dyDescent="0.25">
      <c r="A212" s="183" t="str">
        <f>IF(B212&gt;0,VLOOKUP(B212,КВСР!A83:B1248,2),IF(C212&gt;0,VLOOKUP(C212,КФСР!A83:B1595,2),IF(D212&gt;0,VLOOKUP(D212,Программа!A$3:B$4988,2),IF(F212&gt;0,VLOOKUP(F212,КВР!A$1:B$5001,2),IF(E212&gt;0,VLOOKUP(E212,Направление!A$1:B$4610,2))))))</f>
        <v xml:space="preserve"> Межбюджетные трансферты</v>
      </c>
      <c r="B212" s="51"/>
      <c r="C212" s="52"/>
      <c r="D212" s="54"/>
      <c r="E212" s="52"/>
      <c r="F212" s="54">
        <v>500</v>
      </c>
      <c r="G212" s="303">
        <f>94812+802648.07+245627.14</f>
        <v>1143087.21</v>
      </c>
      <c r="H212" s="318">
        <v>94379.4</v>
      </c>
      <c r="I212" s="238">
        <f>G212+H212</f>
        <v>1237466.6099999999</v>
      </c>
      <c r="J212" s="313"/>
    </row>
    <row r="213" spans="1:10" s="7" customFormat="1" ht="63" hidden="1" x14ac:dyDescent="0.25">
      <c r="A213" s="183" t="str">
        <f>IF(B213&gt;0,VLOOKUP(B213,КВСР!A84:B1249,2),IF(C213&gt;0,VLOOKUP(C213,КФСР!A84:B1596,2),IF(D213&gt;0,VLOOKUP(D213,Программа!A$3:B$4988,2),IF(F213&gt;0,VLOOKUP(F213,КВР!A$1:B$5001,2),IF(E213&gt;0,VLOOKUP(E213,Направление!A$1:B$4610,2))))))</f>
        <v>Межбюджетные трансферты на реализацию приоритетных проектов софинансирование из бюджета поселения</v>
      </c>
      <c r="B213" s="51"/>
      <c r="C213" s="52"/>
      <c r="D213" s="54"/>
      <c r="E213" s="52">
        <v>27266</v>
      </c>
      <c r="F213" s="54"/>
      <c r="G213" s="259">
        <f>G214</f>
        <v>1983321.79</v>
      </c>
      <c r="H213" s="268">
        <f>H214</f>
        <v>0</v>
      </c>
      <c r="I213" s="268">
        <f>I214</f>
        <v>1983321.79</v>
      </c>
      <c r="J213" s="313"/>
    </row>
    <row r="214" spans="1:10" s="7" customFormat="1" hidden="1" x14ac:dyDescent="0.25">
      <c r="A214" s="183" t="str">
        <f>IF(B214&gt;0,VLOOKUP(B214,КВСР!A85:B1250,2),IF(C214&gt;0,VLOOKUP(C214,КФСР!A85:B1597,2),IF(D214&gt;0,VLOOKUP(D214,Программа!A$3:B$4988,2),IF(F214&gt;0,VLOOKUP(F214,КВР!A$1:B$5001,2),IF(E214&gt;0,VLOOKUP(E214,Направление!A$1:B$4610,2))))))</f>
        <v xml:space="preserve"> Межбюджетные трансферты</v>
      </c>
      <c r="B214" s="51"/>
      <c r="C214" s="52"/>
      <c r="D214" s="54"/>
      <c r="E214" s="52"/>
      <c r="F214" s="54">
        <v>500</v>
      </c>
      <c r="G214" s="303">
        <v>1983321.79</v>
      </c>
      <c r="H214" s="318">
        <v>0</v>
      </c>
      <c r="I214" s="238">
        <f>G214+H214</f>
        <v>1983321.79</v>
      </c>
      <c r="J214" s="313"/>
    </row>
    <row r="215" spans="1:10" s="7" customFormat="1" ht="63" hidden="1" x14ac:dyDescent="0.25">
      <c r="A215" s="183" t="str">
        <f>IF(B215&gt;0,VLOOKUP(B215,КВСР!A86:B1251,2),IF(C215&gt;0,VLOOKUP(C215,КФСР!A86:B1598,2),IF(D215&gt;0,VLOOKUP(D215,Программа!A$3:B$4988,2),IF(F215&gt;0,VLOOKUP(F215,КВР!A$1:B$5001,2),IF(E215&gt;0,VLOOKUP(E215,Направление!A$1:B$4610,2))))))</f>
        <v>Межбюджетные трансферты  на реализацию мероприятий инициативного бюджетирования на территории Ярославской области</v>
      </c>
      <c r="B215" s="51"/>
      <c r="C215" s="52"/>
      <c r="D215" s="336"/>
      <c r="E215" s="337" t="s">
        <v>527</v>
      </c>
      <c r="F215" s="54"/>
      <c r="G215" s="259">
        <f>G216</f>
        <v>7990021</v>
      </c>
      <c r="H215" s="268">
        <f>H216</f>
        <v>0</v>
      </c>
      <c r="I215" s="239">
        <f>I216</f>
        <v>7990021</v>
      </c>
      <c r="J215" s="313"/>
    </row>
    <row r="216" spans="1:10" s="7" customFormat="1" hidden="1" x14ac:dyDescent="0.25">
      <c r="A216" s="183" t="str">
        <f>IF(B216&gt;0,VLOOKUP(B216,КВСР!A87:B1252,2),IF(C216&gt;0,VLOOKUP(C216,КФСР!A87:B1599,2),IF(D216&gt;0,VLOOKUP(D216,Программа!A$3:B$4988,2),IF(F216&gt;0,VLOOKUP(F216,КВР!A$1:B$5001,2),IF(E216&gt;0,VLOOKUP(E216,Направление!A$1:B$4610,2))))))</f>
        <v xml:space="preserve"> Межбюджетные трансферты</v>
      </c>
      <c r="B216" s="51"/>
      <c r="C216" s="52"/>
      <c r="D216" s="54"/>
      <c r="E216" s="52"/>
      <c r="F216" s="54">
        <v>500</v>
      </c>
      <c r="G216" s="303">
        <v>7990021</v>
      </c>
      <c r="H216" s="318">
        <v>0</v>
      </c>
      <c r="I216" s="238">
        <f>SUM(G216:H216)</f>
        <v>7990021</v>
      </c>
      <c r="J216" s="313"/>
    </row>
    <row r="217" spans="1:10" s="7" customFormat="1" ht="31.5" hidden="1" x14ac:dyDescent="0.25">
      <c r="A217" s="183" t="str">
        <f>IF(B217&gt;0,VLOOKUP(B217,КВСР!A86:B1251,2),IF(C217&gt;0,VLOOKUP(C217,КФСР!A86:B1598,2),IF(D217&gt;0,VLOOKUP(D217,Программа!A$3:B$4988,2),IF(F217&gt;0,VLOOKUP(F217,КВР!A$1:B$5001,2),IF(E217&gt;0,VLOOKUP(E217,Направление!A$1:B$4610,2))))))</f>
        <v>Межбюджетные трансферты на реализацию приоритетных проектов</v>
      </c>
      <c r="B217" s="51"/>
      <c r="C217" s="52"/>
      <c r="D217" s="54"/>
      <c r="E217" s="52">
        <v>77266</v>
      </c>
      <c r="F217" s="54"/>
      <c r="G217" s="259">
        <f>G218</f>
        <v>22000000</v>
      </c>
      <c r="H217" s="268">
        <f>H218</f>
        <v>0</v>
      </c>
      <c r="I217" s="268">
        <f>I218</f>
        <v>22000000</v>
      </c>
      <c r="J217" s="313"/>
    </row>
    <row r="218" spans="1:10" s="7" customFormat="1" hidden="1" x14ac:dyDescent="0.25">
      <c r="A218" s="183" t="str">
        <f>IF(B218&gt;0,VLOOKUP(B218,КВСР!A87:B1252,2),IF(C218&gt;0,VLOOKUP(C218,КФСР!A87:B1599,2),IF(D218&gt;0,VLOOKUP(D218,Программа!A$3:B$4988,2),IF(F218&gt;0,VLOOKUP(F218,КВР!A$1:B$5001,2),IF(E218&gt;0,VLOOKUP(E218,Направление!A$1:B$4610,2))))))</f>
        <v xml:space="preserve"> Межбюджетные трансферты</v>
      </c>
      <c r="B218" s="51"/>
      <c r="C218" s="52"/>
      <c r="D218" s="54"/>
      <c r="E218" s="52"/>
      <c r="F218" s="54">
        <v>500</v>
      </c>
      <c r="G218" s="303">
        <v>22000000</v>
      </c>
      <c r="H218" s="318"/>
      <c r="I218" s="238">
        <f>G218+H218</f>
        <v>22000000</v>
      </c>
      <c r="J218" s="313"/>
    </row>
    <row r="219" spans="1:10" s="7" customFormat="1" ht="31.5" x14ac:dyDescent="0.25">
      <c r="A219" s="183" t="str">
        <f>IF(B219&gt;0,VLOOKUP(B219,КВСР!A81:B1246,2),IF(C219&gt;0,VLOOKUP(C219,КФСР!A81:B1593,2),IF(D219&gt;0,VLOOKUP(D219,Программа!A$3:B$4988,2),IF(F219&gt;0,VLOOKUP(F219,КВР!A$1:B$5001,2),IF(E219&gt;0,VLOOKUP(E219,Направление!A$1:B$4610,2))))))</f>
        <v>Содержание и благоустройство мест захоронений</v>
      </c>
      <c r="B219" s="51"/>
      <c r="C219" s="52"/>
      <c r="D219" s="54" t="s">
        <v>579</v>
      </c>
      <c r="E219" s="52"/>
      <c r="F219" s="54"/>
      <c r="G219" s="259">
        <f>G220</f>
        <v>656864</v>
      </c>
      <c r="H219" s="268">
        <f t="shared" ref="H219:I220" si="85">H220</f>
        <v>388961.33</v>
      </c>
      <c r="I219" s="268">
        <f t="shared" si="85"/>
        <v>1045825.3300000001</v>
      </c>
      <c r="J219" s="313"/>
    </row>
    <row r="220" spans="1:10" s="7" customFormat="1" ht="47.25" x14ac:dyDescent="0.25">
      <c r="A220" s="183" t="str">
        <f>IF(B220&gt;0,VLOOKUP(B220,КВСР!A82:B1247,2),IF(C220&gt;0,VLOOKUP(C220,КФСР!A82:B1594,2),IF(D220&gt;0,VLOOKUP(D220,Программа!A$3:B$4988,2),IF(F220&gt;0,VLOOKUP(F220,КВР!A$1:B$5001,2),IF(E220&gt;0,VLOOKUP(E220,Направление!A$1:B$4610,2))))))</f>
        <v>Межбюджетные трансферты на обеспечение мероприятий по  содержанию мест захоронения</v>
      </c>
      <c r="B220" s="51"/>
      <c r="C220" s="52"/>
      <c r="D220" s="54"/>
      <c r="E220" s="52">
        <v>29316</v>
      </c>
      <c r="F220" s="54"/>
      <c r="G220" s="259">
        <f>G221</f>
        <v>656864</v>
      </c>
      <c r="H220" s="268">
        <f t="shared" si="85"/>
        <v>388961.33</v>
      </c>
      <c r="I220" s="268">
        <f t="shared" si="85"/>
        <v>1045825.3300000001</v>
      </c>
      <c r="J220" s="313"/>
    </row>
    <row r="221" spans="1:10" s="7" customFormat="1" x14ac:dyDescent="0.25">
      <c r="A221" s="183" t="str">
        <f>IF(B221&gt;0,VLOOKUP(B221,КВСР!A83:B1248,2),IF(C221&gt;0,VLOOKUP(C221,КФСР!A83:B1595,2),IF(D221&gt;0,VLOOKUP(D221,Программа!A$3:B$4988,2),IF(F221&gt;0,VLOOKUP(F221,КВР!A$1:B$5001,2),IF(E221&gt;0,VLOOKUP(E221,Направление!A$1:B$4610,2))))))</f>
        <v xml:space="preserve"> Межбюджетные трансферты</v>
      </c>
      <c r="B221" s="51"/>
      <c r="C221" s="52"/>
      <c r="D221" s="54"/>
      <c r="E221" s="52"/>
      <c r="F221" s="54">
        <v>500</v>
      </c>
      <c r="G221" s="246">
        <v>656864</v>
      </c>
      <c r="H221" s="238">
        <v>388961.33</v>
      </c>
      <c r="I221" s="238">
        <f t="shared" si="77"/>
        <v>1045825.3300000001</v>
      </c>
      <c r="J221" s="313"/>
    </row>
    <row r="222" spans="1:10" s="7" customFormat="1" ht="94.5" x14ac:dyDescent="0.25">
      <c r="A222" s="183" t="str">
        <f>IF(B222&gt;0,VLOOKUP(B222,КВСР!A84:B1249,2),IF(C222&gt;0,VLOOKUP(C222,КФСР!A84:B1596,2),IF(D222&gt;0,VLOOKUP(D222,Программа!A$3:B$4988,2),IF(F222&gt;0,VLOOKUP(F222,КВР!A$1:B$5001,2),IF(E222&gt;0,VLOOKUP(E222,Направление!A$1:B$4610,2))))))</f>
        <v>Муниципальная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города Тутаева"</v>
      </c>
      <c r="B222" s="51"/>
      <c r="C222" s="52"/>
      <c r="D222" s="54" t="s">
        <v>770</v>
      </c>
      <c r="E222" s="52"/>
      <c r="F222" s="54"/>
      <c r="G222" s="240">
        <f>G223</f>
        <v>14647777</v>
      </c>
      <c r="H222" s="240">
        <f t="shared" ref="H222:I224" si="86">H223</f>
        <v>9513933.3800000008</v>
      </c>
      <c r="I222" s="240">
        <f t="shared" si="86"/>
        <v>24161710.380000003</v>
      </c>
      <c r="J222" s="313"/>
    </row>
    <row r="223" spans="1:10" s="7" customFormat="1" ht="47.25" x14ac:dyDescent="0.25">
      <c r="A223" s="183" t="str">
        <f>IF(B223&gt;0,VLOOKUP(B223,КВСР!A85:B1250,2),IF(C223&gt;0,VLOOKUP(C223,КФСР!A85:B1597,2),IF(D223&gt;0,VLOOKUP(D223,Программа!A$3:B$4988,2),IF(F223&gt;0,VLOOKUP(F223,КВР!A$1:B$5001,2),IF(E223&gt;0,VLOOKUP(E223,Направление!A$1:B$4610,2))))))</f>
        <v>Создание механизма управления потреблением энергетических ресурсов и сокращение бюджетных затрат</v>
      </c>
      <c r="B223" s="51"/>
      <c r="C223" s="52"/>
      <c r="D223" s="54" t="s">
        <v>771</v>
      </c>
      <c r="E223" s="52"/>
      <c r="F223" s="54"/>
      <c r="G223" s="240">
        <f>G224</f>
        <v>14647777</v>
      </c>
      <c r="H223" s="240">
        <f t="shared" si="86"/>
        <v>9513933.3800000008</v>
      </c>
      <c r="I223" s="240">
        <f t="shared" si="86"/>
        <v>24161710.380000003</v>
      </c>
      <c r="J223" s="313"/>
    </row>
    <row r="224" spans="1:10" s="7" customFormat="1" ht="47.25" x14ac:dyDescent="0.25">
      <c r="A224" s="183" t="str">
        <f>IF(B224&gt;0,VLOOKUP(B224,КВСР!A86:B1251,2),IF(C224&gt;0,VLOOKUP(C224,КФСР!A86:B1598,2),IF(D224&gt;0,VLOOKUP(D224,Программа!A$3:B$4988,2),IF(F224&gt;0,VLOOKUP(F224,КВР!A$1:B$5001,2),IF(E224&gt;0,VLOOKUP(E224,Направление!A$1:B$4610,2))))))</f>
        <v>Межбюджетные трансферты на обеспечение мероприятий по уличному освещению</v>
      </c>
      <c r="B224" s="51"/>
      <c r="C224" s="52"/>
      <c r="D224" s="54"/>
      <c r="E224" s="52">
        <v>29236</v>
      </c>
      <c r="F224" s="54"/>
      <c r="G224" s="240">
        <f>G225</f>
        <v>14647777</v>
      </c>
      <c r="H224" s="240">
        <f t="shared" si="86"/>
        <v>9513933.3800000008</v>
      </c>
      <c r="I224" s="240">
        <f t="shared" si="86"/>
        <v>24161710.380000003</v>
      </c>
      <c r="J224" s="313"/>
    </row>
    <row r="225" spans="1:10" s="7" customFormat="1" x14ac:dyDescent="0.25">
      <c r="A225" s="183" t="str">
        <f>IF(B225&gt;0,VLOOKUP(B225,КВСР!A87:B1252,2),IF(C225&gt;0,VLOOKUP(C225,КФСР!A87:B1599,2),IF(D225&gt;0,VLOOKUP(D225,Программа!A$3:B$4988,2),IF(F225&gt;0,VLOOKUP(F225,КВР!A$1:B$5001,2),IF(E225&gt;0,VLOOKUP(E225,Направление!A$1:B$4610,2))))))</f>
        <v xml:space="preserve"> Межбюджетные трансферты</v>
      </c>
      <c r="B225" s="51"/>
      <c r="C225" s="52"/>
      <c r="D225" s="54"/>
      <c r="E225" s="52"/>
      <c r="F225" s="54">
        <v>500</v>
      </c>
      <c r="G225" s="246">
        <v>14647777</v>
      </c>
      <c r="H225" s="238">
        <v>9513933.3800000008</v>
      </c>
      <c r="I225" s="238">
        <f>G225+H225</f>
        <v>24161710.380000003</v>
      </c>
      <c r="J225" s="313"/>
    </row>
    <row r="226" spans="1:10" s="7" customFormat="1" ht="31.5" hidden="1" x14ac:dyDescent="0.25">
      <c r="A226" s="184" t="str">
        <f>IF(B226&gt;0,VLOOKUP(B226,КВСР!A84:B1249,2),IF(C226&gt;0,VLOOKUP(C226,КФСР!A84:B1596,2),IF(D226&gt;0,VLOOKUP(D226,Программа!A$3:B$4988,2),IF(F226&gt;0,VLOOKUP(F226,КВР!A$1:B$5001,2),IF(E226&gt;0,VLOOKUP(E226,Направление!A$1:B$4610,2))))))</f>
        <v>Другие вопросы в области охраны окружающей среды</v>
      </c>
      <c r="B226" s="55"/>
      <c r="C226" s="56">
        <v>605</v>
      </c>
      <c r="D226" s="58"/>
      <c r="E226" s="56"/>
      <c r="F226" s="58"/>
      <c r="G226" s="256">
        <f>G227</f>
        <v>100000</v>
      </c>
      <c r="H226" s="253">
        <f t="shared" ref="H226:I228" si="87">H227</f>
        <v>0</v>
      </c>
      <c r="I226" s="253">
        <f t="shared" si="87"/>
        <v>100000</v>
      </c>
      <c r="J226" s="313"/>
    </row>
    <row r="227" spans="1:10" s="7" customFormat="1" hidden="1" x14ac:dyDescent="0.25">
      <c r="A227" s="182" t="str">
        <f>IF(B227&gt;0,VLOOKUP(B227,КВСР!A85:B1250,2),IF(C227&gt;0,VLOOKUP(C227,КФСР!A85:B1597,2),IF(D227&gt;0,VLOOKUP(D227,Программа!A$3:B$4988,2),IF(F227&gt;0,VLOOKUP(F227,КВР!A$1:B$5001,2),IF(E227&gt;0,VLOOKUP(E227,Направление!A$1:B$4610,2))))))</f>
        <v>Непрограммные расходы бюджета</v>
      </c>
      <c r="B227" s="114"/>
      <c r="C227" s="115"/>
      <c r="D227" s="117" t="s">
        <v>521</v>
      </c>
      <c r="E227" s="115"/>
      <c r="F227" s="117"/>
      <c r="G227" s="257">
        <f>G228</f>
        <v>100000</v>
      </c>
      <c r="H227" s="254">
        <f t="shared" si="87"/>
        <v>0</v>
      </c>
      <c r="I227" s="254">
        <f t="shared" si="87"/>
        <v>100000</v>
      </c>
      <c r="J227" s="313"/>
    </row>
    <row r="228" spans="1:10" s="7" customFormat="1" ht="63" hidden="1" x14ac:dyDescent="0.25">
      <c r="A228" s="183" t="str">
        <f>IF(B228&gt;0,VLOOKUP(B228,КВСР!A86:B1251,2),IF(C228&gt;0,VLOOKUP(C228,КФСР!A86:B1598,2),IF(D228&gt;0,VLOOKUP(D228,Программа!A$3:B$4988,2),IF(F228&gt;0,VLOOKUP(F228,КВР!A$1:B$5001,2),IF(E228&gt;0,VLOOKUP(E228,Направление!A$1:B$4610,2))))))</f>
        <v>Обеспечение мероприятий по охране окружающей среды и природопользования на территории городского поселения Тутаев</v>
      </c>
      <c r="B228" s="51"/>
      <c r="C228" s="52"/>
      <c r="D228" s="54"/>
      <c r="E228" s="52">
        <v>20180</v>
      </c>
      <c r="F228" s="54"/>
      <c r="G228" s="240">
        <f>G229</f>
        <v>100000</v>
      </c>
      <c r="H228" s="239">
        <f>H229</f>
        <v>0</v>
      </c>
      <c r="I228" s="239">
        <f t="shared" si="87"/>
        <v>100000</v>
      </c>
      <c r="J228" s="313"/>
    </row>
    <row r="229" spans="1:10" s="7" customFormat="1" ht="63" hidden="1" x14ac:dyDescent="0.25">
      <c r="A229" s="183" t="str">
        <f>IF(B229&gt;0,VLOOKUP(B229,КВСР!A87:B1252,2),IF(C229&gt;0,VLOOKUP(C229,КФСР!A87:B1599,2),IF(D229&gt;0,VLOOKUP(D229,Программа!A$3:B$4988,2),IF(F229&gt;0,VLOOKUP(F229,КВР!A$1:B$5001,2),IF(E229&gt;0,VLOOKUP(E229,Направление!A$1:B$4610,2))))))</f>
        <v xml:space="preserve">Закупка товаров, работ и услуг для обеспечения государственных (муниципальных) нужд
</v>
      </c>
      <c r="B229" s="51"/>
      <c r="C229" s="52"/>
      <c r="D229" s="54"/>
      <c r="E229" s="52"/>
      <c r="F229" s="54">
        <v>200</v>
      </c>
      <c r="G229" s="246">
        <v>100000</v>
      </c>
      <c r="H229" s="238">
        <v>0</v>
      </c>
      <c r="I229" s="238">
        <f t="shared" si="77"/>
        <v>100000</v>
      </c>
      <c r="J229" s="313"/>
    </row>
    <row r="230" spans="1:10" s="7" customFormat="1" x14ac:dyDescent="0.25">
      <c r="A230" s="184" t="str">
        <f>IF(B230&gt;0,VLOOKUP(B230,КВСР!A84:B1249,2),IF(C230&gt;0,VLOOKUP(C230,КФСР!A84:B1596,2),IF(D230&gt;0,VLOOKUP(D230,Программа!A$3:B$4988,2),IF(F230&gt;0,VLOOKUP(F230,КВР!A$1:B$5001,2),IF(E230&gt;0,VLOOKUP(E230,Направление!A$1:B$4610,2))))))</f>
        <v>Культура</v>
      </c>
      <c r="B230" s="51"/>
      <c r="C230" s="56">
        <v>801</v>
      </c>
      <c r="D230" s="54"/>
      <c r="E230" s="52"/>
      <c r="F230" s="54"/>
      <c r="G230" s="256">
        <f>G231</f>
        <v>790000</v>
      </c>
      <c r="H230" s="253">
        <f t="shared" ref="H230:I232" si="88">H231</f>
        <v>518334.11</v>
      </c>
      <c r="I230" s="253">
        <f t="shared" si="88"/>
        <v>1308334.1099999999</v>
      </c>
      <c r="J230" s="313"/>
    </row>
    <row r="231" spans="1:10" s="7" customFormat="1" x14ac:dyDescent="0.25">
      <c r="A231" s="182" t="str">
        <f>IF(B231&gt;0,VLOOKUP(B231,КВСР!A85:B1250,2),IF(C231&gt;0,VLOOKUP(C231,КФСР!A85:B1597,2),IF(D231&gt;0,VLOOKUP(D231,Программа!A$3:B$4988,2),IF(F231&gt;0,VLOOKUP(F231,КВР!A$1:B$5001,2),IF(E231&gt;0,VLOOKUP(E231,Направление!A$1:B$4610,2))))))</f>
        <v>Непрограммные расходы бюджета</v>
      </c>
      <c r="B231" s="114"/>
      <c r="C231" s="115"/>
      <c r="D231" s="117" t="s">
        <v>521</v>
      </c>
      <c r="E231" s="115"/>
      <c r="F231" s="117"/>
      <c r="G231" s="257">
        <f>G232</f>
        <v>790000</v>
      </c>
      <c r="H231" s="254">
        <f t="shared" si="88"/>
        <v>518334.11</v>
      </c>
      <c r="I231" s="254">
        <f t="shared" si="88"/>
        <v>1308334.1099999999</v>
      </c>
      <c r="J231" s="313"/>
    </row>
    <row r="232" spans="1:10" s="7" customFormat="1" ht="47.25" x14ac:dyDescent="0.25">
      <c r="A232" s="183" t="str">
        <f>IF(B232&gt;0,VLOOKUP(B232,КВСР!A86:B1251,2),IF(C232&gt;0,VLOOKUP(C232,КФСР!A86:B1598,2),IF(D232&gt;0,VLOOKUP(D232,Программа!A$3:B$4988,2),IF(F232&gt;0,VLOOKUP(F232,КВР!A$1:B$5001,2),IF(E232&gt;0,VLOOKUP(E232,Направление!A$1:B$4610,2))))))</f>
        <v xml:space="preserve">Межбюджетные трансферты на обеспечение культурно-досуговых мероприятий </v>
      </c>
      <c r="B232" s="51"/>
      <c r="C232" s="52"/>
      <c r="D232" s="54"/>
      <c r="E232" s="52">
        <v>29216</v>
      </c>
      <c r="F232" s="54"/>
      <c r="G232" s="259">
        <f>G233</f>
        <v>790000</v>
      </c>
      <c r="H232" s="268">
        <f t="shared" si="88"/>
        <v>518334.11</v>
      </c>
      <c r="I232" s="268">
        <f t="shared" si="88"/>
        <v>1308334.1099999999</v>
      </c>
      <c r="J232" s="313"/>
    </row>
    <row r="233" spans="1:10" s="7" customFormat="1" x14ac:dyDescent="0.25">
      <c r="A233" s="183" t="str">
        <f>IF(B233&gt;0,VLOOKUP(B233,КВСР!A87:B1252,2),IF(C233&gt;0,VLOOKUP(C233,КФСР!A87:B1599,2),IF(D233&gt;0,VLOOKUP(D233,Программа!A$3:B$4988,2),IF(F233&gt;0,VLOOKUP(F233,КВР!A$1:B$5001,2),IF(E233&gt;0,VLOOKUP(E233,Направление!A$1:B$4610,2))))))</f>
        <v xml:space="preserve"> Межбюджетные трансферты</v>
      </c>
      <c r="B233" s="51"/>
      <c r="C233" s="52"/>
      <c r="D233" s="54"/>
      <c r="E233" s="52"/>
      <c r="F233" s="54">
        <v>500</v>
      </c>
      <c r="G233" s="303">
        <v>790000</v>
      </c>
      <c r="H233" s="318">
        <v>518334.11</v>
      </c>
      <c r="I233" s="238">
        <f t="shared" si="77"/>
        <v>1308334.1099999999</v>
      </c>
      <c r="J233" s="313"/>
    </row>
    <row r="234" spans="1:10" s="7" customFormat="1" x14ac:dyDescent="0.25">
      <c r="A234" s="184" t="str">
        <f>IF(B234&gt;0,VLOOKUP(B234,КВСР!A88:B1253,2),IF(C234&gt;0,VLOOKUP(C234,КФСР!A88:B1600,2),IF(D234&gt;0,VLOOKUP(D234,Программа!A$3:B$4988,2),IF(F234&gt;0,VLOOKUP(F234,КВР!A$1:B$5001,2),IF(E234&gt;0,VLOOKUP(E234,Направление!A$1:B$4610,2))))))</f>
        <v>Пенсионное обеспечение</v>
      </c>
      <c r="B234" s="55"/>
      <c r="C234" s="56">
        <v>1001</v>
      </c>
      <c r="D234" s="58"/>
      <c r="E234" s="56"/>
      <c r="F234" s="58"/>
      <c r="G234" s="256">
        <f>G235</f>
        <v>650346</v>
      </c>
      <c r="H234" s="253">
        <f t="shared" ref="H234:I236" si="89">H235</f>
        <v>452577.17</v>
      </c>
      <c r="I234" s="253">
        <f t="shared" si="89"/>
        <v>1102923.17</v>
      </c>
      <c r="J234" s="313"/>
    </row>
    <row r="235" spans="1:10" s="7" customFormat="1" x14ac:dyDescent="0.25">
      <c r="A235" s="182" t="str">
        <f>IF(B235&gt;0,VLOOKUP(B235,КВСР!A89:B1254,2),IF(C235&gt;0,VLOOKUP(C235,КФСР!A89:B1601,2),IF(D235&gt;0,VLOOKUP(D235,Программа!A$3:B$4988,2),IF(F235&gt;0,VLOOKUP(F235,КВР!A$1:B$5001,2),IF(E235&gt;0,VLOOKUP(E235,Направление!A$1:B$4610,2))))))</f>
        <v>Непрограммные расходы бюджета</v>
      </c>
      <c r="B235" s="114"/>
      <c r="C235" s="115"/>
      <c r="D235" s="117" t="s">
        <v>521</v>
      </c>
      <c r="E235" s="115"/>
      <c r="F235" s="117"/>
      <c r="G235" s="257">
        <f>G236</f>
        <v>650346</v>
      </c>
      <c r="H235" s="254">
        <f t="shared" si="89"/>
        <v>452577.17</v>
      </c>
      <c r="I235" s="254">
        <f t="shared" si="89"/>
        <v>1102923.17</v>
      </c>
      <c r="J235" s="313"/>
    </row>
    <row r="236" spans="1:10" s="7" customFormat="1" ht="63" x14ac:dyDescent="0.25">
      <c r="A236" s="183" t="str">
        <f>IF(B236&gt;0,VLOOKUP(B236,КВСР!A90:B1255,2),IF(C236&gt;0,VLOOKUP(C236,КФСР!A90:B1602,2),IF(D236&gt;0,VLOOKUP(D236,Программа!A$3:B$4988,2),IF(F236&gt;0,VLOOKUP(F236,КВР!A$1:B$5001,2),IF(E236&gt;0,VLOOKUP(E236,Направление!A$1:B$4610,2))))))</f>
        <v>Межбюджетные трансферты на дополнительное пенсионное  обеспечение муниципальных служащих городского поселения Тутаев</v>
      </c>
      <c r="B236" s="51"/>
      <c r="C236" s="52"/>
      <c r="D236" s="54"/>
      <c r="E236" s="52">
        <v>29756</v>
      </c>
      <c r="F236" s="54"/>
      <c r="G236" s="240">
        <f>G237</f>
        <v>650346</v>
      </c>
      <c r="H236" s="239">
        <f t="shared" si="89"/>
        <v>452577.17</v>
      </c>
      <c r="I236" s="239">
        <f t="shared" si="89"/>
        <v>1102923.17</v>
      </c>
      <c r="J236" s="313"/>
    </row>
    <row r="237" spans="1:10" s="7" customFormat="1" x14ac:dyDescent="0.25">
      <c r="A237" s="183" t="str">
        <f>IF(B237&gt;0,VLOOKUP(B237,КВСР!A91:B1256,2),IF(C237&gt;0,VLOOKUP(C237,КФСР!A91:B1603,2),IF(D237&gt;0,VLOOKUP(D237,Программа!A$3:B$4988,2),IF(F237&gt;0,VLOOKUP(F237,КВР!A$1:B$5001,2),IF(E237&gt;0,VLOOKUP(E237,Направление!A$1:B$4610,2))))))</f>
        <v xml:space="preserve"> Межбюджетные трансферты</v>
      </c>
      <c r="B237" s="51"/>
      <c r="C237" s="52"/>
      <c r="D237" s="54"/>
      <c r="E237" s="52"/>
      <c r="F237" s="54">
        <v>500</v>
      </c>
      <c r="G237" s="303">
        <v>650346</v>
      </c>
      <c r="H237" s="318">
        <v>452577.17</v>
      </c>
      <c r="I237" s="238">
        <f t="shared" si="77"/>
        <v>1102923.17</v>
      </c>
      <c r="J237" s="313"/>
    </row>
    <row r="238" spans="1:10" s="7" customFormat="1" x14ac:dyDescent="0.25">
      <c r="A238" s="186" t="str">
        <f>IF(B238&gt;0,VLOOKUP(B238,КВСР!A92:B1257,2),IF(C238&gt;0,VLOOKUP(C238,КФСР!A92:B1604,2),IF(D238&gt;0,VLOOKUP(D238,Программа!A$3:B$4988,2),IF(F238&gt;0,VLOOKUP(F238,КВР!A$1:B$5001,2),IF(E238&gt;0,VLOOKUP(E238,Направление!A$1:B$4610,2))))))</f>
        <v>Социальное обеспечение населения</v>
      </c>
      <c r="B238" s="109"/>
      <c r="C238" s="110">
        <v>1003</v>
      </c>
      <c r="D238" s="111"/>
      <c r="E238" s="110"/>
      <c r="F238" s="111"/>
      <c r="G238" s="256">
        <f>G239</f>
        <v>4180019</v>
      </c>
      <c r="H238" s="256">
        <f t="shared" ref="H238" si="90">H240+H244</f>
        <v>3912183.62</v>
      </c>
      <c r="I238" s="256">
        <f t="shared" ref="I238" si="91">I240+I244</f>
        <v>8092202.6200000001</v>
      </c>
      <c r="J238" s="313"/>
    </row>
    <row r="239" spans="1:10" s="7" customFormat="1" x14ac:dyDescent="0.25">
      <c r="A239" s="187" t="str">
        <f>IF(B239&gt;0,VLOOKUP(B239,КВСР!A93:B1258,2),IF(C239&gt;0,VLOOKUP(C239,КФСР!A93:B1605,2),IF(D239&gt;0,VLOOKUP(D239,Программа!A$3:B$4988,2),IF(F239&gt;0,VLOOKUP(F239,КВР!A$1:B$5001,2),IF(E239&gt;0,VLOOKUP(E239,Направление!A$1:B$4610,2))))))</f>
        <v>Программные расходы бюджета</v>
      </c>
      <c r="B239" s="122"/>
      <c r="C239" s="123"/>
      <c r="D239" s="124" t="s">
        <v>634</v>
      </c>
      <c r="E239" s="123"/>
      <c r="F239" s="124"/>
      <c r="G239" s="257">
        <f>G240+G244</f>
        <v>4180019</v>
      </c>
      <c r="H239" s="257">
        <f t="shared" ref="H239" si="92">H240+H244</f>
        <v>3912183.62</v>
      </c>
      <c r="I239" s="257">
        <f t="shared" ref="I239" si="93">I240+I244</f>
        <v>8092202.6200000001</v>
      </c>
      <c r="J239" s="313"/>
    </row>
    <row r="240" spans="1:10" s="7" customFormat="1" ht="63" x14ac:dyDescent="0.25">
      <c r="A240" s="183" t="str">
        <f>IF(B240&gt;0,VLOOKUP(B240,КВСР!A93:B1258,2),IF(C240&gt;0,VLOOKUP(C240,КФСР!A93:B1605,2),IF(D240&gt;0,VLOOKUP(D240,Программа!A$3:B$4988,2),IF(F240&gt;0,VLOOKUP(F240,КВР!A$1:B$5001,2),IF(E240&gt;0,VLOOKUP(E240,Направление!A$1:B$4610,2))))))</f>
        <v xml:space="preserve">Муниципальная программа "Предоставление молодым семьям социальных выплат на приобретение (строительство) жилья" </v>
      </c>
      <c r="B240" s="51"/>
      <c r="C240" s="52"/>
      <c r="D240" s="54" t="s">
        <v>212</v>
      </c>
      <c r="E240" s="52"/>
      <c r="F240" s="54"/>
      <c r="G240" s="240">
        <f>G241</f>
        <v>3910019</v>
      </c>
      <c r="H240" s="239">
        <f t="shared" ref="H240:I241" si="94">H241</f>
        <v>3880391.5</v>
      </c>
      <c r="I240" s="239">
        <f t="shared" si="94"/>
        <v>7790410.5</v>
      </c>
      <c r="J240" s="313"/>
    </row>
    <row r="241" spans="1:10" s="7" customFormat="1" ht="63" x14ac:dyDescent="0.25">
      <c r="A241" s="183" t="str">
        <f>IF(B241&gt;0,VLOOKUP(B241,КВСР!A93:B1258,2),IF(C241&gt;0,VLOOKUP(C241,КФСР!A93:B1605,2),IF(D241&gt;0,VLOOKUP(D241,Программа!A$3:B$4988,2),IF(F241&gt;0,VLOOKUP(F241,КВР!A$1:B$5001,2),IF(E241&gt;0,VLOOKUP(E241,Направление!A$1:B$4610,2))))))</f>
        <v>Поддержка молодых семей в приобретении (строительстве) жилья на территории городского поселения Тутаев</v>
      </c>
      <c r="B241" s="51"/>
      <c r="C241" s="52"/>
      <c r="D241" s="54" t="s">
        <v>213</v>
      </c>
      <c r="E241" s="52"/>
      <c r="F241" s="54"/>
      <c r="G241" s="240">
        <f>G242</f>
        <v>3910019</v>
      </c>
      <c r="H241" s="239">
        <f t="shared" si="94"/>
        <v>3880391.5</v>
      </c>
      <c r="I241" s="239">
        <f t="shared" si="94"/>
        <v>7790410.5</v>
      </c>
      <c r="J241" s="313"/>
    </row>
    <row r="242" spans="1:10" s="7" customFormat="1" ht="47.25" x14ac:dyDescent="0.25">
      <c r="A242" s="183" t="str">
        <f>IF(B242&gt;0,VLOOKUP(B242,КВСР!A94:B1259,2),IF(C242&gt;0,VLOOKUP(C242,КФСР!A94:B1606,2),IF(D242&gt;0,VLOOKUP(D242,Программа!A$3:B$4988,2),IF(F242&gt;0,VLOOKUP(F242,КВР!A$1:B$5001,2),IF(E242&gt;0,VLOOKUP(E242,Направление!A$1:B$4610,2))))))</f>
        <v>Обеспечение  мероприятий по поддержке молодых семей в приобретении (строительстве) жилья</v>
      </c>
      <c r="B242" s="51"/>
      <c r="C242" s="52"/>
      <c r="D242" s="54"/>
      <c r="E242" s="211" t="s">
        <v>783</v>
      </c>
      <c r="F242" s="54"/>
      <c r="G242" s="240">
        <f>G243</f>
        <v>3910019</v>
      </c>
      <c r="H242" s="239">
        <f>H243</f>
        <v>3880391.5</v>
      </c>
      <c r="I242" s="239">
        <f>I243</f>
        <v>7790410.5</v>
      </c>
      <c r="J242" s="313"/>
    </row>
    <row r="243" spans="1:10" s="7" customFormat="1" ht="31.5" x14ac:dyDescent="0.25">
      <c r="A243" s="183" t="str">
        <f>IF(B243&gt;0,VLOOKUP(B243,КВСР!A95:B1260,2),IF(C243&gt;0,VLOOKUP(C243,КФСР!A95:B1607,2),IF(D243&gt;0,VLOOKUP(D243,Программа!A$3:B$4988,2),IF(F243&gt;0,VLOOKUP(F243,КВР!A$1:B$5001,2),IF(E243&gt;0,VLOOKUP(E243,Направление!A$1:B$4610,2))))))</f>
        <v>Социальное обеспечение и иные выплаты населению</v>
      </c>
      <c r="B243" s="51"/>
      <c r="C243" s="52"/>
      <c r="D243" s="54"/>
      <c r="E243" s="52"/>
      <c r="F243" s="54">
        <v>300</v>
      </c>
      <c r="G243" s="246">
        <v>3910019</v>
      </c>
      <c r="H243" s="238">
        <f>1517910.7+844570.32+1517910.48</f>
        <v>3880391.5</v>
      </c>
      <c r="I243" s="238">
        <f t="shared" si="77"/>
        <v>7790410.5</v>
      </c>
      <c r="J243" s="313"/>
    </row>
    <row r="244" spans="1:10" s="7" customFormat="1" ht="78.75" x14ac:dyDescent="0.25">
      <c r="A244" s="183" t="str">
        <f>IF(B244&gt;0,VLOOKUP(B244,КВСР!A96:B1261,2),IF(C244&gt;0,VLOOKUP(C244,КФСР!A96:B1608,2),IF(D244&gt;0,VLOOKUP(D244,Программа!A$3:B$4988,2),IF(F244&gt;0,VLOOKUP(F244,КВР!A$1:B$5001,2),IF(E244&gt;0,VLOOKUP(E244,Направление!A$1:B$4610,2))))))</f>
        <v xml:space="preserve">Муниципальная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v>
      </c>
      <c r="B244" s="51"/>
      <c r="C244" s="52"/>
      <c r="D244" s="54" t="s">
        <v>214</v>
      </c>
      <c r="E244" s="52"/>
      <c r="F244" s="54"/>
      <c r="G244" s="240">
        <v>270000</v>
      </c>
      <c r="H244" s="239">
        <f>H245</f>
        <v>31792.120000000003</v>
      </c>
      <c r="I244" s="239">
        <f t="shared" ref="H244:I246" si="95">I245</f>
        <v>301792.12</v>
      </c>
      <c r="J244" s="313"/>
    </row>
    <row r="245" spans="1:10" s="7" customFormat="1" ht="63" x14ac:dyDescent="0.25">
      <c r="A245" s="183" t="str">
        <f>IF(B245&gt;0,VLOOKUP(B245,КВСР!A97:B1262,2),IF(C245&gt;0,VLOOKUP(C245,КФСР!A97:B1609,2),IF(D245&gt;0,VLOOKUP(D245,Программа!A$3:B$4988,2),IF(F245&gt;0,VLOOKUP(F245,КВР!A$1:B$5001,2),IF(E245&gt;0,VLOOKUP(E245,Направление!A$1:B$4610,2))))))</f>
        <v xml:space="preserve">Поддержка граждан, проживающих на территории городского поселения Тутаев, в сфере ипотечного жилищного кредитования </v>
      </c>
      <c r="B245" s="51"/>
      <c r="C245" s="52"/>
      <c r="D245" s="54" t="s">
        <v>520</v>
      </c>
      <c r="E245" s="52"/>
      <c r="F245" s="54"/>
      <c r="G245" s="240">
        <f>G246+G248</f>
        <v>270000</v>
      </c>
      <c r="H245" s="239">
        <f t="shared" ref="H245:I245" si="96">H246+H248</f>
        <v>31792.120000000003</v>
      </c>
      <c r="I245" s="239">
        <f t="shared" si="96"/>
        <v>301792.12</v>
      </c>
      <c r="J245" s="313"/>
    </row>
    <row r="246" spans="1:10" s="7" customFormat="1" ht="47.25" x14ac:dyDescent="0.25">
      <c r="A246" s="183" t="str">
        <f>IF(B246&gt;0,VLOOKUP(B246,КВСР!A98:B1263,2),IF(C246&gt;0,VLOOKUP(C246,КФСР!A98:B1610,2),IF(D246&gt;0,VLOOKUP(D246,Программа!A$3:B$4988,2),IF(F246&gt;0,VLOOKUP(F246,КВР!A$1:B$5001,2),IF(E246&gt;0,VLOOKUP(E246,Направление!A$1:B$4610,2))))))</f>
        <v>Расходы на обеспечение софинансирования мероприятий в сфере ипотечного кредитования</v>
      </c>
      <c r="B246" s="51"/>
      <c r="C246" s="52"/>
      <c r="D246" s="54"/>
      <c r="E246" s="211">
        <v>21230</v>
      </c>
      <c r="F246" s="54"/>
      <c r="G246" s="240">
        <f>G247</f>
        <v>110000</v>
      </c>
      <c r="H246" s="239">
        <f t="shared" si="95"/>
        <v>9537.65</v>
      </c>
      <c r="I246" s="239">
        <f t="shared" si="95"/>
        <v>119537.65</v>
      </c>
      <c r="J246" s="313"/>
    </row>
    <row r="247" spans="1:10" s="7" customFormat="1" ht="31.5" x14ac:dyDescent="0.25">
      <c r="A247" s="183" t="str">
        <f>IF(B247&gt;0,VLOOKUP(B247,КВСР!A99:B1264,2),IF(C247&gt;0,VLOOKUP(C247,КФСР!A99:B1611,2),IF(D247&gt;0,VLOOKUP(D247,Программа!A$3:B$4988,2),IF(F247&gt;0,VLOOKUP(F247,КВР!A$1:B$5001,2),IF(E247&gt;0,VLOOKUP(E247,Направление!A$1:B$4610,2))))))</f>
        <v>Социальное обеспечение и иные выплаты населению</v>
      </c>
      <c r="B247" s="51"/>
      <c r="C247" s="52"/>
      <c r="D247" s="54"/>
      <c r="E247" s="211"/>
      <c r="F247" s="54">
        <v>300</v>
      </c>
      <c r="G247" s="246">
        <v>110000</v>
      </c>
      <c r="H247" s="238">
        <v>9537.65</v>
      </c>
      <c r="I247" s="238">
        <f t="shared" si="77"/>
        <v>119537.65</v>
      </c>
      <c r="J247" s="313"/>
    </row>
    <row r="248" spans="1:10" s="7" customFormat="1" ht="63" x14ac:dyDescent="0.25">
      <c r="A248" s="183" t="str">
        <f>IF(B248&gt;0,VLOOKUP(B248,КВСР!A100:B1265,2),IF(C248&gt;0,VLOOKUP(C248,КФСР!A100:B1612,2),IF(D248&gt;0,VLOOKUP(D248,Программа!A$3:B$4988,2),IF(F248&gt;0,VLOOKUP(F248,КВР!A$1:B$5001,2),IF(E248&gt;0,VLOOKUP(E248,Направление!A$1:B$4610,2))))))</f>
        <v>Расходы на реализацию задач по государственной поддержке граждан проживающих на территории ЯО, в сфере ипотечного кредитования</v>
      </c>
      <c r="B248" s="51"/>
      <c r="C248" s="52"/>
      <c r="D248" s="54"/>
      <c r="E248" s="211">
        <v>71230</v>
      </c>
      <c r="F248" s="54"/>
      <c r="G248" s="240">
        <f>G249</f>
        <v>160000</v>
      </c>
      <c r="H248" s="239">
        <f>H249</f>
        <v>22254.47</v>
      </c>
      <c r="I248" s="239">
        <f t="shared" si="77"/>
        <v>182254.47</v>
      </c>
      <c r="J248" s="313"/>
    </row>
    <row r="249" spans="1:10" s="7" customFormat="1" ht="31.5" x14ac:dyDescent="0.25">
      <c r="A249" s="183" t="str">
        <f>IF(B249&gt;0,VLOOKUP(B249,КВСР!A101:B1266,2),IF(C249&gt;0,VLOOKUP(C249,КФСР!A101:B1613,2),IF(D249&gt;0,VLOOKUP(D249,Программа!A$3:B$4988,2),IF(F249&gt;0,VLOOKUP(F249,КВР!A$1:B$5001,2),IF(E249&gt;0,VLOOKUP(E249,Направление!A$1:B$4610,2))))))</f>
        <v>Социальное обеспечение и иные выплаты населению</v>
      </c>
      <c r="B249" s="51"/>
      <c r="C249" s="52"/>
      <c r="D249" s="54"/>
      <c r="E249" s="52"/>
      <c r="F249" s="54">
        <v>300</v>
      </c>
      <c r="G249" s="246">
        <v>160000</v>
      </c>
      <c r="H249" s="238">
        <v>22254.47</v>
      </c>
      <c r="I249" s="238">
        <f t="shared" si="77"/>
        <v>182254.47</v>
      </c>
      <c r="J249" s="313"/>
    </row>
    <row r="250" spans="1:10" s="118" customFormat="1" x14ac:dyDescent="0.25">
      <c r="A250" s="184" t="str">
        <f>IF(B250&gt;0,VLOOKUP(B250,КВСР!A102:B1267,2),IF(C250&gt;0,VLOOKUP(C250,КФСР!A102:B1614,2),IF(D250&gt;0,VLOOKUP(D250,Программа!A$3:B$4988,2),IF(F250&gt;0,VLOOKUP(F250,КВР!A$1:B$5001,2),IF(E250&gt;0,VLOOKUP(E250,Направление!A$1:B$4610,2))))))</f>
        <v>Массовый спорт</v>
      </c>
      <c r="B250" s="55"/>
      <c r="C250" s="56">
        <v>1102</v>
      </c>
      <c r="D250" s="58"/>
      <c r="E250" s="56"/>
      <c r="F250" s="58"/>
      <c r="G250" s="256">
        <f>G251</f>
        <v>350000</v>
      </c>
      <c r="H250" s="253">
        <f t="shared" ref="H250:H252" si="97">H251</f>
        <v>104936.35</v>
      </c>
      <c r="I250" s="253">
        <f t="shared" si="77"/>
        <v>454936.35</v>
      </c>
      <c r="J250" s="314"/>
    </row>
    <row r="251" spans="1:10" s="118" customFormat="1" x14ac:dyDescent="0.25">
      <c r="A251" s="182" t="str">
        <f>IF(B251&gt;0,VLOOKUP(B251,КВСР!A103:B1268,2),IF(C251&gt;0,VLOOKUP(C251,КФСР!A103:B1615,2),IF(D251&gt;0,VLOOKUP(D251,Программа!A$3:B$4988,2),IF(F251&gt;0,VLOOKUP(F251,КВР!A$1:B$5001,2),IF(E251&gt;0,VLOOKUP(E251,Направление!A$1:B$4610,2))))))</f>
        <v>Непрограммные расходы бюджета</v>
      </c>
      <c r="B251" s="114"/>
      <c r="C251" s="115"/>
      <c r="D251" s="117" t="s">
        <v>521</v>
      </c>
      <c r="E251" s="115"/>
      <c r="F251" s="117"/>
      <c r="G251" s="257">
        <f>G252</f>
        <v>350000</v>
      </c>
      <c r="H251" s="254">
        <f t="shared" si="97"/>
        <v>104936.35</v>
      </c>
      <c r="I251" s="239">
        <f t="shared" si="77"/>
        <v>454936.35</v>
      </c>
      <c r="J251" s="314"/>
    </row>
    <row r="252" spans="1:10" s="7" customFormat="1" ht="47.25" x14ac:dyDescent="0.25">
      <c r="A252" s="183" t="str">
        <f>IF(B252&gt;0,VLOOKUP(B252,КВСР!A104:B1269,2),IF(C252&gt;0,VLOOKUP(C252,КФСР!A104:B1616,2),IF(D252&gt;0,VLOOKUP(D252,Программа!A$3:B$4988,2),IF(F252&gt;0,VLOOKUP(F252,КВР!A$1:B$5001,2),IF(E252&gt;0,VLOOKUP(E252,Направление!A$1:B$4610,2))))))</f>
        <v>Межбюджетные трансферты на обеспечение  физкультурно-спортивных мероприятий</v>
      </c>
      <c r="B252" s="51"/>
      <c r="C252" s="52"/>
      <c r="D252" s="54"/>
      <c r="E252" s="52">
        <v>29226</v>
      </c>
      <c r="F252" s="54"/>
      <c r="G252" s="240">
        <f>G253</f>
        <v>350000</v>
      </c>
      <c r="H252" s="239">
        <f t="shared" si="97"/>
        <v>104936.35</v>
      </c>
      <c r="I252" s="239">
        <f t="shared" si="77"/>
        <v>454936.35</v>
      </c>
      <c r="J252" s="313"/>
    </row>
    <row r="253" spans="1:10" s="7" customFormat="1" x14ac:dyDescent="0.25">
      <c r="A253" s="183" t="str">
        <f>IF(B253&gt;0,VLOOKUP(B253,КВСР!A105:B1270,2),IF(C253&gt;0,VLOOKUP(C253,КФСР!A105:B1617,2),IF(D253&gt;0,VLOOKUP(D253,Программа!A$3:B$4988,2),IF(F253&gt;0,VLOOKUP(F253,КВР!A$1:B$5001,2),IF(E253&gt;0,VLOOKUP(E253,Направление!A$1:B$4610,2))))))</f>
        <v xml:space="preserve"> Межбюджетные трансферты</v>
      </c>
      <c r="B253" s="51"/>
      <c r="C253" s="52"/>
      <c r="D253" s="54"/>
      <c r="E253" s="52"/>
      <c r="F253" s="54">
        <v>500</v>
      </c>
      <c r="G253" s="246">
        <v>350000</v>
      </c>
      <c r="H253" s="238">
        <v>104936.35</v>
      </c>
      <c r="I253" s="238">
        <f t="shared" si="77"/>
        <v>454936.35</v>
      </c>
      <c r="J253" s="313"/>
    </row>
    <row r="254" spans="1:10" s="7" customFormat="1" ht="31.5" x14ac:dyDescent="0.25">
      <c r="A254" s="184" t="str">
        <f>IF(B254&gt;0,VLOOKUP(B254,КВСР!A100:B1265,2),IF(C254&gt;0,VLOOKUP(C254,КФСР!A100:B1612,2),IF(D254&gt;0,VLOOKUP(D254,Программа!A$3:B$4988,2),IF(F254&gt;0,VLOOKUP(F254,КВР!A$1:B$5001,2),IF(E254&gt;0,VLOOKUP(E254,Направление!A$1:B$4610,2))))))</f>
        <v>Обслуживание государственного (муниципального) внутреннего долга</v>
      </c>
      <c r="B254" s="55"/>
      <c r="C254" s="56">
        <v>1301</v>
      </c>
      <c r="D254" s="58"/>
      <c r="E254" s="56"/>
      <c r="F254" s="58"/>
      <c r="G254" s="256">
        <f>G255</f>
        <v>340000</v>
      </c>
      <c r="H254" s="253">
        <f t="shared" ref="H254:I256" si="98">H255</f>
        <v>98930.14</v>
      </c>
      <c r="I254" s="253">
        <f t="shared" si="98"/>
        <v>438930.14</v>
      </c>
      <c r="J254" s="313"/>
    </row>
    <row r="255" spans="1:10" s="118" customFormat="1" x14ac:dyDescent="0.25">
      <c r="A255" s="182" t="str">
        <f>IF(B255&gt;0,VLOOKUP(B255,КВСР!A101:B1266,2),IF(C255&gt;0,VLOOKUP(C255,КФСР!A101:B1613,2),IF(D255&gt;0,VLOOKUP(D255,Программа!A$3:B$4988,2),IF(F255&gt;0,VLOOKUP(F255,КВР!A$1:B$5001,2),IF(E255&gt;0,VLOOKUP(E255,Направление!A$1:B$4610,2))))))</f>
        <v>Непрограммные расходы бюджета</v>
      </c>
      <c r="B255" s="114"/>
      <c r="C255" s="115"/>
      <c r="D255" s="117" t="s">
        <v>521</v>
      </c>
      <c r="E255" s="115"/>
      <c r="F255" s="117"/>
      <c r="G255" s="257">
        <f>G256</f>
        <v>340000</v>
      </c>
      <c r="H255" s="254">
        <f t="shared" si="98"/>
        <v>98930.14</v>
      </c>
      <c r="I255" s="254">
        <f t="shared" si="98"/>
        <v>438930.14</v>
      </c>
      <c r="J255" s="314"/>
    </row>
    <row r="256" spans="1:10" s="7" customFormat="1" ht="31.5" x14ac:dyDescent="0.25">
      <c r="A256" s="183" t="str">
        <f>IF(B256&gt;0,VLOOKUP(B256,КВСР!A102:B1267,2),IF(C256&gt;0,VLOOKUP(C256,КФСР!A102:B1614,2),IF(D256&gt;0,VLOOKUP(D256,Программа!A$3:B$4988,2),IF(F256&gt;0,VLOOKUP(F256,КВР!A$1:B$5001,2),IF(E256&gt;0,VLOOKUP(E256,Направление!A$1:B$4610,2))))))</f>
        <v>Обслуживание внутренних долговых обязательств</v>
      </c>
      <c r="B256" s="51"/>
      <c r="C256" s="52"/>
      <c r="D256" s="54"/>
      <c r="E256" s="52">
        <v>20050</v>
      </c>
      <c r="F256" s="54"/>
      <c r="G256" s="240">
        <f>G257</f>
        <v>340000</v>
      </c>
      <c r="H256" s="239">
        <f>H257</f>
        <v>98930.14</v>
      </c>
      <c r="I256" s="239">
        <f t="shared" si="98"/>
        <v>438930.14</v>
      </c>
      <c r="J256" s="313"/>
    </row>
    <row r="257" spans="1:10" s="7" customFormat="1" ht="31.5" x14ac:dyDescent="0.25">
      <c r="A257" s="183" t="str">
        <f>IF(B257&gt;0,VLOOKUP(B257,КВСР!A103:B1268,2),IF(C257&gt;0,VLOOKUP(C257,КФСР!A103:B1615,2),IF(D257&gt;0,VLOOKUP(D257,Программа!A$3:B$4988,2),IF(F257&gt;0,VLOOKUP(F257,КВР!A$1:B$5001,2),IF(E257&gt;0,VLOOKUP(E257,Направление!A$1:B$4610,2))))))</f>
        <v>Обслуживание государственного долга Российской Федерации</v>
      </c>
      <c r="B257" s="51"/>
      <c r="C257" s="52"/>
      <c r="D257" s="54"/>
      <c r="E257" s="52"/>
      <c r="F257" s="54">
        <v>700</v>
      </c>
      <c r="G257" s="246">
        <v>340000</v>
      </c>
      <c r="H257" s="238">
        <v>98930.14</v>
      </c>
      <c r="I257" s="238">
        <f t="shared" si="77"/>
        <v>438930.14</v>
      </c>
      <c r="J257" s="313"/>
    </row>
    <row r="258" spans="1:10" s="7" customFormat="1" ht="31.5" x14ac:dyDescent="0.25">
      <c r="A258" s="180" t="str">
        <f>IF(B258&gt;0,VLOOKUP(B258,КВСР!A95:B1260,2),IF(C258&gt;0,VLOOKUP(C258,КФСР!A95:B1607,2),IF(D258&gt;0,VLOOKUP(D258,Программа!A$3:B$4988,2),IF(F258&gt;0,VLOOKUP(F258,КВР!A$1:B$5001,2),IF(E258&gt;0,VLOOKUP(E258,Направление!A$1:B$4610,2))))))</f>
        <v>Муниципальный Совет городского поселения Тутаев</v>
      </c>
      <c r="B258" s="100">
        <v>993</v>
      </c>
      <c r="C258" s="104"/>
      <c r="D258" s="105"/>
      <c r="E258" s="104"/>
      <c r="F258" s="105"/>
      <c r="G258" s="269">
        <f>G259</f>
        <v>1024716</v>
      </c>
      <c r="H258" s="269">
        <f t="shared" ref="H258:I261" si="99">H259</f>
        <v>746513.02</v>
      </c>
      <c r="I258" s="269">
        <f t="shared" si="99"/>
        <v>1771229.02</v>
      </c>
      <c r="J258" s="313"/>
    </row>
    <row r="259" spans="1:10" s="7" customFormat="1" ht="94.5" x14ac:dyDescent="0.25">
      <c r="A259" s="184" t="str">
        <f>IF(B259&gt;0,VLOOKUP(B259,КВСР!A106:B1271,2),IF(C259&gt;0,VLOOKUP(C259,КФСР!A106:B1618,2),IF(D259&gt;0,VLOOKUP(D259,Программа!A$3:B$4988,2),IF(F259&gt;0,VLOOKUP(F259,КВР!A$1:B$5001,2),IF(E259&gt;0,VLOOKUP(E259,Направление!A$1:B$4610,2))))))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259" s="55"/>
      <c r="C259" s="56">
        <v>103</v>
      </c>
      <c r="D259" s="57"/>
      <c r="E259" s="56"/>
      <c r="F259" s="58"/>
      <c r="G259" s="306">
        <f>G260</f>
        <v>1024716</v>
      </c>
      <c r="H259" s="270">
        <f t="shared" si="99"/>
        <v>746513.02</v>
      </c>
      <c r="I259" s="270">
        <f t="shared" si="99"/>
        <v>1771229.02</v>
      </c>
      <c r="J259" s="313"/>
    </row>
    <row r="260" spans="1:10" s="118" customFormat="1" x14ac:dyDescent="0.25">
      <c r="A260" s="182" t="str">
        <f>IF(B260&gt;0,VLOOKUP(B260,КВСР!A107:B1272,2),IF(C260&gt;0,VLOOKUP(C260,КФСР!A107:B1619,2),IF(D260&gt;0,VLOOKUP(D260,Программа!A$3:B$4988,2),IF(F260&gt;0,VLOOKUP(F260,КВР!A$1:B$5001,2),IF(E260&gt;0,VLOOKUP(E260,Направление!A$1:B$4610,2))))))</f>
        <v>Непрограммные расходы бюджета</v>
      </c>
      <c r="B260" s="114"/>
      <c r="C260" s="115"/>
      <c r="D260" s="116" t="s">
        <v>521</v>
      </c>
      <c r="E260" s="115"/>
      <c r="F260" s="117"/>
      <c r="G260" s="307">
        <f>G261</f>
        <v>1024716</v>
      </c>
      <c r="H260" s="271">
        <f t="shared" si="99"/>
        <v>746513.02</v>
      </c>
      <c r="I260" s="271">
        <f t="shared" si="99"/>
        <v>1771229.02</v>
      </c>
      <c r="J260" s="314"/>
    </row>
    <row r="261" spans="1:10" s="7" customFormat="1" ht="47.25" x14ac:dyDescent="0.25">
      <c r="A261" s="183" t="str">
        <f>IF(B261&gt;0,VLOOKUP(B261,КВСР!A108:B1273,2),IF(C261&gt;0,VLOOKUP(C261,КФСР!A108:B1620,2),IF(D261&gt;0,VLOOKUP(D261,Программа!A$3:B$4988,2),IF(F261&gt;0,VLOOKUP(F261,КВР!A$1:B$5001,2),IF(E261&gt;0,VLOOKUP(E261,Направление!A$1:B$4610,2))))))</f>
        <v>Содержание Председателя Муниципального Совета городского поселения Тутаев</v>
      </c>
      <c r="B261" s="51"/>
      <c r="C261" s="52"/>
      <c r="D261" s="53"/>
      <c r="E261" s="52">
        <v>20010</v>
      </c>
      <c r="F261" s="54"/>
      <c r="G261" s="308">
        <f>G262</f>
        <v>1024716</v>
      </c>
      <c r="H261" s="272">
        <f t="shared" si="99"/>
        <v>746513.02</v>
      </c>
      <c r="I261" s="272">
        <f t="shared" si="99"/>
        <v>1771229.02</v>
      </c>
      <c r="J261" s="313"/>
    </row>
    <row r="262" spans="1:10" s="7" customFormat="1" ht="126" x14ac:dyDescent="0.25">
      <c r="A262" s="183" t="str">
        <f>IF(B262&gt;0,VLOOKUP(B262,КВСР!A109:B1274,2),IF(C262&gt;0,VLOOKUP(C262,КФСР!A109:B1621,2),IF(D262&gt;0,VLOOKUP(D262,Программа!A$3:B$4988,2),IF(F262&gt;0,VLOOKUP(F262,КВР!A$1:B$5001,2),IF(E262&gt;0,VLOOKUP(E262,Направление!A$1:B$4610,2))))))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2" s="51"/>
      <c r="C262" s="52"/>
      <c r="D262" s="53"/>
      <c r="E262" s="52"/>
      <c r="F262" s="54">
        <v>100</v>
      </c>
      <c r="G262" s="246">
        <v>1024716</v>
      </c>
      <c r="H262" s="238">
        <v>746513.02</v>
      </c>
      <c r="I262" s="238">
        <f t="shared" si="77"/>
        <v>1771229.02</v>
      </c>
      <c r="J262" s="313"/>
    </row>
    <row r="263" spans="1:10" x14ac:dyDescent="0.25">
      <c r="A263" s="188" t="s">
        <v>61</v>
      </c>
      <c r="B263" s="106"/>
      <c r="C263" s="106"/>
      <c r="D263" s="107"/>
      <c r="E263" s="108"/>
      <c r="F263" s="106"/>
      <c r="G263" s="273">
        <v>516373825</v>
      </c>
      <c r="H263" s="273">
        <f>H258+H10</f>
        <v>273447991.85000002</v>
      </c>
      <c r="I263" s="273">
        <f>I258+I10</f>
        <v>789821816.85000002</v>
      </c>
    </row>
  </sheetData>
  <autoFilter ref="F1:F263"/>
  <mergeCells count="13">
    <mergeCell ref="I8:I9"/>
    <mergeCell ref="A6:I6"/>
    <mergeCell ref="G8:G9"/>
    <mergeCell ref="A8:A9"/>
    <mergeCell ref="B8:B9"/>
    <mergeCell ref="C8:C9"/>
    <mergeCell ref="F8:F9"/>
    <mergeCell ref="D8:E8"/>
    <mergeCell ref="A1:H1"/>
    <mergeCell ref="A2:H2"/>
    <mergeCell ref="A3:H3"/>
    <mergeCell ref="A4:H4"/>
    <mergeCell ref="H8:H9"/>
  </mergeCells>
  <printOptions gridLinesSet="0"/>
  <pageMargins left="0.70866141732283472" right="0.70866141732283472" top="0.74803149606299213" bottom="0.74803149606299213" header="0.51181102362204722" footer="0.51181102362204722"/>
  <pageSetup paperSize="9" scale="82" fitToHeight="15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"/>
  <sheetViews>
    <sheetView showGridLines="0" view="pageBreakPreview" topLeftCell="B1" zoomScale="115" zoomScaleSheetLayoutView="115" workbookViewId="0">
      <selection activeCell="B5" sqref="B5"/>
    </sheetView>
  </sheetViews>
  <sheetFormatPr defaultColWidth="9.140625" defaultRowHeight="15" x14ac:dyDescent="0.2"/>
  <cols>
    <col min="1" max="1" width="6" style="242" hidden="1" customWidth="1"/>
    <col min="2" max="2" width="49" style="283" customWidth="1"/>
    <col min="3" max="3" width="14.42578125" style="285" customWidth="1"/>
    <col min="4" max="4" width="13" style="413" hidden="1" customWidth="1"/>
    <col min="5" max="5" width="16" style="413" customWidth="1"/>
    <col min="6" max="6" width="14" style="414" hidden="1" customWidth="1"/>
    <col min="7" max="7" width="12.5703125" style="241" customWidth="1"/>
    <col min="8" max="8" width="9.140625" style="241"/>
    <col min="9" max="9" width="10.85546875" style="241" bestFit="1" customWidth="1"/>
    <col min="10" max="16384" width="9.140625" style="241"/>
  </cols>
  <sheetData>
    <row r="1" spans="1:6" ht="15.75" x14ac:dyDescent="0.25">
      <c r="A1" s="428" t="s">
        <v>728</v>
      </c>
      <c r="B1" s="436" t="s">
        <v>920</v>
      </c>
      <c r="C1" s="436"/>
      <c r="D1" s="436"/>
      <c r="E1" s="436"/>
      <c r="F1" s="437"/>
    </row>
    <row r="2" spans="1:6" ht="15.75" x14ac:dyDescent="0.25">
      <c r="A2" s="428" t="s">
        <v>506</v>
      </c>
      <c r="B2" s="438" t="s">
        <v>894</v>
      </c>
      <c r="C2" s="438"/>
      <c r="D2" s="438"/>
      <c r="E2" s="439"/>
      <c r="F2" s="439"/>
    </row>
    <row r="3" spans="1:6" ht="15.75" x14ac:dyDescent="0.25">
      <c r="A3" s="428" t="s">
        <v>498</v>
      </c>
      <c r="B3" s="438" t="s">
        <v>895</v>
      </c>
      <c r="C3" s="438"/>
      <c r="D3" s="438"/>
      <c r="E3" s="439"/>
      <c r="F3" s="439"/>
    </row>
    <row r="4" spans="1:6" ht="15.75" x14ac:dyDescent="0.25">
      <c r="A4" s="429" t="s">
        <v>879</v>
      </c>
      <c r="B4" s="438" t="s">
        <v>925</v>
      </c>
      <c r="C4" s="438"/>
      <c r="D4" s="438"/>
      <c r="E4" s="438"/>
      <c r="F4" s="438"/>
    </row>
    <row r="5" spans="1:6" x14ac:dyDescent="0.2">
      <c r="A5" s="289"/>
      <c r="B5" s="274"/>
      <c r="C5" s="275"/>
      <c r="D5" s="492"/>
      <c r="E5" s="492"/>
      <c r="F5" s="492"/>
    </row>
    <row r="6" spans="1:6" ht="48" customHeight="1" x14ac:dyDescent="0.2">
      <c r="A6" s="497" t="s">
        <v>919</v>
      </c>
      <c r="B6" s="497"/>
      <c r="C6" s="497"/>
      <c r="D6" s="497"/>
      <c r="E6" s="497"/>
      <c r="F6" s="497"/>
    </row>
    <row r="7" spans="1:6" ht="15.75" thickBot="1" x14ac:dyDescent="0.25">
      <c r="A7" s="289"/>
      <c r="B7" s="274"/>
      <c r="C7" s="275"/>
      <c r="D7" s="491"/>
      <c r="E7" s="491"/>
      <c r="F7" s="491"/>
    </row>
    <row r="8" spans="1:6" ht="13.5" thickBot="1" x14ac:dyDescent="0.25">
      <c r="A8" s="495" t="s">
        <v>217</v>
      </c>
      <c r="B8" s="496" t="s">
        <v>218</v>
      </c>
      <c r="C8" s="496" t="s">
        <v>219</v>
      </c>
      <c r="D8" s="493" t="s">
        <v>922</v>
      </c>
      <c r="E8" s="493" t="s">
        <v>884</v>
      </c>
      <c r="F8" s="494" t="s">
        <v>897</v>
      </c>
    </row>
    <row r="9" spans="1:6" ht="49.7" customHeight="1" thickBot="1" x14ac:dyDescent="0.25">
      <c r="A9" s="495"/>
      <c r="B9" s="496"/>
      <c r="C9" s="496"/>
      <c r="D9" s="493"/>
      <c r="E9" s="493"/>
      <c r="F9" s="494"/>
    </row>
    <row r="10" spans="1:6" s="245" customFormat="1" ht="57.75" thickBot="1" x14ac:dyDescent="0.25">
      <c r="A10" s="290">
        <v>1</v>
      </c>
      <c r="B10" s="276" t="str">
        <f>IF(C10&gt;0,VLOOKUP(C10,Программа!A$5:B$4988,2))</f>
        <v xml:space="preserve">Муниципальная программа "Формирование современной городской среды на территории городского поселения Тутаев"
</v>
      </c>
      <c r="C10" s="277" t="s">
        <v>202</v>
      </c>
      <c r="D10" s="406">
        <f>SUMIFS(Пр6!G$10:G$689,Пр6!$D$10:$D$689,C10)</f>
        <v>117636042</v>
      </c>
      <c r="E10" s="407">
        <f>SUMIFS(Пр6!H$10:H$689,Пр6!$D$10:$D$689,C10)</f>
        <v>109723300.51000001</v>
      </c>
      <c r="F10" s="408">
        <f>E10/D10*100</f>
        <v>93.273539847591962</v>
      </c>
    </row>
    <row r="11" spans="1:6" s="244" customFormat="1" ht="30.75" thickBot="1" x14ac:dyDescent="0.25">
      <c r="A11" s="291" t="s">
        <v>220</v>
      </c>
      <c r="B11" s="278" t="str">
        <f>IF(C11&gt;0,VLOOKUP(C11,Программа!A$5:B$4988,2))</f>
        <v>Повышение уровня благоустройства дворовых территорий</v>
      </c>
      <c r="C11" s="279" t="s">
        <v>513</v>
      </c>
      <c r="D11" s="409">
        <f>SUMIFS(Пр6!G$10:G$689,Пр6!$D$10:$D$689,C11)</f>
        <v>7219409</v>
      </c>
      <c r="E11" s="409">
        <f>SUMIFS(Пр6!H$10:H$689,Пр6!$D$10:$D$689,C11)</f>
        <v>5900276.6199999992</v>
      </c>
      <c r="F11" s="408">
        <f t="shared" ref="F11:F55" si="0">E11/D11*100</f>
        <v>81.727972746799622</v>
      </c>
    </row>
    <row r="12" spans="1:6" ht="35.25" hidden="1" customHeight="1" thickBot="1" x14ac:dyDescent="0.25">
      <c r="A12" s="292" t="s">
        <v>221</v>
      </c>
      <c r="B12" s="278" t="str">
        <f>IF(C12&gt;0,VLOOKUP(C12,Программа!A$5:B$4988,2))</f>
        <v>Повышение  уровня благоустройства  мест массового отдыха  населения (городских парков)</v>
      </c>
      <c r="C12" s="279" t="s">
        <v>515</v>
      </c>
      <c r="D12" s="409">
        <f>SUMIFS(Пр6!G$10:G$689,Пр6!$D$10:$D$689,C12)</f>
        <v>0</v>
      </c>
      <c r="E12" s="409">
        <f>SUMIFS(Пр6!H$10:H$689,Пр6!$D$10:$D$689,C12)</f>
        <v>0</v>
      </c>
      <c r="F12" s="408" t="e">
        <f t="shared" si="0"/>
        <v>#DIV/0!</v>
      </c>
    </row>
    <row r="13" spans="1:6" ht="45.75" thickBot="1" x14ac:dyDescent="0.25">
      <c r="A13" s="292"/>
      <c r="B13" s="278" t="str">
        <f>IF(C13&gt;0,VLOOKUP(C13,Программа!A$5:B$4988,2))</f>
        <v>Реализация проектов создания комфортной городской среды в малых городах и исторических поселениях</v>
      </c>
      <c r="C13" s="279" t="s">
        <v>677</v>
      </c>
      <c r="D13" s="409">
        <f>SUMIFS(Пр6!G$10:G$689,Пр6!$D$10:$D$689,C13)</f>
        <v>3655627</v>
      </c>
      <c r="E13" s="409">
        <f>SUMIFS(Пр6!H$10:H$689,Пр6!$D$10:$D$689,C13)</f>
        <v>435846.40000000002</v>
      </c>
      <c r="F13" s="408">
        <f t="shared" si="0"/>
        <v>11.922616831531228</v>
      </c>
    </row>
    <row r="14" spans="1:6" ht="30.75" thickBot="1" x14ac:dyDescent="0.25">
      <c r="A14" s="292"/>
      <c r="B14" s="278" t="str">
        <f>IF(C14&gt;0,VLOOKUP(C14,Программа!A$5:B$4988,2))</f>
        <v>Реализация   проекта "Формирование комфортной городской среды"</v>
      </c>
      <c r="C14" s="279" t="s">
        <v>678</v>
      </c>
      <c r="D14" s="409">
        <f>SUMIFS(Пр6!G$10:G$689,Пр6!$D$10:$D$689,C14)</f>
        <v>106761006</v>
      </c>
      <c r="E14" s="409">
        <f>SUMIFS(Пр6!H$10:H$689,Пр6!$D$10:$D$689,C14)</f>
        <v>103387177.49000001</v>
      </c>
      <c r="F14" s="408">
        <f t="shared" si="0"/>
        <v>96.839830724337688</v>
      </c>
    </row>
    <row r="15" spans="1:6" s="245" customFormat="1" ht="43.5" thickBot="1" x14ac:dyDescent="0.25">
      <c r="A15" s="290" t="s">
        <v>222</v>
      </c>
      <c r="B15" s="276" t="str">
        <f>IF(C15&gt;0,VLOOKUP(C15,Программа!A$5:B$4988,2))</f>
        <v>Муниципальная программа "Благоустройство и озеленение территории городского поселения Тутаев"</v>
      </c>
      <c r="C15" s="277" t="s">
        <v>198</v>
      </c>
      <c r="D15" s="406">
        <f>SUMIFS(Пр6!G$10:G$689,Пр6!$D$10:$D$689,C15)</f>
        <v>60485780.600000001</v>
      </c>
      <c r="E15" s="407">
        <f>SUMIFS(Пр6!H$10:H$689,Пр6!$D$10:$D$689,C15)</f>
        <v>16690941.93</v>
      </c>
      <c r="F15" s="408">
        <f t="shared" si="0"/>
        <v>27.594819417772381</v>
      </c>
    </row>
    <row r="16" spans="1:6" s="244" customFormat="1" ht="30.75" thickBot="1" x14ac:dyDescent="0.25">
      <c r="A16" s="293" t="s">
        <v>223</v>
      </c>
      <c r="B16" s="278" t="str">
        <f>IF(C16&gt;0,VLOOKUP(C16,Программа!A$5:B$4988,2))</f>
        <v>Благоустройство и озеленение  территории городского поселения Тутаев</v>
      </c>
      <c r="C16" s="279" t="s">
        <v>514</v>
      </c>
      <c r="D16" s="409">
        <f>SUMIFS(Пр6!G$10:G$689,Пр6!$D$10:$D$689,C16)</f>
        <v>26712486.600000001</v>
      </c>
      <c r="E16" s="409">
        <f>SUMIFS(Пр6!H$10:H$689,Пр6!$D$10:$D$689,C16)</f>
        <v>16207601.199999999</v>
      </c>
      <c r="F16" s="408">
        <f t="shared" si="0"/>
        <v>60.674251119699193</v>
      </c>
    </row>
    <row r="17" spans="1:6" ht="45.75" thickBot="1" x14ac:dyDescent="0.25">
      <c r="A17" s="294" t="s">
        <v>224</v>
      </c>
      <c r="B17" s="278" t="str">
        <f>IF(C17&gt;0,VLOOKUP(C17,Программа!A$5:B$4988,2))</f>
        <v>Реализация мероприятий губернаторского проекта "Решаем вместе!" (приоритетные проекты пл. Юбилейная)</v>
      </c>
      <c r="C17" s="279" t="s">
        <v>516</v>
      </c>
      <c r="D17" s="409">
        <f>SUMIFS(Пр6!G$10:G$689,Пр6!$D$10:$D$689,C17)</f>
        <v>33116430</v>
      </c>
      <c r="E17" s="409">
        <f>SUMIFS(Пр6!H$10:H$689,Пр6!$D$10:$D$689,C17)</f>
        <v>94379.4</v>
      </c>
      <c r="F17" s="408">
        <f t="shared" si="0"/>
        <v>0.28499267584096472</v>
      </c>
    </row>
    <row r="18" spans="1:6" ht="23.25" customHeight="1" thickBot="1" x14ac:dyDescent="0.25">
      <c r="A18" s="294" t="s">
        <v>225</v>
      </c>
      <c r="B18" s="278" t="str">
        <f>IF(C18&gt;0,VLOOKUP(C18,Программа!A$5:B$4988,2))</f>
        <v>Содержание и благоустройство мест захоронений</v>
      </c>
      <c r="C18" s="279" t="s">
        <v>579</v>
      </c>
      <c r="D18" s="409">
        <f>SUMIFS(Пр6!G$10:G$689,Пр6!$D$10:$D$689,C18)</f>
        <v>656864</v>
      </c>
      <c r="E18" s="409">
        <f>SUMIFS(Пр6!H$10:H$689,Пр6!$D$10:$D$689,C18)</f>
        <v>388961.33</v>
      </c>
      <c r="F18" s="408">
        <f t="shared" si="0"/>
        <v>59.214895320796998</v>
      </c>
    </row>
    <row r="19" spans="1:6" s="245" customFormat="1" ht="45.95" customHeight="1" thickBot="1" x14ac:dyDescent="0.25">
      <c r="A19" s="295"/>
      <c r="B19" s="276" t="str">
        <f>IF(C19&gt;0,VLOOKUP(C19,Программа!A$5:B$4988,2))</f>
        <v xml:space="preserve">Муниципальная программа "Развитие и содержание дорожного хозяйства на территории  городского поселения Тутаев"
</v>
      </c>
      <c r="C19" s="277" t="s">
        <v>200</v>
      </c>
      <c r="D19" s="406">
        <f>SUMIFS(Пр6!G$10:G$689,Пр6!$D$10:$D$689,C19)</f>
        <v>97130318</v>
      </c>
      <c r="E19" s="406">
        <f>SUMIFS(Пр6!H$10:H$689,Пр6!$D$10:$D$689,C19)</f>
        <v>33996019.329999998</v>
      </c>
      <c r="F19" s="408">
        <f t="shared" si="0"/>
        <v>35.00042008510669</v>
      </c>
    </row>
    <row r="20" spans="1:6" s="244" customFormat="1" ht="30.75" thickBot="1" x14ac:dyDescent="0.25">
      <c r="A20" s="291"/>
      <c r="B20" s="278" t="str">
        <f>IF(C20&gt;0,VLOOKUP(C20,Программа!A$5:B$4988,2))</f>
        <v xml:space="preserve"> Дорожная деятельность в отношении дорожной сети   городского поселения Тутаев </v>
      </c>
      <c r="C20" s="279" t="s">
        <v>519</v>
      </c>
      <c r="D20" s="409">
        <f>SUMIFS(Пр6!G$10:G$689,Пр6!$D$10:$D$689,C20)</f>
        <v>52685318</v>
      </c>
      <c r="E20" s="409">
        <f>SUMIFS(Пр6!H$10:H$689,Пр6!$D$10:$D$689,C20)</f>
        <v>33996019.329999998</v>
      </c>
      <c r="F20" s="408">
        <f t="shared" si="0"/>
        <v>64.526552406877371</v>
      </c>
    </row>
    <row r="21" spans="1:6" ht="45.75" hidden="1" thickBot="1" x14ac:dyDescent="0.25">
      <c r="A21" s="292"/>
      <c r="B21" s="278" t="str">
        <f>IF(C21&gt;0,VLOOKUP(C21,Программа!A$5:B$4988,2))</f>
        <v>Реализация мероприятий губернаторского проекта "Решаем вместе!" (инициативное бюджетирование)</v>
      </c>
      <c r="C21" s="279" t="s">
        <v>522</v>
      </c>
      <c r="D21" s="409">
        <f>SUMIFS(Пр6!G$10:G$689,Пр6!$D$10:$D$689,C21)</f>
        <v>0</v>
      </c>
      <c r="E21" s="409">
        <f>SUMIFS(Пр6!H$10:H$689,Пр6!$D$10:$D$689,C21)</f>
        <v>0</v>
      </c>
      <c r="F21" s="408" t="e">
        <f t="shared" si="0"/>
        <v>#DIV/0!</v>
      </c>
    </row>
    <row r="22" spans="1:6" ht="15.75" hidden="1" thickBot="1" x14ac:dyDescent="0.25">
      <c r="A22" s="292"/>
      <c r="B22" s="278" t="str">
        <f>IF(C22&gt;0,VLOOKUP(C22,Программа!A$5:B$4988,2))</f>
        <v>Федеральный проект "Дорожная сеть"</v>
      </c>
      <c r="C22" s="279" t="s">
        <v>720</v>
      </c>
      <c r="D22" s="409">
        <f>SUMIFS(Пр6!G$10:G$689,Пр6!$D$10:$D$689,C22)</f>
        <v>44445000</v>
      </c>
      <c r="E22" s="409">
        <f>SUMIFS(Пр6!H$10:H$689,Пр6!$D$10:$D$689,C22)</f>
        <v>0</v>
      </c>
      <c r="F22" s="408">
        <f t="shared" si="0"/>
        <v>0</v>
      </c>
    </row>
    <row r="23" spans="1:6" s="245" customFormat="1" ht="57.75" hidden="1" thickBot="1" x14ac:dyDescent="0.25">
      <c r="A23" s="295"/>
      <c r="B23" s="276" t="str">
        <f>IF(C23&gt;0,VLOOKUP(C23,Программа!A$5:B$4988,2))</f>
        <v>Муниципальная программа "Развитие субъектов малого и среднего предпринимательства городского поселения Тутаев"</v>
      </c>
      <c r="C23" s="277" t="s">
        <v>208</v>
      </c>
      <c r="D23" s="406">
        <f>SUMIFS(Пр6!G$10:G$689,Пр6!$D$10:$D$689,C23)</f>
        <v>0</v>
      </c>
      <c r="E23" s="406">
        <f>SUMIFS(Пр6!H$10:H$689,Пр6!$D$10:$D$689,C23)</f>
        <v>0</v>
      </c>
      <c r="F23" s="408" t="e">
        <f t="shared" si="0"/>
        <v>#DIV/0!</v>
      </c>
    </row>
    <row r="24" spans="1:6" ht="45.75" hidden="1" thickBot="1" x14ac:dyDescent="0.25">
      <c r="A24" s="292"/>
      <c r="B24" s="278" t="str">
        <f>IF(C24&gt;0,VLOOKUP(C24,Программа!A$5:B$4988,2))</f>
        <v>Предоставление поддержки  субъектам малого и среднего предпринимательства городского поселения Тутаев</v>
      </c>
      <c r="C24" s="280" t="s">
        <v>209</v>
      </c>
      <c r="D24" s="409">
        <f>SUMIFS(Пр6!G$10:G$689,Пр6!$D$10:$D$689,C24)</f>
        <v>0</v>
      </c>
      <c r="E24" s="409">
        <f>SUMIFS(Пр6!H$10:H$689,Пр6!$D$10:$D$689,C24)</f>
        <v>0</v>
      </c>
      <c r="F24" s="408" t="e">
        <f t="shared" si="0"/>
        <v>#DIV/0!</v>
      </c>
    </row>
    <row r="25" spans="1:6" ht="45.75" hidden="1" thickBot="1" x14ac:dyDescent="0.25">
      <c r="A25" s="292"/>
      <c r="B25" s="278" t="str">
        <f>IF(C25&gt;0,VLOOKUP(C25,Программа!A$5:B$4988,2))</f>
        <v>Реализации мероприятий по развитию инвестиционной привлекательности в монопрофильных муниципальных образованиях</v>
      </c>
      <c r="C25" s="280" t="s">
        <v>807</v>
      </c>
      <c r="D25" s="409">
        <f>SUMIFS(Пр6!G$10:G$689,Пр6!$D$10:$D$689,C25)</f>
        <v>0</v>
      </c>
      <c r="E25" s="409">
        <f>SUMIFS(Пр6!H$10:H$689,Пр6!$D$10:$D$689,C25)</f>
        <v>0</v>
      </c>
      <c r="F25" s="408" t="e">
        <f t="shared" si="0"/>
        <v>#DIV/0!</v>
      </c>
    </row>
    <row r="26" spans="1:6" s="245" customFormat="1" ht="72" hidden="1" thickBot="1" x14ac:dyDescent="0.25">
      <c r="A26" s="295"/>
      <c r="B26" s="276" t="str">
        <f>IF(C26&gt;0,VLOOKUP(C26,Программа!A$5:B$4988,2))</f>
        <v>Муниципальная   программа "Переселение граждан из  жилищного фонда, признанного непригодным для проживания, и (или)  жилищного фонда с высоким уровнем износа на территории городского поселения Тутаев"</v>
      </c>
      <c r="C26" s="277" t="s">
        <v>211</v>
      </c>
      <c r="D26" s="406">
        <f>SUMIFS(Пр6!G$10:G$689,Пр6!$D$10:$D$689,C26)</f>
        <v>0</v>
      </c>
      <c r="E26" s="406">
        <f>SUMIFS(Пр6!H$10:H$689,Пр6!$D$10:$D$689,C26)</f>
        <v>0</v>
      </c>
      <c r="F26" s="408" t="e">
        <f t="shared" si="0"/>
        <v>#DIV/0!</v>
      </c>
    </row>
    <row r="27" spans="1:6" s="244" customFormat="1" ht="60.75" hidden="1" thickBot="1" x14ac:dyDescent="0.25">
      <c r="A27" s="291"/>
      <c r="B27" s="278" t="str">
        <f>IF(C27&gt;0,VLOOKUP(C27,Программа!A$5:B$4988,2))</f>
        <v xml:space="preserve">Обеспечение благоустроенными жильем граждан, переселяемых из непригодного для проживания жилищного фонда городского поселения Тутаев </v>
      </c>
      <c r="C27" s="279" t="s">
        <v>518</v>
      </c>
      <c r="D27" s="409">
        <f>SUMIFS(Пр6!G$10:G$689,Пр6!$D$10:$D$689,C27)</f>
        <v>0</v>
      </c>
      <c r="E27" s="409">
        <f>SUMIFS(Пр6!H$10:H$689,Пр6!$D$10:$D$689,C27)</f>
        <v>0</v>
      </c>
      <c r="F27" s="408" t="e">
        <f t="shared" si="0"/>
        <v>#DIV/0!</v>
      </c>
    </row>
    <row r="28" spans="1:6" s="245" customFormat="1" ht="43.5" customHeight="1" thickBot="1" x14ac:dyDescent="0.25">
      <c r="A28" s="295"/>
      <c r="B28" s="276" t="str">
        <f>IF(C28&gt;0,VLOOKUP(C28,Программа!A$5:B$4988,2))</f>
        <v xml:space="preserve">Муниципальная программа "Предоставление молодым семьям социальных выплат на приобретение (строительство) жилья" </v>
      </c>
      <c r="C28" s="277" t="s">
        <v>212</v>
      </c>
      <c r="D28" s="406">
        <f>SUMIFS(Пр6!G$10:G$689,Пр6!$D$10:$D$689,C28)</f>
        <v>3910019</v>
      </c>
      <c r="E28" s="406">
        <f>SUMIFS(Пр6!H$10:H$689,Пр6!$D$10:$D$689,C28)</f>
        <v>3880391.5</v>
      </c>
      <c r="F28" s="408">
        <f t="shared" si="0"/>
        <v>99.242267109187964</v>
      </c>
    </row>
    <row r="29" spans="1:6" ht="45.75" thickBot="1" x14ac:dyDescent="0.25">
      <c r="A29" s="292"/>
      <c r="B29" s="278" t="str">
        <f>IF(C29&gt;0,VLOOKUP(C29,Программа!A$5:B$4988,2))</f>
        <v>Поддержка молодых семей в приобретении (строительстве) жилья на территории городского поселения Тутаев</v>
      </c>
      <c r="C29" s="279" t="s">
        <v>213</v>
      </c>
      <c r="D29" s="409">
        <f>SUMIFS(Пр6!G$10:G$689,Пр6!$D$10:$D$689,C29)</f>
        <v>3910019</v>
      </c>
      <c r="E29" s="410">
        <f>SUMIFS(Пр6!H$10:H$689,Пр6!$D$10:$D$689,C29)</f>
        <v>3880391.5</v>
      </c>
      <c r="F29" s="408">
        <f t="shared" si="0"/>
        <v>99.242267109187964</v>
      </c>
    </row>
    <row r="30" spans="1:6" s="245" customFormat="1" ht="72" thickBot="1" x14ac:dyDescent="0.25">
      <c r="A30" s="295"/>
      <c r="B30" s="276" t="str">
        <f>IF(C30&gt;0,VLOOKUP(C30,Программа!A$5:B$4988,2))</f>
        <v xml:space="preserve">Муниципальная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v>
      </c>
      <c r="C30" s="277" t="s">
        <v>214</v>
      </c>
      <c r="D30" s="406">
        <f>SUMIFS(Пр6!G$10:G$689,Пр6!$D$10:$D$689,C30)</f>
        <v>270000</v>
      </c>
      <c r="E30" s="406">
        <f>SUMIFS(Пр6!H$10:H$689,Пр6!$D$10:$D$689,C30)</f>
        <v>31792.120000000003</v>
      </c>
      <c r="F30" s="408">
        <f t="shared" si="0"/>
        <v>11.77485925925926</v>
      </c>
    </row>
    <row r="31" spans="1:6" s="244" customFormat="1" ht="45.75" thickBot="1" x14ac:dyDescent="0.25">
      <c r="A31" s="291"/>
      <c r="B31" s="278" t="str">
        <f>IF(C31&gt;0,VLOOKUP(C31,Программа!A$5:B$4988,2))</f>
        <v xml:space="preserve">Поддержка граждан, проживающих на территории городского поселения Тутаев, в сфере ипотечного жилищного кредитования </v>
      </c>
      <c r="C31" s="279" t="s">
        <v>520</v>
      </c>
      <c r="D31" s="409">
        <f>SUMIFS(Пр6!G$10:G$689,Пр6!$D$10:$D$689,C31)</f>
        <v>270000</v>
      </c>
      <c r="E31" s="409">
        <f>SUMIFS(Пр6!H$10:H$689,Пр6!$D$10:$D$689,C31)</f>
        <v>31792.120000000003</v>
      </c>
      <c r="F31" s="408">
        <f t="shared" si="0"/>
        <v>11.77485925925926</v>
      </c>
    </row>
    <row r="32" spans="1:6" s="244" customFormat="1" ht="43.5" thickBot="1" x14ac:dyDescent="0.25">
      <c r="A32" s="291"/>
      <c r="B32" s="276" t="str">
        <f>IF(C32&gt;0,VLOOKUP(C32,Программа!A$5:B$4988,2))</f>
        <v xml:space="preserve">Муниципальная программа "Обеспечение населения городского поселения Тутаев банными услугами" </v>
      </c>
      <c r="C32" s="277" t="s">
        <v>603</v>
      </c>
      <c r="D32" s="406">
        <f>SUMIFS(Пр6!G$10:G$689,Пр6!$D$10:$D$689,C32)</f>
        <v>2457200</v>
      </c>
      <c r="E32" s="406">
        <f>SUMIFS(Пр6!H$10:H$689,Пр6!$D$10:$D$689,C32)</f>
        <v>1630478.3</v>
      </c>
      <c r="F32" s="408">
        <f t="shared" si="0"/>
        <v>66.355131857398661</v>
      </c>
    </row>
    <row r="33" spans="1:6" s="244" customFormat="1" ht="60.75" thickBot="1" x14ac:dyDescent="0.25">
      <c r="A33" s="291"/>
      <c r="B33" s="278" t="str">
        <f>IF(C33&gt;0,VLOOKUP(C33,Программа!A$5:B$4988,2))</f>
        <v>Создание возможности предоставления качественных бытовых и оздоровительных услуг к современным требованиям санитарных норм и правил</v>
      </c>
      <c r="C33" s="279" t="s">
        <v>604</v>
      </c>
      <c r="D33" s="409">
        <f>SUMIFS(Пр6!G$10:G$689,Пр6!$D$10:$D$689,C33)</f>
        <v>2457200</v>
      </c>
      <c r="E33" s="409">
        <f>SUMIFS(Пр6!H$10:H$689,Пр6!$D$10:$D$689,C33)</f>
        <v>1630478.3</v>
      </c>
      <c r="F33" s="408">
        <f t="shared" si="0"/>
        <v>66.355131857398661</v>
      </c>
    </row>
    <row r="34" spans="1:6" s="244" customFormat="1" ht="43.5" thickBot="1" x14ac:dyDescent="0.25">
      <c r="A34" s="291"/>
      <c r="B34" s="276" t="str">
        <f>IF(C34&gt;0,VLOOKUP(C34,Программа!A$5:B$4988,2))</f>
        <v xml:space="preserve">Муниципальная программа "Градостроительная деятельность на территории городского поселения Тутаев" </v>
      </c>
      <c r="C34" s="277" t="s">
        <v>663</v>
      </c>
      <c r="D34" s="406">
        <f>SUMIFS(Пр6!G$10:G$689,Пр6!$D$10:$D$689,C34)</f>
        <v>50000</v>
      </c>
      <c r="E34" s="406">
        <f>SUMIFS(Пр6!H$10:H$689,Пр6!$D$10:$D$689,C34)</f>
        <v>19999</v>
      </c>
      <c r="F34" s="408">
        <f t="shared" si="0"/>
        <v>39.997999999999998</v>
      </c>
    </row>
    <row r="35" spans="1:6" s="244" customFormat="1" ht="60.75" thickBot="1" x14ac:dyDescent="0.25">
      <c r="A35" s="291"/>
      <c r="B35" s="278" t="str">
        <f>IF(C35&gt;0,VLOOKUP(C35,Программа!A$5:B$4988,2))</f>
        <v>Разработка и внесение изменений в документы территориального планирования и градостроительного зонирования городского поселения Тутаев</v>
      </c>
      <c r="C35" s="279" t="s">
        <v>664</v>
      </c>
      <c r="D35" s="409">
        <f>SUMIFS(Пр6!G$10:G$689,Пр6!$D$10:$D$689,C35)</f>
        <v>50000</v>
      </c>
      <c r="E35" s="409">
        <f>SUMIFS(Пр6!H$10:H$689,Пр6!$D$10:$D$689,C35)</f>
        <v>19999</v>
      </c>
      <c r="F35" s="408">
        <f t="shared" si="0"/>
        <v>39.997999999999998</v>
      </c>
    </row>
    <row r="36" spans="1:6" s="244" customFormat="1" ht="38.1" hidden="1" customHeight="1" thickBot="1" x14ac:dyDescent="0.25">
      <c r="A36" s="291"/>
      <c r="B36" s="278" t="str">
        <f>IF(C36&gt;0,VLOOKUP(C36,Программа!A$5:B$4988,2))</f>
        <v>Установление соотвествия утвержденным градостроительным нормам объектов недвижимости</v>
      </c>
      <c r="C36" s="280" t="s">
        <v>665</v>
      </c>
      <c r="D36" s="409">
        <f>SUMIFS(Пр6!G$10:G$689,Пр6!$D$10:$D$689,C36)</f>
        <v>0</v>
      </c>
      <c r="E36" s="409">
        <f>SUMIFS(Пр6!H$10:H$689,Пр6!$D$10:$D$689,C36)</f>
        <v>0</v>
      </c>
      <c r="F36" s="408" t="e">
        <f t="shared" si="0"/>
        <v>#DIV/0!</v>
      </c>
    </row>
    <row r="37" spans="1:6" s="244" customFormat="1" ht="63" hidden="1" customHeight="1" thickBot="1" x14ac:dyDescent="0.25">
      <c r="A37" s="291"/>
      <c r="B37" s="276" t="str">
        <f>IF(C37&gt;0,VLOOKUP(C37,Программа!A$5:B$4988,2))</f>
        <v xml:space="preserve">Муниципальная программа "Сохранение, использование и популяризация объектов культурного наследия на территории городского поселения Тутаев" </v>
      </c>
      <c r="C37" s="277" t="s">
        <v>667</v>
      </c>
      <c r="D37" s="406">
        <f>SUMIFS(Пр6!G$10:G$689,Пр6!$D$10:$D$689,C37)</f>
        <v>95000</v>
      </c>
      <c r="E37" s="406">
        <f>SUMIFS(Пр6!H$10:H$689,Пр6!$D$10:$D$689,C37)</f>
        <v>0</v>
      </c>
      <c r="F37" s="408">
        <f t="shared" si="0"/>
        <v>0</v>
      </c>
    </row>
    <row r="38" spans="1:6" s="244" customFormat="1" ht="33" hidden="1" customHeight="1" thickBot="1" x14ac:dyDescent="0.25">
      <c r="A38" s="291"/>
      <c r="B38" s="278" t="str">
        <f>IF(C38&gt;0,VLOOKUP(C38,Программа!A$5:B$4988,2))</f>
        <v>Разработка, согласование, утверждение проекта зон охраны объектов культурного наследия</v>
      </c>
      <c r="C38" s="280" t="s">
        <v>668</v>
      </c>
      <c r="D38" s="409">
        <f>SUMIFS(Пр6!G$10:G$689,Пр6!$D$10:$D$689,C38)</f>
        <v>0</v>
      </c>
      <c r="E38" s="409">
        <f>SUMIFS(Пр6!H$10:H$689,Пр6!$D$10:$D$689,C38)</f>
        <v>0</v>
      </c>
      <c r="F38" s="408" t="e">
        <f t="shared" si="0"/>
        <v>#DIV/0!</v>
      </c>
    </row>
    <row r="39" spans="1:6" s="244" customFormat="1" ht="34.5" hidden="1" customHeight="1" thickBot="1" x14ac:dyDescent="0.25">
      <c r="A39" s="291"/>
      <c r="B39" s="278" t="str">
        <f>IF(C39&gt;0,VLOOKUP(C39,Программа!A$5:B$4988,2))</f>
        <v>Проведение историко-культурной экспертизы объектов культурного наследия</v>
      </c>
      <c r="C39" s="279" t="s">
        <v>669</v>
      </c>
      <c r="D39" s="409">
        <f>SUMIFS(Пр6!G$10:G$689,Пр6!$D$10:$D$689,C39)</f>
        <v>70000</v>
      </c>
      <c r="E39" s="409">
        <f>SUMIFS(Пр6!H$10:H$689,Пр6!$D$10:$D$689,C39)</f>
        <v>0</v>
      </c>
      <c r="F39" s="408">
        <f t="shared" si="0"/>
        <v>0</v>
      </c>
    </row>
    <row r="40" spans="1:6" s="244" customFormat="1" ht="32.25" hidden="1" customHeight="1" thickBot="1" x14ac:dyDescent="0.25">
      <c r="A40" s="291"/>
      <c r="B40" s="278" t="str">
        <f>IF(C40&gt;0,VLOOKUP(C40,Программа!A$5:B$4988,2))</f>
        <v>Сохранение и использование объектов культурного наследия</v>
      </c>
      <c r="C40" s="279" t="s">
        <v>829</v>
      </c>
      <c r="D40" s="409">
        <f>SUMIFS(Пр6!G$10:G$689,Пр6!$D$10:$D$689,C40)</f>
        <v>25000</v>
      </c>
      <c r="E40" s="409">
        <f>SUMIFS(Пр6!H$10:H$689,Пр6!$D$10:$D$689,C40)</f>
        <v>0</v>
      </c>
      <c r="F40" s="408">
        <f t="shared" si="0"/>
        <v>0</v>
      </c>
    </row>
    <row r="41" spans="1:6" s="244" customFormat="1" ht="40.700000000000003" hidden="1" customHeight="1" thickBot="1" x14ac:dyDescent="0.25">
      <c r="A41" s="291"/>
      <c r="B41" s="276" t="str">
        <f>IF(C41&gt;0,VLOOKUP(C41,Программа!A$5:B$4988,2))</f>
        <v>Муниципальная программа "Развитие водоснабжения, водоотведения и очистки сточных вод на территории городского поселения Тутаев"</v>
      </c>
      <c r="C41" s="277" t="s">
        <v>722</v>
      </c>
      <c r="D41" s="406">
        <f>SUMIFS(Пр6!G$10:G$689,Пр6!$D$10:$D$689,C41)</f>
        <v>0</v>
      </c>
      <c r="E41" s="406">
        <f>SUMIFS(Пр6!H$10:H$689,Пр6!$D$10:$D$689,C41)</f>
        <v>0</v>
      </c>
      <c r="F41" s="408" t="e">
        <f t="shared" si="0"/>
        <v>#DIV/0!</v>
      </c>
    </row>
    <row r="42" spans="1:6" s="244" customFormat="1" ht="30.75" hidden="1" customHeight="1" thickBot="1" x14ac:dyDescent="0.25">
      <c r="A42" s="291"/>
      <c r="B42" s="278" t="str">
        <f>IF(C42&gt;0,VLOOKUP(C42,Программа!A$5:B$4988,2))</f>
        <v>Мероприятия по гарантированому  обеспечению  населения питьевой водой, очистки сточных вод,охраны источников питьевого водоснабжения от загрязнения</v>
      </c>
      <c r="C42" s="279" t="s">
        <v>802</v>
      </c>
      <c r="D42" s="409">
        <f>SUMIFS(Пр6!G$10:G$689,Пр6!$D$10:$D$689,C42)</f>
        <v>0</v>
      </c>
      <c r="E42" s="409">
        <f>SUMIFS(Пр6!H$10:H$689,Пр6!$D$10:$D$689,C42)</f>
        <v>0</v>
      </c>
      <c r="F42" s="408" t="e">
        <f t="shared" si="0"/>
        <v>#DIV/0!</v>
      </c>
    </row>
    <row r="43" spans="1:6" s="244" customFormat="1" ht="25.5" hidden="1" customHeight="1" thickBot="1" x14ac:dyDescent="0.25">
      <c r="A43" s="291"/>
      <c r="B43" s="278" t="str">
        <f>IF(C43&gt;0,VLOOKUP(C43,Программа!A$5:B$4988,2))</f>
        <v>Федеральный проект "Оздоровление Волги"</v>
      </c>
      <c r="C43" s="279" t="s">
        <v>723</v>
      </c>
      <c r="D43" s="409">
        <f>SUMIFS(Пр6!G$10:G$689,Пр6!$D$10:$D$689,C43)</f>
        <v>0</v>
      </c>
      <c r="E43" s="409">
        <f>SUMIFS(Пр6!H$10:H$689,Пр6!$D$10:$D$689,C43)</f>
        <v>0</v>
      </c>
      <c r="F43" s="408" t="e">
        <f t="shared" si="0"/>
        <v>#DIV/0!</v>
      </c>
    </row>
    <row r="44" spans="1:6" s="244" customFormat="1" ht="43.5" thickBot="1" x14ac:dyDescent="0.25">
      <c r="A44" s="291"/>
      <c r="B44" s="276" t="str">
        <f>IF(C44&gt;0,VLOOKUP(C44,Программа!A$5:B$4988,2))</f>
        <v xml:space="preserve">Муниципальная программа "Переселение граждан из аварийного жилищного фонда городского поселения Тутаев" </v>
      </c>
      <c r="C44" s="277" t="s">
        <v>741</v>
      </c>
      <c r="D44" s="406">
        <f>SUMIFS(Пр6!G$10:G$689,Пр6!$D$10:$D$689,C44)</f>
        <v>92023087</v>
      </c>
      <c r="E44" s="406">
        <f>SUMIFS(Пр6!H$10:H$689,Пр6!$D$10:$D$689,C44)</f>
        <v>61653327.850000009</v>
      </c>
      <c r="F44" s="408">
        <f t="shared" si="0"/>
        <v>66.997674018477568</v>
      </c>
    </row>
    <row r="45" spans="1:6" s="244" customFormat="1" ht="165.75" hidden="1" thickBot="1" x14ac:dyDescent="0.25">
      <c r="A45" s="291"/>
      <c r="B45" s="278" t="str">
        <f>IF(C45&gt;0,VLOOKUP(C45,Программа!A$5:B$4988,2))</f>
        <v>Обеспечение благоустроенными жилыми помещениями гражданам, переселяемым из многоквартирных домов, признанных в установленном порядке аварийными и подлежащими сносу или реконструкции в связи с физическим износом в процессе их эксплуатации за счет привлечения финансовой поддержки государственной корпорации – Фонда содействия реформированию жилищно-коммунального хозяйства (далее - Фонд) на территории городского поселения Тутаев</v>
      </c>
      <c r="C45" s="279" t="s">
        <v>742</v>
      </c>
      <c r="D45" s="409">
        <f>SUMIFS(Пр6!G$10:G$689,Пр6!$D$10:$D$689,C45)</f>
        <v>6137928</v>
      </c>
      <c r="E45" s="409">
        <f>SUMIFS(Пр6!H$10:H$689,Пр6!$D$10:$D$689,C45)</f>
        <v>3361447.7</v>
      </c>
      <c r="F45" s="408">
        <f t="shared" si="0"/>
        <v>54.765186232226903</v>
      </c>
    </row>
    <row r="46" spans="1:6" s="244" customFormat="1" ht="45.75" thickBot="1" x14ac:dyDescent="0.25">
      <c r="A46" s="291"/>
      <c r="B46" s="278" t="str">
        <f>IF(C46&gt;0,VLOOKUP(C46,Программа!A$5:B$4988,2))</f>
        <v>Федеральный проект "Обеспечение устойчивого сокращения непригодного для проживания жилищного фонда"</v>
      </c>
      <c r="C46" s="279" t="s">
        <v>773</v>
      </c>
      <c r="D46" s="409">
        <f>SUMIFS(Пр6!G$10:G$689,Пр6!$D$10:$D$689,C46)</f>
        <v>85885159</v>
      </c>
      <c r="E46" s="409">
        <f>SUMIFS(Пр6!H$10:H$689,Пр6!$D$10:$D$689,C46)</f>
        <v>58291880.150000006</v>
      </c>
      <c r="F46" s="408">
        <f t="shared" si="0"/>
        <v>67.871889426204604</v>
      </c>
    </row>
    <row r="47" spans="1:6" s="244" customFormat="1" ht="75" customHeight="1" thickBot="1" x14ac:dyDescent="0.25">
      <c r="A47" s="291"/>
      <c r="B47" s="276" t="str">
        <f>IF(C47&gt;0,VLOOKUP(C47,Программа!A$5:B$4988,2))</f>
        <v>Муниципальная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города Тутаева"</v>
      </c>
      <c r="C47" s="277" t="s">
        <v>770</v>
      </c>
      <c r="D47" s="406">
        <f>SUMIFS(Пр6!G$10:G$689,Пр6!$D$10:$D$689,C47)</f>
        <v>14647777</v>
      </c>
      <c r="E47" s="406">
        <f>SUMIFS(Пр6!H$10:H$689,Пр6!$D$10:$D$689,C47)</f>
        <v>9513933.3800000008</v>
      </c>
      <c r="F47" s="408">
        <f t="shared" si="0"/>
        <v>64.95138054054209</v>
      </c>
    </row>
    <row r="48" spans="1:6" s="244" customFormat="1" ht="47.1" customHeight="1" thickBot="1" x14ac:dyDescent="0.25">
      <c r="A48" s="291"/>
      <c r="B48" s="278" t="str">
        <f>IF(C48&gt;0,VLOOKUP(C48,Программа!A$5:B$4988,2))</f>
        <v>Создание механизма управления потреблением энергетических ресурсов и сокращение бюджетных затрат</v>
      </c>
      <c r="C48" s="279" t="s">
        <v>771</v>
      </c>
      <c r="D48" s="409">
        <f>SUMIFS(Пр6!G$10:G$689,Пр6!$D$10:$D$689,C48)</f>
        <v>14647777</v>
      </c>
      <c r="E48" s="409">
        <f>SUMIFS(Пр6!H$10:H$689,Пр6!$D$10:$D$689,C48)</f>
        <v>9513933.3800000008</v>
      </c>
      <c r="F48" s="408">
        <f t="shared" si="0"/>
        <v>64.95138054054209</v>
      </c>
    </row>
    <row r="49" spans="1:9" s="244" customFormat="1" ht="57.75" customHeight="1" thickBot="1" x14ac:dyDescent="0.25">
      <c r="A49" s="291"/>
      <c r="B49" s="276" t="str">
        <f>IF(C49&gt;0,VLOOKUP(C49,Программа!A$5:B$4988,2))</f>
        <v>Муниципальная программа "Обеспечение безопасности граждан на водных объектах, охрана их жизни и здоровья на территории городского поселения Тутаев"</v>
      </c>
      <c r="C49" s="277" t="s">
        <v>797</v>
      </c>
      <c r="D49" s="407">
        <f>SUMIFS(Пр6!G$10:G$689,Пр6!$D$10:$D$689,C49)</f>
        <v>140000</v>
      </c>
      <c r="E49" s="407">
        <f>SUMIFS(Пр6!H$10:H$689,Пр6!$D$10:$D$689,C49)</f>
        <v>120586.47</v>
      </c>
      <c r="F49" s="408">
        <f t="shared" si="0"/>
        <v>86.133192857142859</v>
      </c>
    </row>
    <row r="50" spans="1:9" s="244" customFormat="1" ht="60.75" thickBot="1" x14ac:dyDescent="0.25">
      <c r="A50" s="291"/>
      <c r="B50" s="278" t="str">
        <f>IF(C50&gt;0,VLOOKUP(C50,Программа!A$5:B$4988,2))</f>
        <v>Модернизация мест массового отдыха населения на водных объектах, направленная на обеспечение безопасности, охраны жизни и здоровья людей</v>
      </c>
      <c r="C50" s="279" t="s">
        <v>798</v>
      </c>
      <c r="D50" s="409">
        <f>SUMIFS(Пр6!G$10:G$689,Пр6!$D$10:$D$689,C50)</f>
        <v>140000</v>
      </c>
      <c r="E50" s="409">
        <f>SUMIFS(Пр6!H$10:H$689,Пр6!$D$10:$D$689,C50)</f>
        <v>120586.47</v>
      </c>
      <c r="F50" s="408">
        <f t="shared" si="0"/>
        <v>86.133192857142859</v>
      </c>
    </row>
    <row r="51" spans="1:9" s="244" customFormat="1" ht="47.25" hidden="1" customHeight="1" thickBot="1" x14ac:dyDescent="0.25">
      <c r="A51" s="291"/>
      <c r="B51" s="276" t="str">
        <f>IF(C51&gt;0,VLOOKUP(C51,Программа!A$5:B$4988,2))</f>
        <v>Муниципальная программа "Стимулирование инвестиционной деятельности в городском поселении Тутаев"</v>
      </c>
      <c r="C51" s="277" t="s">
        <v>815</v>
      </c>
      <c r="D51" s="406">
        <f>SUMIFS(Пр6!G$10:G$689,Пр6!$D$10:$D$689,C51)</f>
        <v>75425257</v>
      </c>
      <c r="E51" s="406">
        <f>SUMIFS(Пр6!H$10:H$689,Пр6!$D$10:$D$689,C51)</f>
        <v>0</v>
      </c>
      <c r="F51" s="408">
        <f t="shared" si="0"/>
        <v>0</v>
      </c>
    </row>
    <row r="52" spans="1:9" s="244" customFormat="1" ht="60.75" hidden="1" thickBot="1" x14ac:dyDescent="0.25">
      <c r="A52" s="291"/>
      <c r="B52" s="278" t="str">
        <f>IF(C52&gt;0,VLOOKUP(C52,Программа!A$5:B$4988,2))</f>
        <v>Создание условий для развития инвестиционной привлекательности и наращивания налогового потенциала в г.Тутаев Ярославской области</v>
      </c>
      <c r="C52" s="279" t="s">
        <v>814</v>
      </c>
      <c r="D52" s="409">
        <f>SUMIFS(Пр6!G$10:G$689,Пр6!$D$10:$D$689,C52)</f>
        <v>75425257</v>
      </c>
      <c r="E52" s="409">
        <f>SUMIFS(Пр6!H$10:H$689,Пр6!$D$10:$D$689,C52)</f>
        <v>0</v>
      </c>
      <c r="F52" s="408">
        <f t="shared" si="0"/>
        <v>0</v>
      </c>
    </row>
    <row r="53" spans="1:9" ht="15.75" thickBot="1" x14ac:dyDescent="0.25">
      <c r="A53" s="292"/>
      <c r="B53" s="276" t="s">
        <v>61</v>
      </c>
      <c r="C53" s="277"/>
      <c r="D53" s="406">
        <f>D10+D15+D19+D23+D26+D28+D30+D32+D34+D37+D47+D44+D41+D49+D51</f>
        <v>464270480.60000002</v>
      </c>
      <c r="E53" s="406">
        <f>E10+E15+E19+E23+E26+E28+E30+E32+E34+E37+E47+E44+E41+E49+E51</f>
        <v>237260770.39000002</v>
      </c>
      <c r="F53" s="408">
        <f t="shared" si="0"/>
        <v>51.103996550324723</v>
      </c>
    </row>
    <row r="54" spans="1:9" ht="15.75" thickBot="1" x14ac:dyDescent="0.25">
      <c r="A54" s="294" t="s">
        <v>226</v>
      </c>
      <c r="B54" s="276" t="str">
        <f>IF(C54&gt;0,VLOOKUP(C54,Программа!A$5:B$4988,2))</f>
        <v>Непрограммные расходы бюджета</v>
      </c>
      <c r="C54" s="277" t="s">
        <v>521</v>
      </c>
      <c r="D54" s="406">
        <f>SUMIFS(Пр6!G$10:G$689,Пр6!$D$10:$D$689,C54)</f>
        <v>52103344.399999999</v>
      </c>
      <c r="E54" s="411">
        <f>SUMIFS(Пр6!H$10:H$689,Пр6!$D$10:$D$689,C54)</f>
        <v>36187221.460000016</v>
      </c>
      <c r="F54" s="408">
        <f t="shared" si="0"/>
        <v>69.452780578131211</v>
      </c>
    </row>
    <row r="55" spans="1:9" ht="15.75" thickBot="1" x14ac:dyDescent="0.25">
      <c r="A55" s="294"/>
      <c r="B55" s="281" t="s">
        <v>227</v>
      </c>
      <c r="C55" s="282"/>
      <c r="D55" s="412">
        <f>D53+D54</f>
        <v>516373825</v>
      </c>
      <c r="E55" s="412">
        <f>E53+E54</f>
        <v>273447991.85000002</v>
      </c>
      <c r="F55" s="412">
        <f t="shared" si="0"/>
        <v>52.955432404034042</v>
      </c>
      <c r="I55" s="243"/>
    </row>
    <row r="56" spans="1:9" x14ac:dyDescent="0.2">
      <c r="C56" s="284"/>
    </row>
    <row r="57" spans="1:9" ht="15.75" x14ac:dyDescent="0.2">
      <c r="C57" s="284"/>
      <c r="I57" s="288"/>
    </row>
    <row r="58" spans="1:9" x14ac:dyDescent="0.2">
      <c r="C58" s="284"/>
    </row>
    <row r="59" spans="1:9" hidden="1" x14ac:dyDescent="0.2">
      <c r="C59" s="284"/>
      <c r="E59" s="415">
        <f>D10+D15+D19+D28+D30+D32+D34+D37+D44+D47+D49+D51</f>
        <v>464270480.60000002</v>
      </c>
      <c r="F59" s="414">
        <f t="shared" ref="F59" si="1">E10+E15+E19+E28+E30+E32+E34+E37+E44+E47+E49+E51</f>
        <v>237260770.39000002</v>
      </c>
      <c r="G59" s="287"/>
    </row>
    <row r="60" spans="1:9" x14ac:dyDescent="0.2">
      <c r="C60" s="284"/>
    </row>
    <row r="61" spans="1:9" x14ac:dyDescent="0.2">
      <c r="C61" s="284"/>
    </row>
    <row r="62" spans="1:9" x14ac:dyDescent="0.2">
      <c r="C62" s="284"/>
    </row>
    <row r="63" spans="1:9" x14ac:dyDescent="0.2">
      <c r="C63" s="284"/>
    </row>
    <row r="64" spans="1:9" x14ac:dyDescent="0.2">
      <c r="C64" s="284"/>
    </row>
    <row r="65" spans="1:3" x14ac:dyDescent="0.2">
      <c r="C65" s="284"/>
    </row>
    <row r="66" spans="1:3" x14ac:dyDescent="0.2">
      <c r="C66" s="284"/>
    </row>
    <row r="67" spans="1:3" x14ac:dyDescent="0.2">
      <c r="C67" s="284"/>
    </row>
    <row r="68" spans="1:3" x14ac:dyDescent="0.2">
      <c r="A68" s="241"/>
      <c r="B68" s="286"/>
      <c r="C68" s="284"/>
    </row>
    <row r="69" spans="1:3" x14ac:dyDescent="0.2">
      <c r="A69" s="241"/>
      <c r="B69" s="286"/>
      <c r="C69" s="284"/>
    </row>
    <row r="70" spans="1:3" x14ac:dyDescent="0.2">
      <c r="A70" s="241"/>
      <c r="B70" s="286"/>
      <c r="C70" s="284"/>
    </row>
    <row r="71" spans="1:3" x14ac:dyDescent="0.2">
      <c r="A71" s="241"/>
      <c r="B71" s="286"/>
      <c r="C71" s="284"/>
    </row>
    <row r="72" spans="1:3" x14ac:dyDescent="0.2">
      <c r="A72" s="241"/>
      <c r="B72" s="286"/>
      <c r="C72" s="284"/>
    </row>
    <row r="73" spans="1:3" x14ac:dyDescent="0.2">
      <c r="A73" s="241"/>
      <c r="B73" s="286"/>
      <c r="C73" s="284"/>
    </row>
    <row r="74" spans="1:3" x14ac:dyDescent="0.2">
      <c r="A74" s="241"/>
      <c r="B74" s="286"/>
      <c r="C74" s="284"/>
    </row>
    <row r="75" spans="1:3" x14ac:dyDescent="0.2">
      <c r="A75" s="241"/>
      <c r="B75" s="286"/>
      <c r="C75" s="284"/>
    </row>
    <row r="76" spans="1:3" x14ac:dyDescent="0.2">
      <c r="A76" s="241"/>
      <c r="B76" s="286"/>
      <c r="C76" s="284"/>
    </row>
    <row r="77" spans="1:3" x14ac:dyDescent="0.2">
      <c r="A77" s="241"/>
      <c r="B77" s="286"/>
      <c r="C77" s="284"/>
    </row>
    <row r="78" spans="1:3" x14ac:dyDescent="0.2">
      <c r="A78" s="241"/>
      <c r="B78" s="286"/>
      <c r="C78" s="284"/>
    </row>
    <row r="79" spans="1:3" x14ac:dyDescent="0.2">
      <c r="A79" s="241"/>
      <c r="B79" s="286"/>
      <c r="C79" s="284"/>
    </row>
    <row r="80" spans="1:3" x14ac:dyDescent="0.2">
      <c r="A80" s="241"/>
      <c r="B80" s="286"/>
      <c r="C80" s="284"/>
    </row>
    <row r="81" spans="1:3" x14ac:dyDescent="0.2">
      <c r="A81" s="241"/>
      <c r="B81" s="286"/>
      <c r="C81" s="284"/>
    </row>
    <row r="82" spans="1:3" x14ac:dyDescent="0.2">
      <c r="A82" s="241"/>
      <c r="B82" s="286"/>
      <c r="C82" s="284"/>
    </row>
    <row r="83" spans="1:3" x14ac:dyDescent="0.2">
      <c r="A83" s="241"/>
      <c r="B83" s="286"/>
      <c r="C83" s="284"/>
    </row>
    <row r="84" spans="1:3" x14ac:dyDescent="0.2">
      <c r="A84" s="241"/>
      <c r="B84" s="286"/>
      <c r="C84" s="284"/>
    </row>
    <row r="85" spans="1:3" x14ac:dyDescent="0.2">
      <c r="A85" s="241"/>
      <c r="B85" s="286"/>
      <c r="C85" s="284"/>
    </row>
    <row r="86" spans="1:3" x14ac:dyDescent="0.2">
      <c r="A86" s="241"/>
      <c r="B86" s="286"/>
      <c r="C86" s="284"/>
    </row>
    <row r="87" spans="1:3" x14ac:dyDescent="0.2">
      <c r="A87" s="241"/>
      <c r="B87" s="286"/>
      <c r="C87" s="284"/>
    </row>
    <row r="88" spans="1:3" x14ac:dyDescent="0.2">
      <c r="A88" s="241"/>
      <c r="B88" s="286"/>
      <c r="C88" s="284"/>
    </row>
    <row r="89" spans="1:3" x14ac:dyDescent="0.2">
      <c r="A89" s="241"/>
      <c r="B89" s="286"/>
      <c r="C89" s="284"/>
    </row>
    <row r="90" spans="1:3" x14ac:dyDescent="0.2">
      <c r="A90" s="241"/>
      <c r="B90" s="286"/>
      <c r="C90" s="284"/>
    </row>
    <row r="91" spans="1:3" x14ac:dyDescent="0.2">
      <c r="A91" s="241"/>
      <c r="B91" s="286"/>
      <c r="C91" s="284"/>
    </row>
    <row r="92" spans="1:3" x14ac:dyDescent="0.2">
      <c r="A92" s="241"/>
      <c r="B92" s="286"/>
      <c r="C92" s="284"/>
    </row>
    <row r="93" spans="1:3" x14ac:dyDescent="0.2">
      <c r="A93" s="241"/>
      <c r="B93" s="286"/>
      <c r="C93" s="284"/>
    </row>
    <row r="94" spans="1:3" x14ac:dyDescent="0.2">
      <c r="A94" s="241"/>
      <c r="B94" s="286"/>
      <c r="C94" s="284"/>
    </row>
    <row r="95" spans="1:3" x14ac:dyDescent="0.2">
      <c r="A95" s="241"/>
      <c r="B95" s="286"/>
      <c r="C95" s="284"/>
    </row>
    <row r="96" spans="1:3" x14ac:dyDescent="0.2">
      <c r="A96" s="241"/>
      <c r="B96" s="286"/>
      <c r="C96" s="284"/>
    </row>
    <row r="97" spans="1:3" x14ac:dyDescent="0.2">
      <c r="A97" s="241"/>
      <c r="B97" s="286"/>
      <c r="C97" s="284"/>
    </row>
    <row r="98" spans="1:3" x14ac:dyDescent="0.2">
      <c r="A98" s="241"/>
      <c r="B98" s="286"/>
      <c r="C98" s="284"/>
    </row>
    <row r="99" spans="1:3" x14ac:dyDescent="0.2">
      <c r="A99" s="241"/>
      <c r="B99" s="286"/>
      <c r="C99" s="284"/>
    </row>
    <row r="100" spans="1:3" x14ac:dyDescent="0.2">
      <c r="A100" s="241"/>
      <c r="B100" s="286"/>
      <c r="C100" s="284"/>
    </row>
    <row r="101" spans="1:3" x14ac:dyDescent="0.2">
      <c r="A101" s="241"/>
      <c r="B101" s="286"/>
      <c r="C101" s="284"/>
    </row>
    <row r="102" spans="1:3" x14ac:dyDescent="0.2">
      <c r="A102" s="241"/>
      <c r="B102" s="286"/>
      <c r="C102" s="284"/>
    </row>
    <row r="103" spans="1:3" x14ac:dyDescent="0.2">
      <c r="A103" s="241"/>
      <c r="B103" s="286"/>
      <c r="C103" s="284"/>
    </row>
    <row r="104" spans="1:3" x14ac:dyDescent="0.2">
      <c r="A104" s="241"/>
      <c r="B104" s="286"/>
      <c r="C104" s="284"/>
    </row>
    <row r="105" spans="1:3" x14ac:dyDescent="0.2">
      <c r="A105" s="241"/>
      <c r="B105" s="286"/>
      <c r="C105" s="284"/>
    </row>
    <row r="106" spans="1:3" x14ac:dyDescent="0.2">
      <c r="A106" s="241"/>
      <c r="B106" s="286"/>
      <c r="C106" s="284"/>
    </row>
    <row r="107" spans="1:3" x14ac:dyDescent="0.2">
      <c r="A107" s="241"/>
      <c r="B107" s="286"/>
      <c r="C107" s="284"/>
    </row>
    <row r="108" spans="1:3" x14ac:dyDescent="0.2">
      <c r="A108" s="241"/>
      <c r="B108" s="286"/>
      <c r="C108" s="284"/>
    </row>
    <row r="109" spans="1:3" x14ac:dyDescent="0.2">
      <c r="A109" s="241"/>
      <c r="B109" s="286"/>
      <c r="C109" s="284"/>
    </row>
    <row r="110" spans="1:3" x14ac:dyDescent="0.2">
      <c r="A110" s="241"/>
      <c r="B110" s="286"/>
      <c r="C110" s="284"/>
    </row>
    <row r="111" spans="1:3" x14ac:dyDescent="0.2">
      <c r="A111" s="241"/>
      <c r="B111" s="286"/>
      <c r="C111" s="284"/>
    </row>
    <row r="112" spans="1:3" x14ac:dyDescent="0.2">
      <c r="A112" s="241"/>
      <c r="B112" s="286"/>
      <c r="C112" s="284"/>
    </row>
    <row r="113" spans="1:3" x14ac:dyDescent="0.2">
      <c r="A113" s="241"/>
      <c r="B113" s="286"/>
      <c r="C113" s="284"/>
    </row>
    <row r="114" spans="1:3" x14ac:dyDescent="0.2">
      <c r="A114" s="241"/>
      <c r="B114" s="286"/>
      <c r="C114" s="284"/>
    </row>
    <row r="115" spans="1:3" x14ac:dyDescent="0.2">
      <c r="A115" s="241"/>
      <c r="B115" s="286"/>
      <c r="C115" s="284"/>
    </row>
    <row r="116" spans="1:3" x14ac:dyDescent="0.2">
      <c r="A116" s="241"/>
      <c r="B116" s="286"/>
      <c r="C116" s="284"/>
    </row>
    <row r="117" spans="1:3" x14ac:dyDescent="0.2">
      <c r="A117" s="241"/>
      <c r="B117" s="286"/>
      <c r="C117" s="284"/>
    </row>
    <row r="118" spans="1:3" x14ac:dyDescent="0.2">
      <c r="A118" s="241"/>
      <c r="B118" s="286"/>
      <c r="C118" s="284"/>
    </row>
    <row r="119" spans="1:3" x14ac:dyDescent="0.2">
      <c r="A119" s="241"/>
      <c r="B119" s="286"/>
      <c r="C119" s="284"/>
    </row>
    <row r="120" spans="1:3" x14ac:dyDescent="0.2">
      <c r="A120" s="241"/>
      <c r="B120" s="286"/>
      <c r="C120" s="284"/>
    </row>
    <row r="121" spans="1:3" x14ac:dyDescent="0.2">
      <c r="A121" s="241"/>
      <c r="B121" s="286"/>
      <c r="C121" s="284"/>
    </row>
    <row r="122" spans="1:3" x14ac:dyDescent="0.2">
      <c r="A122" s="241"/>
      <c r="B122" s="286"/>
      <c r="C122" s="284"/>
    </row>
    <row r="123" spans="1:3" x14ac:dyDescent="0.2">
      <c r="A123" s="241"/>
      <c r="B123" s="286"/>
      <c r="C123" s="284"/>
    </row>
    <row r="124" spans="1:3" x14ac:dyDescent="0.2">
      <c r="A124" s="241"/>
      <c r="B124" s="286"/>
      <c r="C124" s="284"/>
    </row>
    <row r="125" spans="1:3" x14ac:dyDescent="0.2">
      <c r="A125" s="241"/>
      <c r="B125" s="286"/>
      <c r="C125" s="284"/>
    </row>
    <row r="126" spans="1:3" x14ac:dyDescent="0.2">
      <c r="A126" s="241"/>
      <c r="B126" s="286"/>
      <c r="C126" s="284"/>
    </row>
  </sheetData>
  <mergeCells count="13">
    <mergeCell ref="B1:F1"/>
    <mergeCell ref="B2:F2"/>
    <mergeCell ref="B3:F3"/>
    <mergeCell ref="B4:F4"/>
    <mergeCell ref="A6:F6"/>
    <mergeCell ref="D7:F7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70866141732283472" right="0.70866141732283472" top="0.74803149606299213" bottom="0.74803149606299213" header="0.31496062992125984" footer="0.31496062992125984"/>
  <pageSetup paperSize="9" fitToHeight="2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15"/>
  <sheetViews>
    <sheetView showGridLines="0" tabSelected="1" view="pageBreakPreview" topLeftCell="B1" zoomScaleSheetLayoutView="100" workbookViewId="0">
      <selection activeCell="C6" sqref="C6"/>
    </sheetView>
  </sheetViews>
  <sheetFormatPr defaultColWidth="9.140625" defaultRowHeight="15.75" x14ac:dyDescent="0.25"/>
  <cols>
    <col min="1" max="1" width="6" style="139" hidden="1" customWidth="1"/>
    <col min="2" max="2" width="61.140625" style="135" customWidth="1"/>
    <col min="3" max="3" width="15.42578125" style="137" customWidth="1"/>
    <col min="4" max="4" width="16" style="137" hidden="1" customWidth="1"/>
    <col min="5" max="5" width="20.42578125" style="137" customWidth="1"/>
    <col min="6" max="6" width="12.85546875" style="405" hidden="1" customWidth="1"/>
    <col min="7" max="7" width="9.140625" style="75" customWidth="1"/>
    <col min="8" max="16384" width="9.140625" style="75"/>
  </cols>
  <sheetData>
    <row r="1" spans="1:6" x14ac:dyDescent="0.25">
      <c r="A1" s="138"/>
      <c r="B1" s="436" t="s">
        <v>921</v>
      </c>
      <c r="C1" s="436"/>
      <c r="D1" s="436"/>
      <c r="E1" s="436"/>
      <c r="F1" s="437"/>
    </row>
    <row r="2" spans="1:6" x14ac:dyDescent="0.25">
      <c r="A2" s="138"/>
      <c r="B2" s="438" t="s">
        <v>894</v>
      </c>
      <c r="C2" s="438"/>
      <c r="D2" s="438"/>
      <c r="E2" s="439"/>
      <c r="F2" s="439"/>
    </row>
    <row r="3" spans="1:6" x14ac:dyDescent="0.25">
      <c r="A3" s="138"/>
      <c r="B3" s="438" t="s">
        <v>895</v>
      </c>
      <c r="C3" s="438"/>
      <c r="D3" s="438"/>
      <c r="E3" s="439"/>
      <c r="F3" s="439"/>
    </row>
    <row r="4" spans="1:6" x14ac:dyDescent="0.25">
      <c r="A4" s="138"/>
      <c r="B4" s="438" t="s">
        <v>925</v>
      </c>
      <c r="C4" s="438"/>
      <c r="D4" s="438"/>
      <c r="E4" s="438"/>
      <c r="F4" s="438"/>
    </row>
    <row r="5" spans="1:6" x14ac:dyDescent="0.25">
      <c r="A5" s="138"/>
      <c r="B5" s="274"/>
      <c r="C5" s="275"/>
      <c r="D5" s="492"/>
      <c r="E5" s="492"/>
      <c r="F5" s="492"/>
    </row>
    <row r="6" spans="1:6" x14ac:dyDescent="0.25">
      <c r="A6" s="138"/>
      <c r="B6" s="134"/>
      <c r="C6" s="136"/>
      <c r="D6" s="136"/>
      <c r="E6" s="136"/>
      <c r="F6" s="404"/>
    </row>
    <row r="7" spans="1:6" ht="48.75" customHeight="1" x14ac:dyDescent="0.25">
      <c r="A7" s="138"/>
      <c r="B7" s="498" t="s">
        <v>924</v>
      </c>
      <c r="C7" s="498"/>
      <c r="D7" s="498"/>
      <c r="E7" s="498"/>
      <c r="F7" s="499"/>
    </row>
    <row r="8" spans="1:6" ht="16.5" thickBot="1" x14ac:dyDescent="0.3">
      <c r="A8" s="138"/>
      <c r="B8" s="76"/>
      <c r="C8" s="214"/>
      <c r="D8" s="397"/>
      <c r="E8" s="397"/>
      <c r="F8" s="404"/>
    </row>
    <row r="9" spans="1:6" ht="60.2" customHeight="1" x14ac:dyDescent="0.25">
      <c r="A9" s="189" t="s">
        <v>509</v>
      </c>
      <c r="B9" s="213" t="s">
        <v>508</v>
      </c>
      <c r="C9" s="213" t="s">
        <v>507</v>
      </c>
      <c r="D9" s="334" t="s">
        <v>657</v>
      </c>
      <c r="E9" s="213" t="s">
        <v>884</v>
      </c>
      <c r="F9" s="400" t="s">
        <v>897</v>
      </c>
    </row>
    <row r="10" spans="1:6" ht="31.5" hidden="1" x14ac:dyDescent="0.25">
      <c r="A10" s="190"/>
      <c r="B10" s="38" t="str">
        <f>IF(C10&gt;0,VLOOKUP(C10,Направление!A$1:B$4610,2))</f>
        <v>Расходы на обеспечение софинансирования мероприятий в сфере ипотечного кредитования</v>
      </c>
      <c r="C10" s="213">
        <v>21236</v>
      </c>
      <c r="D10" s="335">
        <f>SUMIFS(Пр6!G$10:G$689,Пр6!$E$10:$E$689,C10)</f>
        <v>0</v>
      </c>
      <c r="E10" s="144">
        <f>SUMIFS(Пр6!H$10:H$689,Пр6!$E$10:$E$689,C10)</f>
        <v>0</v>
      </c>
      <c r="F10" s="144">
        <f>SUMIFS(Пр6!I$10:I$689,Пр6!$E$10:$E$689,C10)</f>
        <v>0</v>
      </c>
    </row>
    <row r="11" spans="1:6" ht="47.25" x14ac:dyDescent="0.25">
      <c r="A11" s="190"/>
      <c r="B11" s="38" t="str">
        <f>IF(C11&gt;0,VLOOKUP(C11,Направление!A$1:B$4610,2))</f>
        <v>Межбюджетные трансферты на обеспечение софинансирования мероприятий в области дорожного хозяйства на ремонт и содержание автомобильных дорог</v>
      </c>
      <c r="C11" s="213">
        <v>22446</v>
      </c>
      <c r="D11" s="401">
        <f>SUMIFS(Пр6!G$10:G$689,Пр6!$E$10:$E$689,C11)</f>
        <v>731700</v>
      </c>
      <c r="E11" s="215">
        <f>SUMIFS(Пр6!H$10:H$689,Пр6!$E$10:$E$689,C11)</f>
        <v>674186.4</v>
      </c>
      <c r="F11" s="400">
        <f>E11/D11*100</f>
        <v>92.139729397293976</v>
      </c>
    </row>
    <row r="12" spans="1:6" ht="47.25" hidden="1" x14ac:dyDescent="0.25">
      <c r="A12" s="190"/>
      <c r="B12" s="38" t="str">
        <f>IF(C12&gt;0,VLOOKUP(C12,Направление!A$1:B$4610,2))</f>
        <v>Межбюджетные трансферты на обеспечение  мероприятий по  разработке схем организации дорожного движения в рамках агломерации "Ярославская"</v>
      </c>
      <c r="C12" s="213">
        <v>23906</v>
      </c>
      <c r="D12" s="335">
        <f>SUMIFS(Пр6!G$10:G$689,Пр6!$E$10:$E$689,C12)</f>
        <v>0</v>
      </c>
      <c r="E12" s="144">
        <f>SUMIFS(Пр6!H$10:H$689,Пр6!$E$10:$E$689,C12)</f>
        <v>0</v>
      </c>
      <c r="F12" s="144">
        <f>SUMIFS(Пр6!I$10:I$689,Пр6!$E$10:$E$689,C12)</f>
        <v>0</v>
      </c>
    </row>
    <row r="13" spans="1:6" ht="63" hidden="1" x14ac:dyDescent="0.25">
      <c r="A13" s="190"/>
      <c r="B13" s="38" t="str">
        <f>IF(C13&gt;0,VLOOKUP(C13,Направление!A$1:B$4610,2))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поселения</v>
      </c>
      <c r="C13" s="213">
        <v>23936</v>
      </c>
      <c r="D13" s="401">
        <f>SUMIFS(Пр6!G$10:G$689,Пр6!$E$10:$E$689,C13)</f>
        <v>4445000</v>
      </c>
      <c r="E13" s="402">
        <f>SUMIFS(Пр6!H$10:H$689,Пр6!$E$10:$E$689,C13)</f>
        <v>0</v>
      </c>
      <c r="F13" s="400">
        <f t="shared" ref="F13:F14" si="0">E13/D13*100</f>
        <v>0</v>
      </c>
    </row>
    <row r="14" spans="1:6" ht="63" x14ac:dyDescent="0.25">
      <c r="A14" s="190"/>
      <c r="B14" s="38" t="str">
        <f>IF(C14&gt;0,VLOOKUP(C14,Направление!A$1:B$4610,2))</f>
        <v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v>
      </c>
      <c r="C14" s="213">
        <v>25356</v>
      </c>
      <c r="D14" s="401">
        <f>SUMIFS(Пр6!G$10:G$689,Пр6!$E$10:$E$689,C14)</f>
        <v>1143087.21</v>
      </c>
      <c r="E14" s="215">
        <f>SUMIFS(Пр6!H$10:H$689,Пр6!$E$10:$E$689,C14)</f>
        <v>94379.4</v>
      </c>
      <c r="F14" s="400">
        <f t="shared" si="0"/>
        <v>8.2565353871818754</v>
      </c>
    </row>
    <row r="15" spans="1:6" ht="63" hidden="1" x14ac:dyDescent="0.25">
      <c r="A15" s="190"/>
      <c r="B15" s="38" t="str">
        <f>IF(C15&gt;0,VLOOKUP(C15,Направление!A$1:B$4610,2))</f>
        <v>Межбюджетные трансферты на обеспечение  софинансирования мероприятий по капитальному ремонту и ремонту дорожных объектов муниципальной собственности</v>
      </c>
      <c r="C15" s="213">
        <v>25626</v>
      </c>
      <c r="D15" s="335">
        <f>SUMIFS(Пр6!G$10:G$689,Пр6!$E$10:$E$689,C15)</f>
        <v>0</v>
      </c>
      <c r="E15" s="144">
        <f>SUMIFS(Пр6!H$10:H$689,Пр6!$E$10:$E$689,C15)</f>
        <v>0</v>
      </c>
      <c r="F15" s="144">
        <f>SUMIFS(Пр6!I$10:I$689,Пр6!$E$10:$E$689,C15)</f>
        <v>0</v>
      </c>
    </row>
    <row r="16" spans="1:6" ht="47.25" hidden="1" x14ac:dyDescent="0.25">
      <c r="A16" s="190"/>
      <c r="B16" s="38" t="str">
        <f>IF(C16&gt;0,VLOOKUP(C16,Направление!A$1:B$4610,2))</f>
        <v>Межбюджетные трансферты на благоустройство, реставрацию и реконструкцию воинских захоронений и военно-мемориальных объектов за счет средств поселений</v>
      </c>
      <c r="C16" s="213">
        <v>26426</v>
      </c>
      <c r="D16" s="335">
        <f>SUMIFS(Пр6!G$10:G$689,Пр6!$E$10:$E$689,C16)</f>
        <v>0</v>
      </c>
      <c r="E16" s="144">
        <f>SUMIFS(Пр6!H$10:H$689,Пр6!$E$10:$E$689,C16)</f>
        <v>0</v>
      </c>
      <c r="F16" s="144">
        <f>SUMIFS(Пр6!I$10:I$689,Пр6!$E$10:$E$689,C16)</f>
        <v>0</v>
      </c>
    </row>
    <row r="17" spans="1:6" ht="78.75" hidden="1" x14ac:dyDescent="0.25">
      <c r="A17" s="190"/>
      <c r="B17" s="38" t="str">
        <f>IF(C17&gt;0,VLOOKUP(C17,Направление!A$1:B$4610,2))</f>
        <v>Межбюджетные трансферты  на софинансирование расходов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C17" s="213">
        <v>26936</v>
      </c>
      <c r="D17" s="401">
        <f>SUMIFS(Пр6!G$10:G$689,Пр6!$E$10:$E$689,C17)</f>
        <v>195000</v>
      </c>
      <c r="E17" s="402">
        <f>SUMIFS(Пр6!H$10:H$689,Пр6!$E$10:$E$689,C17)</f>
        <v>0</v>
      </c>
      <c r="F17" s="400">
        <f t="shared" ref="F17:F20" si="1">E17/D17*100</f>
        <v>0</v>
      </c>
    </row>
    <row r="18" spans="1:6" ht="32.85" hidden="1" customHeight="1" x14ac:dyDescent="0.25">
      <c r="A18" s="190"/>
      <c r="B18" s="38" t="str">
        <f>IF(C18&gt;0,VLOOKUP(C18,Направление!A$1:B$4610,2))</f>
        <v>Межбюджетные трансферты на реализацию приоритетных проектов софинансирование из бюджета поселения</v>
      </c>
      <c r="C18" s="213">
        <v>27266</v>
      </c>
      <c r="D18" s="401">
        <f>SUMIFS(Пр6!G$10:G$689,Пр6!$E$10:$E$689,C18)</f>
        <v>1983321.79</v>
      </c>
      <c r="E18" s="402">
        <f>SUMIFS(Пр6!H$10:H$689,Пр6!$E$10:$E$689,C18)</f>
        <v>0</v>
      </c>
      <c r="F18" s="400">
        <f t="shared" si="1"/>
        <v>0</v>
      </c>
    </row>
    <row r="19" spans="1:6" ht="31.5" x14ac:dyDescent="0.25">
      <c r="A19" s="190"/>
      <c r="B19" s="38" t="str">
        <f>IF(C19&gt;0,VLOOKUP(C19,Направление!A$1:B$4610,2))</f>
        <v xml:space="preserve">Межбюджетные трансферты на содержание органов местного самоуправления </v>
      </c>
      <c r="C19" s="133">
        <v>29016</v>
      </c>
      <c r="D19" s="401">
        <f>SUMIFS(Пр6!G$10:G$689,Пр6!$E$10:$E$689,C19)</f>
        <v>22241441</v>
      </c>
      <c r="E19" s="215">
        <f>SUMIFS(Пр6!H$10:H$689,Пр6!$E$10:$E$689,C19)</f>
        <v>18589325.66</v>
      </c>
      <c r="F19" s="400">
        <f t="shared" si="1"/>
        <v>83.57968199992078</v>
      </c>
    </row>
    <row r="20" spans="1:6" ht="63" x14ac:dyDescent="0.25">
      <c r="A20" s="190"/>
      <c r="B20" s="38" t="str">
        <f>IF(C20&gt;0,VLOOKUP(C20,Направление!A$1:B$4610,2))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C20" s="133">
        <v>29026</v>
      </c>
      <c r="D20" s="401">
        <f>SUMIFS(Пр6!G$10:G$689,Пр6!$E$10:$E$689,C20)</f>
        <v>1127000</v>
      </c>
      <c r="E20" s="215">
        <f>SUMIFS(Пр6!H$10:H$689,Пр6!$E$10:$E$689,C20)</f>
        <v>308692.92</v>
      </c>
      <c r="F20" s="400">
        <f t="shared" si="1"/>
        <v>27.390676131322095</v>
      </c>
    </row>
    <row r="21" spans="1:6" ht="47.25" hidden="1" x14ac:dyDescent="0.25">
      <c r="A21" s="190"/>
      <c r="B21" s="38" t="str">
        <f>IF(C21&gt;0,VLOOKUP(C21,Направление!A$1:B$4610,2))</f>
        <v>Межбюджетные трансферты на обеспечение мероприятий,  связанные с выполнением полномочий ОМС МО  по теплоснабжению</v>
      </c>
      <c r="C21" s="133">
        <v>29036</v>
      </c>
      <c r="D21" s="335">
        <f>SUMIFS(Пр6!G$10:G$689,Пр6!$E$10:$E$689,C21)</f>
        <v>0</v>
      </c>
      <c r="E21" s="144">
        <f>SUMIFS(Пр6!H$10:H$689,Пр6!$E$10:$E$689,C21)</f>
        <v>0</v>
      </c>
      <c r="F21" s="144">
        <f>SUMIFS(Пр6!I$10:I$689,Пр6!$E$10:$E$689,C21)</f>
        <v>0</v>
      </c>
    </row>
    <row r="22" spans="1:6" ht="47.25" hidden="1" x14ac:dyDescent="0.25">
      <c r="A22" s="190"/>
      <c r="B22" s="38" t="str">
        <f>IF(C22&gt;0,VLOOKUP(C22,Направление!A$1:B$4610,2))</f>
        <v xml:space="preserve">Межбюджетные трансферты на обеспечение мероприятий по строительству,  реконструкции и ремонту  объектов водоснабжения и водоотведения </v>
      </c>
      <c r="C22" s="133">
        <v>29046</v>
      </c>
      <c r="D22" s="401">
        <f>SUMIFS(Пр6!G$10:G$689,Пр6!$E$10:$E$689,C22)</f>
        <v>200000</v>
      </c>
      <c r="E22" s="215">
        <f>SUMIFS(Пр6!H$10:H$689,Пр6!$E$10:$E$689,C22)</f>
        <v>0</v>
      </c>
      <c r="F22" s="400">
        <f>E22/D22*100</f>
        <v>0</v>
      </c>
    </row>
    <row r="23" spans="1:6" ht="47.25" hidden="1" x14ac:dyDescent="0.25">
      <c r="A23" s="190"/>
      <c r="B23" s="38" t="str">
        <f>IF(C23&gt;0,VLOOKUP(C23,Направление!A$1:B$4610,2))</f>
        <v xml:space="preserve">Межбюджетные трансферты на обеспечение мероприятий по строительству и реконструкции объектов теплоснабжения </v>
      </c>
      <c r="C23" s="133">
        <v>29056</v>
      </c>
      <c r="D23" s="335">
        <f>SUMIFS(Пр6!G$10:G$689,Пр6!$E$10:$E$689,C23)</f>
        <v>0</v>
      </c>
      <c r="E23" s="144">
        <f>SUMIFS(Пр6!H$10:H$689,Пр6!$E$10:$E$689,C23)</f>
        <v>0</v>
      </c>
      <c r="F23" s="144">
        <f>SUMIFS(Пр6!I$10:I$689,Пр6!$E$10:$E$689,C23)</f>
        <v>0</v>
      </c>
    </row>
    <row r="24" spans="1:6" ht="31.5" hidden="1" x14ac:dyDescent="0.25">
      <c r="A24" s="190"/>
      <c r="B24" s="38" t="str">
        <f>IF(C24&gt;0,VLOOKUP(C24,Направление!A$1:B$4610,2))</f>
        <v xml:space="preserve">Межбюджетные трансферты на строительство и реконструкцию  объектов  газификации </v>
      </c>
      <c r="C24" s="133">
        <v>29066</v>
      </c>
      <c r="D24" s="335">
        <f>SUMIFS(Пр6!G$10:G$689,Пр6!$E$10:$E$689,C24)</f>
        <v>0</v>
      </c>
      <c r="E24" s="144">
        <f>SUMIFS(Пр6!H$10:H$689,Пр6!$E$10:$E$689,C24)</f>
        <v>0</v>
      </c>
      <c r="F24" s="144">
        <f>SUMIFS(Пр6!I$10:I$689,Пр6!$E$10:$E$689,C24)</f>
        <v>0</v>
      </c>
    </row>
    <row r="25" spans="1:6" ht="47.25" hidden="1" x14ac:dyDescent="0.25">
      <c r="A25" s="190"/>
      <c r="B25" s="38" t="str">
        <f>IF(C25&gt;0,VLOOKUP(C25,Направление!A$1:B$4610,2))</f>
        <v>Межбюджетные трансферты на обеспечение   мероприятий в области  дорожного хозяйства  на строительство и  модернизацию автомобильных дорог</v>
      </c>
      <c r="C25" s="133">
        <v>29076</v>
      </c>
      <c r="D25" s="335">
        <f>SUMIFS(Пр6!G$10:G$689,Пр6!$E$10:$E$689,C25)</f>
        <v>0</v>
      </c>
      <c r="E25" s="144">
        <f>SUMIFS(Пр6!H$10:H$689,Пр6!$E$10:$E$689,C25)</f>
        <v>0</v>
      </c>
      <c r="F25" s="144">
        <f>SUMIFS(Пр6!I$10:I$689,Пр6!$E$10:$E$689,C25)</f>
        <v>0</v>
      </c>
    </row>
    <row r="26" spans="1:6" ht="47.25" x14ac:dyDescent="0.25">
      <c r="A26" s="190"/>
      <c r="B26" s="38" t="str">
        <f>IF(C26&gt;0,VLOOKUP(C26,Направление!A$1:B$4610,2))</f>
        <v>Межбюджетные трансферты на обеспечение   мероприятий в области  дорожного хозяйства  на  ремонт и содержание автомобильных дорог</v>
      </c>
      <c r="C26" s="133">
        <v>29086</v>
      </c>
      <c r="D26" s="401">
        <f>SUMIFS(Пр6!G$10:G$689,Пр6!$E$10:$E$689,C26)</f>
        <v>16709705</v>
      </c>
      <c r="E26" s="215">
        <f>SUMIFS(Пр6!H$10:H$689,Пр6!$E$10:$E$689,C26)</f>
        <v>7985091.7300000004</v>
      </c>
      <c r="F26" s="400">
        <f t="shared" ref="F26:F27" si="2">E26/D26*100</f>
        <v>47.787149623527171</v>
      </c>
    </row>
    <row r="27" spans="1:6" ht="47.25" x14ac:dyDescent="0.25">
      <c r="A27" s="190"/>
      <c r="B27" s="38" t="str">
        <f>IF(C27&gt;0,VLOOKUP(C27,Направление!A$1:B$4610,2))</f>
        <v>Межбюджетные трансферты на обеспечение   мероприятий в области  дорожного хозяйства  по повышению безопасности дорожного движения</v>
      </c>
      <c r="C27" s="133">
        <v>29096</v>
      </c>
      <c r="D27" s="401">
        <f>SUMIFS(Пр6!G$10:G$689,Пр6!$E$10:$E$689,C27)</f>
        <v>1722679</v>
      </c>
      <c r="E27" s="215">
        <f>SUMIFS(Пр6!H$10:H$689,Пр6!$E$10:$E$689,C27)</f>
        <v>934726.68</v>
      </c>
      <c r="F27" s="400">
        <f t="shared" si="2"/>
        <v>54.260061218601962</v>
      </c>
    </row>
    <row r="28" spans="1:6" ht="47.25" hidden="1" x14ac:dyDescent="0.25">
      <c r="A28" s="190"/>
      <c r="B28" s="38" t="str">
        <f>IF(C28&gt;0,VLOOKUP(C28,Направление!A$1:B$4610,2))</f>
        <v xml:space="preserve">Межбюджетные трансферты на обеспечение мероприятий в области дорожного хозяйства по строительству светофорных объектов </v>
      </c>
      <c r="C28" s="133">
        <v>29106</v>
      </c>
      <c r="D28" s="335">
        <f>SUMIFS(Пр6!G$10:G$689,Пр6!$E$10:$E$689,C28)</f>
        <v>0</v>
      </c>
      <c r="E28" s="144">
        <f>SUMIFS(Пр6!H$10:H$689,Пр6!$E$10:$E$689,C28)</f>
        <v>0</v>
      </c>
      <c r="F28" s="144">
        <f>SUMIFS(Пр6!I$10:I$689,Пр6!$E$10:$E$689,C28)</f>
        <v>0</v>
      </c>
    </row>
    <row r="29" spans="1:6" ht="63" hidden="1" x14ac:dyDescent="0.25">
      <c r="A29" s="190"/>
      <c r="B29" s="38" t="str">
        <f>IF(C29&gt;0,VLOOKUP(C29,Направление!A$1:B$4610,2))</f>
        <v>Межбюджетные трансферты на обеспечение  мероприятий программы "Улучшение условий проживания отдельных категорий граждан, нуждающихся в специальной социальной защите</v>
      </c>
      <c r="C29" s="133">
        <v>29116</v>
      </c>
      <c r="D29" s="335">
        <f>SUMIFS(Пр6!G$10:G$689,Пр6!$E$10:$E$689,C29)</f>
        <v>0</v>
      </c>
      <c r="E29" s="144">
        <f>SUMIFS(Пр6!H$10:H$689,Пр6!$E$10:$E$689,C29)</f>
        <v>0</v>
      </c>
      <c r="F29" s="144">
        <f>SUMIFS(Пр6!I$10:I$689,Пр6!$E$10:$E$689,C29)</f>
        <v>0</v>
      </c>
    </row>
    <row r="30" spans="1:6" ht="78.75" hidden="1" x14ac:dyDescent="0.25">
      <c r="A30" s="190"/>
      <c r="B30" s="38" t="str">
        <f>IF(C30&gt;0,VLOOKUP(C30,Направление!A$1:B$4610,2))</f>
        <v xml:space="preserve">Межбюджетные трансферты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v>
      </c>
      <c r="C30" s="133">
        <v>29126</v>
      </c>
      <c r="D30" s="335">
        <f>SUMIFS(Пр6!G$10:G$689,Пр6!$E$10:$E$689,C30)</f>
        <v>0</v>
      </c>
      <c r="E30" s="144">
        <f>SUMIFS(Пр6!H$10:H$689,Пр6!$E$10:$E$689,C30)</f>
        <v>0</v>
      </c>
      <c r="F30" s="144">
        <f>SUMIFS(Пр6!I$10:I$689,Пр6!$E$10:$E$689,C30)</f>
        <v>0</v>
      </c>
    </row>
    <row r="31" spans="1:6" ht="47.25" hidden="1" x14ac:dyDescent="0.25">
      <c r="A31" s="190"/>
      <c r="B31" s="38" t="str">
        <f>IF(C31&gt;0,VLOOKUP(C31,Направление!A$1:B$4610,2))</f>
        <v>Межбюджетные трансферты на обеспечение мероприятий по улучшение жилищных условий молодых семей, проживающих и на территории Ярославской области</v>
      </c>
      <c r="C31" s="133">
        <v>29136</v>
      </c>
      <c r="D31" s="335">
        <f>SUMIFS(Пр6!G$10:G$689,Пр6!$E$10:$E$689,C31)</f>
        <v>0</v>
      </c>
      <c r="E31" s="144">
        <f>SUMIFS(Пр6!H$10:H$689,Пр6!$E$10:$E$689,C31)</f>
        <v>0</v>
      </c>
      <c r="F31" s="144">
        <f>SUMIFS(Пр6!I$10:I$689,Пр6!$E$10:$E$689,C31)</f>
        <v>0</v>
      </c>
    </row>
    <row r="32" spans="1:6" ht="47.25" hidden="1" x14ac:dyDescent="0.25">
      <c r="A32" s="190"/>
      <c r="B32" s="38" t="str">
        <f>IF(C32&gt;0,VLOOKUP(C32,Направление!A$1:B$4610,2))</f>
        <v>Межбюджетные трансферты на обеспечение мероприятий по переселению граждан из аварийного жилищного фонда за счет средств бюджета поселения</v>
      </c>
      <c r="C32" s="133">
        <v>29146</v>
      </c>
      <c r="D32" s="335">
        <f>SUMIFS(Пр6!G$10:G$689,Пр6!$E$10:$E$689,C32)</f>
        <v>0</v>
      </c>
      <c r="E32" s="144">
        <f>SUMIFS(Пр6!H$10:H$689,Пр6!$E$10:$E$689,C32)</f>
        <v>0</v>
      </c>
      <c r="F32" s="144">
        <f>SUMIFS(Пр6!I$10:I$689,Пр6!$E$10:$E$689,C32)</f>
        <v>0</v>
      </c>
    </row>
    <row r="33" spans="1:6" ht="31.5" hidden="1" x14ac:dyDescent="0.25">
      <c r="A33" s="190"/>
      <c r="B33" s="38" t="str">
        <f>IF(C33&gt;0,VLOOKUP(C33,Направление!A$1:B$4610,2))</f>
        <v>Межбюджетные трансферты на обеспечение мероприятий в сфере ипотечного жилищного кредитования</v>
      </c>
      <c r="C33" s="133">
        <v>29156</v>
      </c>
      <c r="D33" s="335">
        <f>SUMIFS(Пр6!G$10:G$689,Пр6!$E$10:$E$689,C33)</f>
        <v>0</v>
      </c>
      <c r="E33" s="144">
        <f>SUMIFS(Пр6!H$10:H$689,Пр6!$E$10:$E$689,C33)</f>
        <v>0</v>
      </c>
      <c r="F33" s="144">
        <f>SUMIFS(Пр6!I$10:I$689,Пр6!$E$10:$E$689,C33)</f>
        <v>0</v>
      </c>
    </row>
    <row r="34" spans="1:6" ht="47.25" hidden="1" x14ac:dyDescent="0.25">
      <c r="A34" s="190"/>
      <c r="B34" s="38" t="str">
        <f>IF(C34&gt;0,VLOOKUP(C34,Направление!A$1:B$4610,2))</f>
        <v>Межбюджетные трансферты на обеспечение мероприятий по осуществлению грузопассажирских  перевозок на речном транспорте</v>
      </c>
      <c r="C34" s="133">
        <v>29166</v>
      </c>
      <c r="D34" s="335">
        <f>SUMIFS(Пр6!G$10:G$689,Пр6!$E$10:$E$689,C34)</f>
        <v>0</v>
      </c>
      <c r="E34" s="144">
        <f>SUMIFS(Пр6!H$10:H$689,Пр6!$E$10:$E$689,C34)</f>
        <v>0</v>
      </c>
      <c r="F34" s="144">
        <f>SUMIFS(Пр6!I$10:I$689,Пр6!$E$10:$E$689,C34)</f>
        <v>0</v>
      </c>
    </row>
    <row r="35" spans="1:6" ht="47.25" x14ac:dyDescent="0.25">
      <c r="A35" s="190"/>
      <c r="B35" s="38" t="str">
        <f>IF(C35&gt;0,VLOOKUP(C35,Направление!A$1:B$4610,2))</f>
        <v>Межбюджетные трансферты на обеспечение мероприятий по осуществлению пассажирских  перевозок на автомобильном  транспорте</v>
      </c>
      <c r="C35" s="133">
        <v>29176</v>
      </c>
      <c r="D35" s="401">
        <f>SUMIFS(Пр6!G$10:G$689,Пр6!$E$10:$E$689,C35)</f>
        <v>755130</v>
      </c>
      <c r="E35" s="215">
        <f>SUMIFS(Пр6!H$10:H$689,Пр6!$E$10:$E$689,C35)</f>
        <v>465668.96</v>
      </c>
      <c r="F35" s="400">
        <f>E35/D35*100</f>
        <v>61.667389720975194</v>
      </c>
    </row>
    <row r="36" spans="1:6" ht="47.25" hidden="1" x14ac:dyDescent="0.25">
      <c r="A36" s="190"/>
      <c r="B36" s="38" t="str">
        <f>IF(C36&gt;0,VLOOKUP(C36,Направление!A$1:B$4610,2))</f>
        <v>Межбюджетные трансферты на обеспечение мероприятий по  предупреждению и ликвидации последствий чрезвычайных ситуаций в границах поселения</v>
      </c>
      <c r="C36" s="133">
        <v>29186</v>
      </c>
      <c r="D36" s="335">
        <f>SUMIFS(Пр6!G$10:G$689,Пр6!$E$10:$E$689,C36)</f>
        <v>0</v>
      </c>
      <c r="E36" s="144">
        <f>SUMIFS(Пр6!H$10:H$689,Пр6!$E$10:$E$689,C36)</f>
        <v>0</v>
      </c>
      <c r="F36" s="144">
        <f>SUMIFS(Пр6!I$10:I$689,Пр6!$E$10:$E$689,C36)</f>
        <v>0</v>
      </c>
    </row>
    <row r="37" spans="1:6" ht="47.25" hidden="1" x14ac:dyDescent="0.25">
      <c r="A37" s="190"/>
      <c r="B37" s="38" t="str">
        <f>IF(C37&gt;0,VLOOKUP(C37,Направление!A$1:B$4610,2))</f>
        <v>Межбюджетные трансферты на обеспечение   первичных мер пожарной безопасности в границах населенных пунктов поселения</v>
      </c>
      <c r="C37" s="133">
        <v>29196</v>
      </c>
      <c r="D37" s="335">
        <f>SUMIFS(Пр6!G$10:G$689,Пр6!$E$10:$E$689,C37)</f>
        <v>0</v>
      </c>
      <c r="E37" s="144">
        <f>SUMIFS(Пр6!H$10:H$689,Пр6!$E$10:$E$689,C37)</f>
        <v>0</v>
      </c>
      <c r="F37" s="144">
        <f>SUMIFS(Пр6!I$10:I$689,Пр6!$E$10:$E$689,C37)</f>
        <v>0</v>
      </c>
    </row>
    <row r="38" spans="1:6" ht="31.5" hidden="1" x14ac:dyDescent="0.25">
      <c r="A38" s="190"/>
      <c r="B38" s="38" t="str">
        <f>IF(C38&gt;0,VLOOKUP(C38,Направление!A$1:B$4610,2))</f>
        <v>Межбюджетные трансферты на  обеспечение мероприятий по организации населению услуг бань  в общих отделениях</v>
      </c>
      <c r="C38" s="133">
        <v>29206</v>
      </c>
      <c r="D38" s="335">
        <f>SUMIFS(Пр6!G$10:G$689,Пр6!$E$10:$E$689,C38)</f>
        <v>0</v>
      </c>
      <c r="E38" s="144">
        <f>SUMIFS(Пр6!H$10:H$689,Пр6!$E$10:$E$689,C38)</f>
        <v>0</v>
      </c>
      <c r="F38" s="144">
        <f>SUMIFS(Пр6!I$10:I$689,Пр6!$E$10:$E$689,C38)</f>
        <v>0</v>
      </c>
    </row>
    <row r="39" spans="1:6" ht="31.5" x14ac:dyDescent="0.25">
      <c r="A39" s="190"/>
      <c r="B39" s="38" t="str">
        <f>IF(C39&gt;0,VLOOKUP(C39,Направление!A$1:B$4610,2))</f>
        <v xml:space="preserve">Межбюджетные трансферты на обеспечение культурно-досуговых мероприятий </v>
      </c>
      <c r="C39" s="133">
        <v>29216</v>
      </c>
      <c r="D39" s="401">
        <f>SUMIFS(Пр6!G$10:G$689,Пр6!$E$10:$E$689,C39)</f>
        <v>790000</v>
      </c>
      <c r="E39" s="215">
        <f>SUMIFS(Пр6!H$10:H$689,Пр6!$E$10:$E$689,C39)</f>
        <v>518334.11</v>
      </c>
      <c r="F39" s="400">
        <f t="shared" ref="F39:F45" si="3">E39/D39*100</f>
        <v>65.611912658227851</v>
      </c>
    </row>
    <row r="40" spans="1:6" ht="31.5" x14ac:dyDescent="0.25">
      <c r="A40" s="190"/>
      <c r="B40" s="38" t="str">
        <f>IF(C40&gt;0,VLOOKUP(C40,Направление!A$1:B$4610,2))</f>
        <v>Межбюджетные трансферты на обеспечение  физкультурно-спортивных мероприятий</v>
      </c>
      <c r="C40" s="133">
        <v>29226</v>
      </c>
      <c r="D40" s="401">
        <f>SUMIFS(Пр6!G$10:G$689,Пр6!$E$10:$E$689,C40)</f>
        <v>350000</v>
      </c>
      <c r="E40" s="215">
        <f>SUMIFS(Пр6!H$10:H$689,Пр6!$E$10:$E$689,C40)</f>
        <v>104936.35</v>
      </c>
      <c r="F40" s="400">
        <f t="shared" si="3"/>
        <v>29.981814285714286</v>
      </c>
    </row>
    <row r="41" spans="1:6" ht="31.5" x14ac:dyDescent="0.25">
      <c r="A41" s="190"/>
      <c r="B41" s="38" t="str">
        <f>IF(C41&gt;0,VLOOKUP(C41,Направление!A$1:B$4610,2))</f>
        <v>Межбюджетные трансферты на обеспечение мероприятий по уличному освещению</v>
      </c>
      <c r="C41" s="133">
        <v>29236</v>
      </c>
      <c r="D41" s="401">
        <f>SUMIFS(Пр6!G$10:G$689,Пр6!$E$10:$E$689,C41)</f>
        <v>14647777</v>
      </c>
      <c r="E41" s="215">
        <f>SUMIFS(Пр6!H$10:H$689,Пр6!$E$10:$E$689,C41)</f>
        <v>9513933.3800000008</v>
      </c>
      <c r="F41" s="400">
        <f t="shared" si="3"/>
        <v>64.95138054054209</v>
      </c>
    </row>
    <row r="42" spans="1:6" ht="47.25" x14ac:dyDescent="0.25">
      <c r="A42" s="190"/>
      <c r="B42" s="38" t="str">
        <f>IF(C42&gt;0,VLOOKUP(C42,Направление!A$1:B$4610,2))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C42" s="133">
        <v>29246</v>
      </c>
      <c r="D42" s="401">
        <f>SUMIFS(Пр6!G$10:G$689,Пр6!$E$10:$E$689,C42)</f>
        <v>2491848</v>
      </c>
      <c r="E42" s="215">
        <f>SUMIFS(Пр6!H$10:H$689,Пр6!$E$10:$E$689,C42)</f>
        <v>1082691.6200000001</v>
      </c>
      <c r="F42" s="400">
        <f t="shared" si="3"/>
        <v>43.449344422292214</v>
      </c>
    </row>
    <row r="43" spans="1:6" ht="31.5" x14ac:dyDescent="0.25">
      <c r="A43" s="190"/>
      <c r="B43" s="38" t="str">
        <f>IF(C43&gt;0,VLOOKUP(C43,Направление!A$1:B$4610,2))</f>
        <v>Межбюджетные трансферты на содержание и организацию деятельности по благоустройству на территории поселения</v>
      </c>
      <c r="C43" s="133">
        <v>29256</v>
      </c>
      <c r="D43" s="401">
        <f>SUMIFS(Пр6!G$10:G$689,Пр6!$E$10:$E$689,C43)</f>
        <v>18687140</v>
      </c>
      <c r="E43" s="215">
        <f>SUMIFS(Пр6!H$10:H$689,Пр6!$E$10:$E$689,C43)</f>
        <v>12668591.58</v>
      </c>
      <c r="F43" s="400">
        <f t="shared" si="3"/>
        <v>67.793100388823547</v>
      </c>
    </row>
    <row r="44" spans="1:6" ht="31.5" x14ac:dyDescent="0.25">
      <c r="A44" s="190"/>
      <c r="B44" s="38" t="str">
        <f>IF(C44&gt;0,VLOOKUP(C44,Направление!A$1:B$4610,2))</f>
        <v>Межбюджетные трансферты на обеспечение мероприятий в области благоустройства и озеленения</v>
      </c>
      <c r="C44" s="133">
        <v>29266</v>
      </c>
      <c r="D44" s="401">
        <f>SUMIFS(Пр6!G$10:G$689,Пр6!$E$10:$E$689,C44)</f>
        <v>4949998.5999999996</v>
      </c>
      <c r="E44" s="215">
        <f>SUMIFS(Пр6!H$10:H$689,Пр6!$E$10:$E$689,C44)</f>
        <v>2456318</v>
      </c>
      <c r="F44" s="400">
        <f t="shared" si="3"/>
        <v>49.622599893260578</v>
      </c>
    </row>
    <row r="45" spans="1:6" ht="63" x14ac:dyDescent="0.25">
      <c r="A45" s="190"/>
      <c r="B45" s="38" t="str">
        <f>IF(C45&gt;0,VLOOKUP(C45,Направление!A$1:B$4610,2))</f>
        <v>Межбюджетные трансферты на обеспечение мероприятий  по землеустройству и землепользованию,   определению кадастровой стоимости и приобретению прав собственности на землю</v>
      </c>
      <c r="C45" s="133">
        <v>29276</v>
      </c>
      <c r="D45" s="401">
        <f>SUMIFS(Пр6!G$10:G$689,Пр6!$E$10:$E$689,C45)</f>
        <v>500000</v>
      </c>
      <c r="E45" s="215">
        <f>SUMIFS(Пр6!H$10:H$689,Пр6!$E$10:$E$689,C45)</f>
        <v>58318.879999999997</v>
      </c>
      <c r="F45" s="400">
        <f t="shared" si="3"/>
        <v>11.663775999999999</v>
      </c>
    </row>
    <row r="46" spans="1:6" ht="47.25" hidden="1" x14ac:dyDescent="0.25">
      <c r="A46" s="190"/>
      <c r="B46" s="38" t="str">
        <f>IF(C46&gt;0,VLOOKUP(C46,Направление!A$1:B$4610,2))</f>
        <v>Межбюджетные трансферты на обеспечение мероприятий по внесению изменений в документы территориального планирования</v>
      </c>
      <c r="C46" s="133">
        <v>29286</v>
      </c>
      <c r="D46" s="335">
        <f>SUMIFS(Пр6!G$10:G$689,Пр6!$E$10:$E$689,C46)</f>
        <v>0</v>
      </c>
      <c r="E46" s="144">
        <f>SUMIFS(Пр6!H$10:H$689,Пр6!$E$10:$E$689,C46)</f>
        <v>0</v>
      </c>
      <c r="F46" s="144">
        <f>SUMIFS(Пр6!I$10:I$689,Пр6!$E$10:$E$689,C46)</f>
        <v>0</v>
      </c>
    </row>
    <row r="47" spans="1:6" ht="31.5" hidden="1" x14ac:dyDescent="0.25">
      <c r="A47" s="190"/>
      <c r="B47" s="38" t="str">
        <f>IF(C47&gt;0,VLOOKUP(C47,Направление!A$1:B$4610,2))</f>
        <v>Межбюджетные трансферты на обеспечение мероприятий по выдаче градостроительных документов</v>
      </c>
      <c r="C47" s="133">
        <v>29296</v>
      </c>
      <c r="D47" s="335">
        <f>SUMIFS(Пр6!G$10:G$689,Пр6!$E$10:$E$689,C47)</f>
        <v>0</v>
      </c>
      <c r="E47" s="144">
        <f>SUMIFS(Пр6!H$10:H$689,Пр6!$E$10:$E$689,C47)</f>
        <v>0</v>
      </c>
      <c r="F47" s="144">
        <f>SUMIFS(Пр6!I$10:I$689,Пр6!$E$10:$E$689,C47)</f>
        <v>0</v>
      </c>
    </row>
    <row r="48" spans="1:6" ht="31.5" x14ac:dyDescent="0.25">
      <c r="A48" s="190"/>
      <c r="B48" s="38" t="str">
        <f>IF(C48&gt;0,VLOOKUP(C48,Направление!A$1:B$4610,2))</f>
        <v>Межбюджетные трансферты на обеспечение мероприятий по  содержанию мест захоронения</v>
      </c>
      <c r="C48" s="133">
        <v>29316</v>
      </c>
      <c r="D48" s="401">
        <f>SUMIFS(Пр6!G$10:G$689,Пр6!$E$10:$E$689,C48)</f>
        <v>656864</v>
      </c>
      <c r="E48" s="215">
        <f>SUMIFS(Пр6!H$10:H$689,Пр6!$E$10:$E$689,C48)</f>
        <v>388961.33</v>
      </c>
      <c r="F48" s="400">
        <f>E48/D48*100</f>
        <v>59.214895320796998</v>
      </c>
    </row>
    <row r="49" spans="1:6" ht="47.25" hidden="1" x14ac:dyDescent="0.25">
      <c r="A49" s="190"/>
      <c r="B49" s="38" t="str">
        <f>IF(C49&gt;0,VLOOKUP(C49,Направление!A$1:B$4610,2))</f>
        <v>Межбюджетные трансферты на обеспечение мероприятий по обеспечению безопасности людей на водных объектах, охране их жизни и здоровья</v>
      </c>
      <c r="C49" s="133">
        <v>29326</v>
      </c>
      <c r="D49" s="335">
        <f>SUMIFS(Пр6!G$10:G$689,Пр6!$E$10:$E$689,C49)</f>
        <v>0</v>
      </c>
      <c r="E49" s="144">
        <f>SUMIFS(Пр6!H$10:H$689,Пр6!$E$10:$E$689,C49)</f>
        <v>0</v>
      </c>
      <c r="F49" s="144">
        <f>SUMIFS(Пр6!I$10:I$689,Пр6!$E$10:$E$689,C49)</f>
        <v>0</v>
      </c>
    </row>
    <row r="50" spans="1:6" ht="47.25" hidden="1" x14ac:dyDescent="0.25">
      <c r="A50" s="190"/>
      <c r="B50" s="38" t="str">
        <f>IF(C50&gt;0,VLOOKUP(C50,Направление!A$1:B$4610,2))</f>
        <v>Межбюджетные трансферты на обеспечение мероприятий для развития субъектов малого и среднего предпринимательства</v>
      </c>
      <c r="C50" s="133">
        <v>29336</v>
      </c>
      <c r="D50" s="335">
        <f>SUMIFS(Пр6!G$10:G$689,Пр6!$E$10:$E$689,C50)</f>
        <v>0</v>
      </c>
      <c r="E50" s="144">
        <f>SUMIFS(Пр6!H$10:H$689,Пр6!$E$10:$E$689,C50)</f>
        <v>0</v>
      </c>
      <c r="F50" s="144">
        <f>SUMIFS(Пр6!I$10:I$689,Пр6!$E$10:$E$689,C50)</f>
        <v>0</v>
      </c>
    </row>
    <row r="51" spans="1:6" ht="31.5" hidden="1" x14ac:dyDescent="0.25">
      <c r="A51" s="190"/>
      <c r="B51" s="38" t="str">
        <f>IF(C51&gt;0,VLOOKUP(C51,Направление!A$1:B$4610,2))</f>
        <v>Межбюджетные трансферты на обеспечение мероприятий  по работе с детьми и молодежью</v>
      </c>
      <c r="C51" s="133">
        <v>29346</v>
      </c>
      <c r="D51" s="335">
        <f>SUMIFS(Пр6!G$10:G$689,Пр6!$E$10:$E$689,C51)</f>
        <v>0</v>
      </c>
      <c r="E51" s="144">
        <f>SUMIFS(Пр6!H$10:H$689,Пр6!$E$10:$E$689,C51)</f>
        <v>0</v>
      </c>
      <c r="F51" s="144">
        <f>SUMIFS(Пр6!I$10:I$689,Пр6!$E$10:$E$689,C51)</f>
        <v>0</v>
      </c>
    </row>
    <row r="52" spans="1:6" ht="31.5" hidden="1" x14ac:dyDescent="0.25">
      <c r="A52" s="190"/>
      <c r="B52" s="38" t="str">
        <f>IF(C52&gt;0,VLOOKUP(C52,Направление!A$1:B$4610,2))</f>
        <v>Межбюджетные трансферты на обеспечение мероприятий по поддержке СМИ</v>
      </c>
      <c r="C52" s="133">
        <v>29366</v>
      </c>
      <c r="D52" s="335">
        <f>SUMIFS(Пр6!G$10:G$689,Пр6!$E$10:$E$689,C52)</f>
        <v>0</v>
      </c>
      <c r="E52" s="144">
        <f>SUMIFS(Пр6!H$10:H$689,Пр6!$E$10:$E$689,C52)</f>
        <v>0</v>
      </c>
      <c r="F52" s="144">
        <f>SUMIFS(Пр6!I$10:I$689,Пр6!$E$10:$E$689,C52)</f>
        <v>0</v>
      </c>
    </row>
    <row r="53" spans="1:6" ht="47.25" x14ac:dyDescent="0.25">
      <c r="A53" s="191">
        <v>1</v>
      </c>
      <c r="B53" s="38" t="str">
        <f>IF(C53&gt;0,VLOOKUP(C53,Направление!A$1:B$4610,2))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C53" s="133">
        <v>29376</v>
      </c>
      <c r="D53" s="401">
        <f>SUMIFS(Пр6!G$10:G$689,Пр6!$E$10:$E$689,C53)</f>
        <v>6494146.4000000004</v>
      </c>
      <c r="E53" s="215">
        <f>SUMIFS(Пр6!H$10:H$689,Пр6!$E$10:$E$689,C53)</f>
        <v>4384532.55</v>
      </c>
      <c r="F53" s="400">
        <f t="shared" ref="F53:F54" si="4">E53/D53*100</f>
        <v>67.515147949236237</v>
      </c>
    </row>
    <row r="54" spans="1:6" ht="31.5" x14ac:dyDescent="0.25">
      <c r="A54" s="192"/>
      <c r="B54" s="38" t="str">
        <f>IF(C54&gt;0,VLOOKUP(C54,Направление!A$1:B$4610,2))</f>
        <v>Межбюджетные трансферты на обеспечение мероприятий по осуществлению внешнего муниципального контроля</v>
      </c>
      <c r="C54" s="133">
        <v>29386</v>
      </c>
      <c r="D54" s="401">
        <f>SUMIFS(Пр6!G$10:G$689,Пр6!$E$10:$E$689,C54)</f>
        <v>53095</v>
      </c>
      <c r="E54" s="215">
        <f>SUMIFS(Пр6!H$10:H$689,Пр6!$E$10:$E$689,C54)</f>
        <v>53095</v>
      </c>
      <c r="F54" s="400">
        <f t="shared" si="4"/>
        <v>100</v>
      </c>
    </row>
    <row r="55" spans="1:6" ht="63" hidden="1" x14ac:dyDescent="0.25">
      <c r="A55" s="192"/>
      <c r="B55" s="38" t="str">
        <f>IF(C55&gt;0,VLOOKUP(C55,Направление!A$1:B$4610,2))</f>
        <v>Межбюджетные трансферты на 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C55" s="133">
        <v>29396</v>
      </c>
      <c r="D55" s="335">
        <f>SUMIFS(Пр6!G$10:G$689,Пр6!$E$10:$E$689,C55)</f>
        <v>0</v>
      </c>
      <c r="E55" s="144">
        <f>SUMIFS(Пр6!H$10:H$689,Пр6!$E$10:$E$689,C55)</f>
        <v>0</v>
      </c>
      <c r="F55" s="144">
        <f>SUMIFS(Пр6!I$10:I$689,Пр6!$E$10:$E$689,C55)</f>
        <v>0</v>
      </c>
    </row>
    <row r="56" spans="1:6" ht="63" hidden="1" x14ac:dyDescent="0.25">
      <c r="A56" s="192"/>
      <c r="B56" s="38" t="str">
        <f>IF(C56&gt;0,VLOOKUP(C56,Направление!A$1:B$4610,2))</f>
        <v>Межбюджетные трансферты на 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v>
      </c>
      <c r="C56" s="133">
        <v>29406</v>
      </c>
      <c r="D56" s="335">
        <f>SUMIFS(Пр6!G$10:G$689,Пр6!$E$10:$E$689,C56)</f>
        <v>0</v>
      </c>
      <c r="E56" s="144">
        <f>SUMIFS(Пр6!H$10:H$689,Пр6!$E$10:$E$689,C56)</f>
        <v>0</v>
      </c>
      <c r="F56" s="144">
        <f>SUMIFS(Пр6!I$10:I$689,Пр6!$E$10:$E$689,C56)</f>
        <v>0</v>
      </c>
    </row>
    <row r="57" spans="1:6" ht="78.75" hidden="1" x14ac:dyDescent="0.25">
      <c r="A57" s="193">
        <f>A53+1</f>
        <v>2</v>
      </c>
      <c r="B57" s="38" t="str">
        <f>IF(C57&gt;0,VLOOKUP(C57,Направление!A$1:B$4610,2))</f>
        <v>Межбюджетные трансферты на 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v>
      </c>
      <c r="C57" s="133">
        <v>29416</v>
      </c>
      <c r="D57" s="335">
        <f>SUMIFS(Пр6!G$10:G$689,Пр6!$E$10:$E$689,C57)</f>
        <v>0</v>
      </c>
      <c r="E57" s="144">
        <f>SUMIFS(Пр6!H$10:H$689,Пр6!$E$10:$E$689,C57)</f>
        <v>0</v>
      </c>
      <c r="F57" s="144">
        <f>SUMIFS(Пр6!I$10:I$689,Пр6!$E$10:$E$689,C57)</f>
        <v>0</v>
      </c>
    </row>
    <row r="58" spans="1:6" ht="31.5" hidden="1" x14ac:dyDescent="0.25">
      <c r="A58" s="193">
        <f t="shared" ref="A58:A60" si="5">A57+1</f>
        <v>3</v>
      </c>
      <c r="B58" s="38" t="str">
        <f>IF(C58&gt;0,VLOOKUP(C58,Направление!A$1:B$4610,2))</f>
        <v>Межбюджетные трансферты на обеспечение мероприятий по строительству  спортивных объектов</v>
      </c>
      <c r="C58" s="133">
        <v>29426</v>
      </c>
      <c r="D58" s="335">
        <f>SUMIFS(Пр6!G$10:G$689,Пр6!$E$10:$E$689,C58)</f>
        <v>0</v>
      </c>
      <c r="E58" s="144">
        <f>SUMIFS(Пр6!H$10:H$689,Пр6!$E$10:$E$689,C58)</f>
        <v>0</v>
      </c>
      <c r="F58" s="144">
        <f>SUMIFS(Пр6!I$10:I$689,Пр6!$E$10:$E$689,C58)</f>
        <v>0</v>
      </c>
    </row>
    <row r="59" spans="1:6" ht="47.25" x14ac:dyDescent="0.25">
      <c r="A59" s="193">
        <f t="shared" si="5"/>
        <v>4</v>
      </c>
      <c r="B59" s="38" t="str">
        <f>IF(C59&gt;0,VLOOKUP(C59,Направление!A$1:B$4610,2))</f>
        <v xml:space="preserve">Межбюджетные трансферты на обеспечение мероприятий по начислению и сбору платы за найм муниципального жилищного фонда </v>
      </c>
      <c r="C59" s="133">
        <v>29436</v>
      </c>
      <c r="D59" s="401">
        <f>SUMIFS(Пр6!G$10:G$689,Пр6!$E$10:$E$689,C59)</f>
        <v>350000</v>
      </c>
      <c r="E59" s="215">
        <f>SUMIFS(Пр6!H$10:H$689,Пр6!$E$10:$E$689,C59)</f>
        <v>212707.44</v>
      </c>
      <c r="F59" s="400">
        <f t="shared" ref="F59:F61" si="6">E59/D59*100</f>
        <v>60.773554285714283</v>
      </c>
    </row>
    <row r="60" spans="1:6" ht="47.25" hidden="1" x14ac:dyDescent="0.25">
      <c r="A60" s="193">
        <f t="shared" si="5"/>
        <v>5</v>
      </c>
      <c r="B60" s="38" t="str">
        <f>IF(C60&gt;0,VLOOKUP(C60,Направление!A$1:B$4610,2))</f>
        <v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v>
      </c>
      <c r="C60" s="133">
        <v>29446</v>
      </c>
      <c r="D60" s="401">
        <f>SUMIFS(Пр6!G$10:G$689,Пр6!$E$10:$E$689,C60)</f>
        <v>60000</v>
      </c>
      <c r="E60" s="402">
        <f>SUMIFS(Пр6!H$10:H$689,Пр6!$E$10:$E$689,C60)</f>
        <v>0</v>
      </c>
      <c r="F60" s="400">
        <f t="shared" si="6"/>
        <v>0</v>
      </c>
    </row>
    <row r="61" spans="1:6" ht="31.5" x14ac:dyDescent="0.25">
      <c r="A61" s="194">
        <v>6</v>
      </c>
      <c r="B61" s="38" t="str">
        <f>IF(C61&gt;0,VLOOKUP(C61,Направление!A$1:B$4610,2))</f>
        <v xml:space="preserve">Межбюджетные трансферты на обеспечение мероприятий по  формированию современной городской среды </v>
      </c>
      <c r="C61" s="133">
        <v>29456</v>
      </c>
      <c r="D61" s="401">
        <f>SUMIFS(Пр6!G$10:G$689,Пр6!$E$10:$E$689,C61)</f>
        <v>7219409</v>
      </c>
      <c r="E61" s="215">
        <f>SUMIFS(Пр6!H$10:H$689,Пр6!$E$10:$E$689,C61)</f>
        <v>5900276.6199999992</v>
      </c>
      <c r="F61" s="400">
        <f t="shared" si="6"/>
        <v>81.727972746799622</v>
      </c>
    </row>
    <row r="62" spans="1:6" ht="47.25" hidden="1" x14ac:dyDescent="0.25">
      <c r="A62" s="194">
        <v>7</v>
      </c>
      <c r="B62" s="38" t="str">
        <f>IF(C62&gt;0,VLOOKUP(C62,Направление!A$1:B$4610,2))</f>
        <v>Межбюджетные трансферты на обеспечение мероприятий по защите от чрезвычайных ситуаций природного и техногенного характера</v>
      </c>
      <c r="C62" s="133">
        <v>29466</v>
      </c>
      <c r="D62" s="335">
        <f>SUMIFS(Пр6!G$10:G$689,Пр6!$E$10:$E$689,C62)</f>
        <v>0</v>
      </c>
      <c r="E62" s="144">
        <f>SUMIFS(Пр6!H$10:H$689,Пр6!$E$10:$E$689,C62)</f>
        <v>0</v>
      </c>
      <c r="F62" s="144">
        <f>SUMIFS(Пр6!I$10:I$689,Пр6!$E$10:$E$689,C62)</f>
        <v>0</v>
      </c>
    </row>
    <row r="63" spans="1:6" ht="31.5" hidden="1" x14ac:dyDescent="0.25">
      <c r="A63" s="194">
        <v>8</v>
      </c>
      <c r="B63" s="38" t="str">
        <f>IF(C63&gt;0,VLOOKUP(C63,Направление!A$1:B$4610,2))</f>
        <v xml:space="preserve"> Межбюджетные трансферты на обеспечение мероприятий по строительству и реконструкции  памятников</v>
      </c>
      <c r="C63" s="133">
        <v>29476</v>
      </c>
      <c r="D63" s="335">
        <f>SUMIFS(Пр6!G$10:G$689,Пр6!$E$10:$E$689,C63)</f>
        <v>0</v>
      </c>
      <c r="E63" s="144">
        <f>SUMIFS(Пр6!H$10:H$689,Пр6!$E$10:$E$689,C63)</f>
        <v>0</v>
      </c>
      <c r="F63" s="144">
        <f>SUMIFS(Пр6!I$10:I$689,Пр6!$E$10:$E$689,C63)</f>
        <v>0</v>
      </c>
    </row>
    <row r="64" spans="1:6" ht="31.5" x14ac:dyDescent="0.25">
      <c r="A64" s="194">
        <v>9</v>
      </c>
      <c r="B64" s="38" t="str">
        <f>IF(C64&gt;0,VLOOKUP(C64,Направление!A$1:B$4610,2))</f>
        <v>Межбюджетные трансферты на обеспечение деятельности народных дружин</v>
      </c>
      <c r="C64" s="133">
        <v>29486</v>
      </c>
      <c r="D64" s="401">
        <f>SUMIFS(Пр6!G$10:G$689,Пр6!$E$10:$E$689,C64)</f>
        <v>180000</v>
      </c>
      <c r="E64" s="215">
        <f>SUMIFS(Пр6!H$10:H$689,Пр6!$E$10:$E$689,C64)</f>
        <v>131120.79999999999</v>
      </c>
      <c r="F64" s="400">
        <f>E64/D64*100</f>
        <v>72.844888888888875</v>
      </c>
    </row>
    <row r="65" spans="1:6" ht="47.25" hidden="1" x14ac:dyDescent="0.25">
      <c r="A65" s="194">
        <v>10</v>
      </c>
      <c r="B65" s="38" t="str">
        <f>IF(C65&gt;0,VLOOKUP(C65,Направление!A$1:B$4610,2))</f>
        <v xml:space="preserve">Межбюджетные трансферты на обеспечение мероприятий в области дорожного хозяйства по ремонту дворовых территорий </v>
      </c>
      <c r="C65" s="133">
        <v>29496</v>
      </c>
      <c r="D65" s="335">
        <f>SUMIFS(Пр6!G$10:G$689,Пр6!$E$10:$E$689,C65)</f>
        <v>0</v>
      </c>
      <c r="E65" s="144">
        <f>SUMIFS(Пр6!H$10:H$689,Пр6!$E$10:$E$689,C65)</f>
        <v>0</v>
      </c>
      <c r="F65" s="144">
        <f>SUMIFS(Пр6!I$10:I$689,Пр6!$E$10:$E$689,C65)</f>
        <v>0</v>
      </c>
    </row>
    <row r="66" spans="1:6" ht="47.25" hidden="1" x14ac:dyDescent="0.25">
      <c r="A66" s="194">
        <v>11</v>
      </c>
      <c r="B66" s="38" t="str">
        <f>IF(C66&gt;0,VLOOKUP(C66,Направление!A$1:B$4610,2))</f>
        <v>Межбюджетные трансферты на обеспечение мероприятий по строительству, реконструкции и ремонту общественных туалетов</v>
      </c>
      <c r="C66" s="133">
        <v>29506</v>
      </c>
      <c r="D66" s="335">
        <f>SUMIFS(Пр6!G$10:G$689,Пр6!$E$10:$E$689,C66)</f>
        <v>0</v>
      </c>
      <c r="E66" s="144">
        <f>SUMIFS(Пр6!H$10:H$689,Пр6!$E$10:$E$689,C66)</f>
        <v>0</v>
      </c>
      <c r="F66" s="144">
        <f>SUMIFS(Пр6!I$10:I$689,Пр6!$E$10:$E$689,C66)</f>
        <v>0</v>
      </c>
    </row>
    <row r="67" spans="1:6" ht="47.25" x14ac:dyDescent="0.25">
      <c r="A67" s="194">
        <v>12</v>
      </c>
      <c r="B67" s="38" t="str">
        <f>IF(C67&gt;0,VLOOKUP(C67,Направление!A$1:B$4610,2))</f>
        <v>Межбюджетные трансферты на обеспечение поддержки деятельности социально-ориентированных некоммерческих организаций</v>
      </c>
      <c r="C67" s="133">
        <v>29516</v>
      </c>
      <c r="D67" s="401">
        <f>SUMIFS(Пр6!G$10:G$689,Пр6!$E$10:$E$689,C67)</f>
        <v>600000</v>
      </c>
      <c r="E67" s="215">
        <f>SUMIFS(Пр6!H$10:H$689,Пр6!$E$10:$E$689,C67)</f>
        <v>500000</v>
      </c>
      <c r="F67" s="400">
        <f>E67/D67*100</f>
        <v>83.333333333333343</v>
      </c>
    </row>
    <row r="68" spans="1:6" ht="31.5" hidden="1" x14ac:dyDescent="0.25">
      <c r="A68" s="194">
        <v>13</v>
      </c>
      <c r="B68" s="38" t="str">
        <f>IF(C68&gt;0,VLOOKUP(C68,Направление!A$1:B$4610,2))</f>
        <v>Межбюджетные трансферты на обеспечение мероприятий по организации населению услуг торговли</v>
      </c>
      <c r="C68" s="133">
        <v>29526</v>
      </c>
      <c r="D68" s="335">
        <f>SUMIFS(Пр6!G$10:G$689,Пр6!$E$10:$E$689,C68)</f>
        <v>0</v>
      </c>
      <c r="E68" s="144">
        <f>SUMIFS(Пр6!H$10:H$689,Пр6!$E$10:$E$689,C68)</f>
        <v>0</v>
      </c>
      <c r="F68" s="144">
        <f>SUMIFS(Пр6!I$10:I$689,Пр6!$E$10:$E$689,C68)</f>
        <v>0</v>
      </c>
    </row>
    <row r="69" spans="1:6" ht="31.5" x14ac:dyDescent="0.25">
      <c r="A69" s="194">
        <v>14</v>
      </c>
      <c r="B69" s="38" t="str">
        <f>IF(C69&gt;0,VLOOKUP(C69,Направление!A$1:B$4610,2))</f>
        <v>Межбюджетные трансферты на обеспечение мероприятий по актуализации схем коммунальной инфраструктуры</v>
      </c>
      <c r="C69" s="133">
        <v>29536</v>
      </c>
      <c r="D69" s="401">
        <f>SUMIFS(Пр6!G$10:G$689,Пр6!$E$10:$E$689,C69)</f>
        <v>199990</v>
      </c>
      <c r="E69" s="215">
        <f>SUMIFS(Пр6!H$10:H$689,Пр6!$E$10:$E$689,C69)</f>
        <v>99990</v>
      </c>
      <c r="F69" s="400">
        <f>E69/D69*100</f>
        <v>49.99749987499375</v>
      </c>
    </row>
    <row r="70" spans="1:6" ht="31.5" hidden="1" x14ac:dyDescent="0.25">
      <c r="A70" s="194">
        <v>15</v>
      </c>
      <c r="B70" s="38" t="str">
        <f>IF(C70&gt;0,VLOOKUP(C70,Направление!A$1:B$4610,2))</f>
        <v>Межбюджетные трансферты на обеспечение участия  по  сбору   и  транспортированию ТКО и КГО</v>
      </c>
      <c r="C70" s="133">
        <v>29546</v>
      </c>
      <c r="D70" s="335">
        <f>SUMIFS(Пр6!G$10:G$689,Пр6!$E$10:$E$689,C70)</f>
        <v>0</v>
      </c>
      <c r="E70" s="144">
        <f>SUMIFS(Пр6!H$10:H$689,Пр6!$E$10:$E$689,C70)</f>
        <v>0</v>
      </c>
      <c r="F70" s="144">
        <f>SUMIFS(Пр6!I$10:I$689,Пр6!$E$10:$E$689,C70)</f>
        <v>0</v>
      </c>
    </row>
    <row r="71" spans="1:6" ht="31.5" x14ac:dyDescent="0.25">
      <c r="A71" s="194">
        <v>16</v>
      </c>
      <c r="B71" s="38" t="str">
        <f>IF(C71&gt;0,VLOOKUP(C71,Направление!A$1:B$4610,2))</f>
        <v>Межбюджетные трансферты на обеспечение  обязательств  по содержанию казны поселения</v>
      </c>
      <c r="C71" s="133">
        <v>29556</v>
      </c>
      <c r="D71" s="401">
        <f>SUMIFS(Пр6!G$10:G$689,Пр6!$E$10:$E$689,C71)</f>
        <v>1408000</v>
      </c>
      <c r="E71" s="215">
        <f>SUMIFS(Пр6!H$10:H$689,Пр6!$E$10:$E$689,C71)</f>
        <v>212233.96</v>
      </c>
      <c r="F71" s="400">
        <f t="shared" ref="F71:F72" si="7">E71/D71*100</f>
        <v>15.073434659090909</v>
      </c>
    </row>
    <row r="72" spans="1:6" ht="63" x14ac:dyDescent="0.25">
      <c r="A72" s="194">
        <v>17</v>
      </c>
      <c r="B72" s="38" t="str">
        <f>IF(C72&gt;0,VLOOKUP(C72,Направление!A$1:B$4610,2))</f>
        <v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v>
      </c>
      <c r="C72" s="133">
        <v>29566</v>
      </c>
      <c r="D72" s="401">
        <f>SUMIFS(Пр6!G$10:G$689,Пр6!$E$10:$E$689,C72)</f>
        <v>2702975</v>
      </c>
      <c r="E72" s="215">
        <f>SUMIFS(Пр6!H$10:H$689,Пр6!$E$10:$E$689,C72)</f>
        <v>1662497.48</v>
      </c>
      <c r="F72" s="400">
        <f t="shared" si="7"/>
        <v>61.506210009341558</v>
      </c>
    </row>
    <row r="73" spans="1:6" ht="63" hidden="1" x14ac:dyDescent="0.25">
      <c r="A73" s="194">
        <v>18</v>
      </c>
      <c r="B73" s="38" t="str">
        <f>IF(C73&gt;0,VLOOKUP(C73,Направление!A$1:B$4610,2))</f>
        <v>Межбюджетные трансферты на обеспечение мероприятий в области сохранения и восстановления исторического облика населенных пунктов поселений, объектов культурного наследия</v>
      </c>
      <c r="C73" s="133">
        <v>29576</v>
      </c>
      <c r="D73" s="335">
        <f>SUMIFS(Пр6!G$10:G$689,Пр6!$E$10:$E$689,C73)</f>
        <v>0</v>
      </c>
      <c r="E73" s="144">
        <f>SUMIFS(Пр6!H$10:H$689,Пр6!$E$10:$E$689,C73)</f>
        <v>0</v>
      </c>
      <c r="F73" s="144">
        <f>SUMIFS(Пр6!I$10:I$689,Пр6!$E$10:$E$689,C73)</f>
        <v>0</v>
      </c>
    </row>
    <row r="74" spans="1:6" ht="47.25" hidden="1" x14ac:dyDescent="0.25">
      <c r="A74" s="194">
        <v>19</v>
      </c>
      <c r="B74" s="38" t="str">
        <f>IF(C74&gt;0,VLOOKUP(C74,Направление!A$1:B$4610,2))</f>
        <v>Межбюджетные трансферты на обеспечение мероприятий в рамках реализации проекта "Сохранение и развитие малых исторических городов и поселений"</v>
      </c>
      <c r="C74" s="133">
        <v>29586</v>
      </c>
      <c r="D74" s="335">
        <f>SUMIFS(Пр6!G$10:G$689,Пр6!$E$10:$E$689,C74)</f>
        <v>0</v>
      </c>
      <c r="E74" s="144">
        <f>SUMIFS(Пр6!H$10:H$689,Пр6!$E$10:$E$689,C74)</f>
        <v>0</v>
      </c>
      <c r="F74" s="144">
        <f>SUMIFS(Пр6!I$10:I$689,Пр6!$E$10:$E$689,C74)</f>
        <v>0</v>
      </c>
    </row>
    <row r="75" spans="1:6" ht="47.25" hidden="1" x14ac:dyDescent="0.25">
      <c r="A75" s="194">
        <v>20</v>
      </c>
      <c r="B75" s="38" t="str">
        <f>IF(C75&gt;0,VLOOKUP(C75,Направление!A$1:B$4610,2))</f>
        <v>Межбюджетные трансферты на обеспечение мероприятий по оптимизации теплоснабжения с переводом объектов на индивидуальное отопление</v>
      </c>
      <c r="C75" s="133">
        <v>29596</v>
      </c>
      <c r="D75" s="335">
        <f>SUMIFS(Пр6!G$10:G$689,Пр6!$E$10:$E$689,C75)</f>
        <v>0</v>
      </c>
      <c r="E75" s="144">
        <f>SUMIFS(Пр6!H$10:H$689,Пр6!$E$10:$E$689,C75)</f>
        <v>0</v>
      </c>
      <c r="F75" s="144">
        <f>SUMIFS(Пр6!I$10:I$689,Пр6!$E$10:$E$689,C75)</f>
        <v>0</v>
      </c>
    </row>
    <row r="76" spans="1:6" ht="31.5" hidden="1" x14ac:dyDescent="0.25">
      <c r="A76" s="194">
        <v>21</v>
      </c>
      <c r="B76" s="38" t="str">
        <f>IF(C76&gt;0,VLOOKUP(C76,Направление!A$1:B$4610,2))</f>
        <v>Межбюджетные трансферты на обеспечение мероприятий по строительству канатной дороги через р. Волга</v>
      </c>
      <c r="C76" s="133">
        <v>29606</v>
      </c>
      <c r="D76" s="335">
        <f>SUMIFS(Пр6!G$10:G$689,Пр6!$E$10:$E$689,C76)</f>
        <v>0</v>
      </c>
      <c r="E76" s="144">
        <f>SUMIFS(Пр6!H$10:H$689,Пр6!$E$10:$E$689,C76)</f>
        <v>0</v>
      </c>
      <c r="F76" s="144">
        <f>SUMIFS(Пр6!I$10:I$689,Пр6!$E$10:$E$689,C76)</f>
        <v>0</v>
      </c>
    </row>
    <row r="77" spans="1:6" ht="31.5" x14ac:dyDescent="0.25">
      <c r="A77" s="194">
        <v>22</v>
      </c>
      <c r="B77" s="38" t="str">
        <f>IF(C77&gt;0,VLOOKUP(C77,Направление!A$1:B$4610,2))</f>
        <v>Межбюджетные трансферты на обеспечение мероприятий по переработке и утилизации ливневых стоков</v>
      </c>
      <c r="C77" s="133">
        <v>29616</v>
      </c>
      <c r="D77" s="401">
        <f>SUMIFS(Пр6!G$10:G$689,Пр6!$E$10:$E$689,C77)</f>
        <v>2979507</v>
      </c>
      <c r="E77" s="215">
        <f>SUMIFS(Пр6!H$10:H$689,Пр6!$E$10:$E$689,C77)</f>
        <v>1069388.1100000001</v>
      </c>
      <c r="F77" s="400">
        <f>E77/D77*100</f>
        <v>35.891444792712356</v>
      </c>
    </row>
    <row r="78" spans="1:6" ht="31.5" hidden="1" x14ac:dyDescent="0.25">
      <c r="A78" s="194">
        <v>23</v>
      </c>
      <c r="B78" s="38" t="str">
        <f>IF(C78&gt;0,VLOOKUP(C78,Направление!A$1:B$4610,2))</f>
        <v>Межбюджетные трансферты на обеспечение мероприятий  по разработке программы транспортной инфраструктуры</v>
      </c>
      <c r="C78" s="133">
        <v>29626</v>
      </c>
      <c r="D78" s="335">
        <f>SUMIFS(Пр6!G$10:G$689,Пр6!$E$10:$E$689,C78)</f>
        <v>0</v>
      </c>
      <c r="E78" s="144">
        <f>SUMIFS(Пр6!H$10:H$689,Пр6!$E$10:$E$689,C78)</f>
        <v>0</v>
      </c>
      <c r="F78" s="144">
        <f>SUMIFS(Пр6!I$10:I$689,Пр6!$E$10:$E$689,C78)</f>
        <v>0</v>
      </c>
    </row>
    <row r="79" spans="1:6" ht="31.5" hidden="1" x14ac:dyDescent="0.25">
      <c r="A79" s="194">
        <v>24</v>
      </c>
      <c r="B79" s="38" t="str">
        <f>IF(C79&gt;0,VLOOKUP(C79,Направление!A$1:B$4610,2))</f>
        <v>Межбюджетные трансферты на обеспечение мероприятий по актуализации схем водоснабжения и водоотведения</v>
      </c>
      <c r="C79" s="133">
        <v>29636</v>
      </c>
      <c r="D79" s="335">
        <f>SUMIFS(Пр6!G$10:G$689,Пр6!$E$10:$E$689,C79)</f>
        <v>0</v>
      </c>
      <c r="E79" s="144">
        <f>SUMIFS(Пр6!H$10:H$689,Пр6!$E$10:$E$689,C79)</f>
        <v>0</v>
      </c>
      <c r="F79" s="144">
        <f>SUMIFS(Пр6!I$10:I$689,Пр6!$E$10:$E$689,C79)</f>
        <v>0</v>
      </c>
    </row>
    <row r="80" spans="1:6" ht="47.25" hidden="1" x14ac:dyDescent="0.25">
      <c r="A80" s="194">
        <v>25</v>
      </c>
      <c r="B80" s="38" t="str">
        <f>IF(C80&gt;0,VLOOKUP(C80,Направление!A$1:B$4610,2))</f>
        <v>Межбюджетные трансферты на обеспечение мероприятий по формированию современной городской среды в области дорожного хозяйства</v>
      </c>
      <c r="C80" s="133">
        <v>29646</v>
      </c>
      <c r="D80" s="335">
        <f>SUMIFS(Пр6!G$10:G$689,Пр6!$E$10:$E$689,C80)</f>
        <v>0</v>
      </c>
      <c r="E80" s="144">
        <f>SUMIFS(Пр6!H$10:H$689,Пр6!$E$10:$E$689,C80)</f>
        <v>0</v>
      </c>
      <c r="F80" s="144">
        <f>SUMIFS(Пр6!I$10:I$689,Пр6!$E$10:$E$689,C80)</f>
        <v>0</v>
      </c>
    </row>
    <row r="81" spans="1:6" ht="47.25" hidden="1" x14ac:dyDescent="0.25">
      <c r="A81" s="194">
        <v>26</v>
      </c>
      <c r="B81" s="38" t="str">
        <f>IF(C81&gt;0,VLOOKUP(C81,Направление!A$1:B$4610,2))</f>
        <v>Межбюджетные трансферты на обеспечение мероприятий по  формированию современной городской среды  в области благоустройства</v>
      </c>
      <c r="C81" s="133">
        <v>29656</v>
      </c>
      <c r="D81" s="335">
        <f>SUMIFS(Пр6!G$10:G$689,Пр6!$E$10:$E$689,C81)</f>
        <v>0</v>
      </c>
      <c r="E81" s="144">
        <f>SUMIFS(Пр6!H$10:H$689,Пр6!$E$10:$E$689,C81)</f>
        <v>0</v>
      </c>
      <c r="F81" s="144">
        <f>SUMIFS(Пр6!I$10:I$689,Пр6!$E$10:$E$689,C81)</f>
        <v>0</v>
      </c>
    </row>
    <row r="82" spans="1:6" ht="47.25" hidden="1" x14ac:dyDescent="0.25">
      <c r="A82" s="194">
        <v>27</v>
      </c>
      <c r="B82" s="38" t="str">
        <f>IF(C82&gt;0,VLOOKUP(C82,Направление!A$1:B$4610,2))</f>
        <v>Межбюджетные трансферты на обеспечение мероприятий по актуализации  границ  особо охраняемых объектов -  памятников природы</v>
      </c>
      <c r="C82" s="133">
        <v>29666</v>
      </c>
      <c r="D82" s="335">
        <f>SUMIFS(Пр6!G$10:G$689,Пр6!$E$10:$E$689,C82)</f>
        <v>0</v>
      </c>
      <c r="E82" s="144">
        <f>SUMIFS(Пр6!H$10:H$689,Пр6!$E$10:$E$689,C82)</f>
        <v>0</v>
      </c>
      <c r="F82" s="144">
        <f>SUMIFS(Пр6!I$10:I$689,Пр6!$E$10:$E$689,C82)</f>
        <v>0</v>
      </c>
    </row>
    <row r="83" spans="1:6" ht="47.25" hidden="1" x14ac:dyDescent="0.25">
      <c r="A83" s="194">
        <v>28</v>
      </c>
      <c r="B83" s="38" t="str">
        <f>IF(C83&gt;0,VLOOKUP(C83,Направление!A$1:B$4610,2))</f>
        <v>Межбюджетные трансферты на обеспечение мероприятий по обустройству мест массового отдыха в рамках реализации губернаторского проекта «Решаем вместе!»</v>
      </c>
      <c r="C83" s="133">
        <v>29676</v>
      </c>
      <c r="D83" s="335">
        <f>SUMIFS(Пр6!G$10:G$689,Пр6!$E$10:$E$689,C83)</f>
        <v>0</v>
      </c>
      <c r="E83" s="144">
        <f>SUMIFS(Пр6!H$10:H$689,Пр6!$E$10:$E$689,C83)</f>
        <v>0</v>
      </c>
      <c r="F83" s="144">
        <f>SUMIFS(Пр6!I$10:I$689,Пр6!$E$10:$E$689,C83)</f>
        <v>0</v>
      </c>
    </row>
    <row r="84" spans="1:6" ht="31.5" x14ac:dyDescent="0.25">
      <c r="A84" s="194">
        <v>29</v>
      </c>
      <c r="B84" s="38" t="str">
        <f>IF(C84&gt;0,VLOOKUP(C84,Направление!A$1:B$4610,2))</f>
        <v xml:space="preserve">Межбюджетные трансферты на обеспечение мероприятий по содержанию  военно- мемориального комплекса </v>
      </c>
      <c r="C84" s="133">
        <v>29686</v>
      </c>
      <c r="D84" s="401">
        <f>SUMIFS(Пр6!G$10:G$689,Пр6!$E$10:$E$689,C84)</f>
        <v>210000</v>
      </c>
      <c r="E84" s="215">
        <f>SUMIFS(Пр6!H$10:H$689,Пр6!$E$10:$E$689,C84)</f>
        <v>130824.78</v>
      </c>
      <c r="F84" s="400">
        <f t="shared" ref="F84:F85" si="8">E84/D84*100</f>
        <v>62.297514285714286</v>
      </c>
    </row>
    <row r="85" spans="1:6" ht="31.5" x14ac:dyDescent="0.25">
      <c r="A85" s="194">
        <v>31</v>
      </c>
      <c r="B85" s="38" t="str">
        <f>IF(C85&gt;0,VLOOKUP(C85,Направление!A$1:B$4610,2))</f>
        <v>Межбюджетные трансферты на обеспечение содержания и организации деятельности в области  дорожного хозяйства</v>
      </c>
      <c r="C85" s="133">
        <v>29696</v>
      </c>
      <c r="D85" s="401">
        <f>SUMIFS(Пр6!G$10:G$689,Пр6!$E$10:$E$689,C85)</f>
        <v>19619370</v>
      </c>
      <c r="E85" s="215">
        <f>SUMIFS(Пр6!H$10:H$689,Пр6!$E$10:$E$689,C85)</f>
        <v>14064951.41</v>
      </c>
      <c r="F85" s="400">
        <f t="shared" si="8"/>
        <v>71.689108314894924</v>
      </c>
    </row>
    <row r="86" spans="1:6" ht="47.25" hidden="1" x14ac:dyDescent="0.25">
      <c r="A86" s="194">
        <v>32</v>
      </c>
      <c r="B86" s="38" t="str">
        <f>IF(C86&gt;0,VLOOKUP(C86,Направление!A$1:B$4610,2))</f>
        <v>Межбюджетные трансферты на обеспечение надежного теплоснабжения жилищного фонда городского поселения Тутаев</v>
      </c>
      <c r="C86" s="133">
        <v>29706</v>
      </c>
      <c r="D86" s="335">
        <f>SUMIFS(Пр6!G$10:G$689,Пр6!$E$10:$E$689,C86)</f>
        <v>0</v>
      </c>
      <c r="E86" s="144">
        <f>SUMIFS(Пр6!H$10:H$689,Пр6!$E$10:$E$689,C86)</f>
        <v>0</v>
      </c>
      <c r="F86" s="144">
        <f>SUMIFS(Пр6!I$10:I$689,Пр6!$E$10:$E$689,C86)</f>
        <v>0</v>
      </c>
    </row>
    <row r="87" spans="1:6" ht="31.5" hidden="1" x14ac:dyDescent="0.25">
      <c r="A87" s="194">
        <v>33</v>
      </c>
      <c r="B87" s="38" t="str">
        <f>IF(C87&gt;0,VLOOKUP(C87,Направление!A$1:B$4610,2))</f>
        <v>Межбюджетные трансферты на обеспечение мероприятий  по разработке программы коммунальной  инфраструктуры</v>
      </c>
      <c r="C87" s="133">
        <v>29716</v>
      </c>
      <c r="D87" s="335">
        <f>SUMIFS(Пр6!G$10:G$689,Пр6!$E$10:$E$689,C87)</f>
        <v>0</v>
      </c>
      <c r="E87" s="144">
        <f>SUMIFS(Пр6!H$10:H$689,Пр6!$E$10:$E$689,C87)</f>
        <v>0</v>
      </c>
      <c r="F87" s="144">
        <f>SUMIFS(Пр6!I$10:I$689,Пр6!$E$10:$E$689,C87)</f>
        <v>0</v>
      </c>
    </row>
    <row r="88" spans="1:6" ht="47.25" hidden="1" x14ac:dyDescent="0.25">
      <c r="A88" s="194">
        <v>34</v>
      </c>
      <c r="B88" s="38" t="str">
        <f>IF(C88&gt;0,VLOOKUP(C88,Направление!A$1:B$4610,2))</f>
        <v>Межбюджетные трансферты на обеспечение мероприятий по разработке схем организации дорожного движения в рамках агломерации "Ярославская"</v>
      </c>
      <c r="C88" s="133">
        <v>29726</v>
      </c>
      <c r="D88" s="335">
        <f>SUMIFS(Пр6!G$10:G$689,Пр6!$E$10:$E$689,C88)</f>
        <v>0</v>
      </c>
      <c r="E88" s="144">
        <f>SUMIFS(Пр6!H$10:H$689,Пр6!$E$10:$E$689,C88)</f>
        <v>0</v>
      </c>
      <c r="F88" s="144">
        <f>SUMIFS(Пр6!I$10:I$689,Пр6!$E$10:$E$689,C88)</f>
        <v>0</v>
      </c>
    </row>
    <row r="89" spans="1:6" ht="47.25" hidden="1" x14ac:dyDescent="0.25">
      <c r="A89" s="194">
        <v>35</v>
      </c>
      <c r="B89" s="38" t="str">
        <f>IF(C89&gt;0,VLOOKUP(C89,Направление!A$1:B$4610,2))</f>
        <v>Межбюджетные трансферты на обеспечение мероприятий в области дорожного хозяйства по инициативному бюджетированию</v>
      </c>
      <c r="C89" s="133">
        <v>29736</v>
      </c>
      <c r="D89" s="335">
        <f>SUMIFS(Пр6!G$10:G$689,Пр6!$E$10:$E$689,C89)</f>
        <v>0</v>
      </c>
      <c r="E89" s="144">
        <f>SUMIFS(Пр6!H$10:H$689,Пр6!$E$10:$E$689,C89)</f>
        <v>0</v>
      </c>
      <c r="F89" s="144">
        <f>SUMIFS(Пр6!I$10:I$689,Пр6!$E$10:$E$689,C89)</f>
        <v>0</v>
      </c>
    </row>
    <row r="90" spans="1:6" ht="47.25" hidden="1" x14ac:dyDescent="0.25">
      <c r="A90" s="194">
        <v>36</v>
      </c>
      <c r="B90" s="38" t="str">
        <f>IF(C90&gt;0,VLOOKUP(C90,Направление!A$1:B$4610,2))</f>
        <v>Межбюджетные трансферты на обеспечение мероприятий в области благоустройства  по инициативному  бюджетированию</v>
      </c>
      <c r="C90" s="133">
        <v>29746</v>
      </c>
      <c r="D90" s="335">
        <f>SUMIFS(Пр6!G$10:G$689,Пр6!$E$10:$E$689,C90)</f>
        <v>0</v>
      </c>
      <c r="E90" s="144">
        <f>SUMIFS(Пр6!H$10:H$689,Пр6!$E$10:$E$689,C90)</f>
        <v>0</v>
      </c>
      <c r="F90" s="144">
        <f>SUMIFS(Пр6!I$10:I$689,Пр6!$E$10:$E$689,C90)</f>
        <v>0</v>
      </c>
    </row>
    <row r="91" spans="1:6" ht="47.25" x14ac:dyDescent="0.25">
      <c r="A91" s="194">
        <v>37</v>
      </c>
      <c r="B91" s="38" t="str">
        <f>IF(C91&gt;0,VLOOKUP(C91,Направление!A$1:B$4610,2))</f>
        <v>Межбюджетные трансферты на дополнительное пенсионное  обеспечение муниципальных служащих городского поселения Тутаев</v>
      </c>
      <c r="C91" s="133">
        <v>29756</v>
      </c>
      <c r="D91" s="401">
        <f>SUMIFS(Пр6!G$10:G$689,Пр6!$E$10:$E$689,C91)</f>
        <v>650346</v>
      </c>
      <c r="E91" s="215">
        <f>SUMIFS(Пр6!H$10:H$689,Пр6!$E$10:$E$689,C91)</f>
        <v>452577.17</v>
      </c>
      <c r="F91" s="400">
        <f t="shared" ref="F91:F92" si="9">E91/D91*100</f>
        <v>69.590213517112431</v>
      </c>
    </row>
    <row r="92" spans="1:6" ht="31.5" x14ac:dyDescent="0.25">
      <c r="A92" s="194">
        <v>38</v>
      </c>
      <c r="B92" s="38" t="str">
        <f>IF(C92&gt;0,VLOOKUP(C92,Направление!A$1:B$4610,2))</f>
        <v>Межбюджетные трансферты на обеспечение мероприятий по безопасности жителей города</v>
      </c>
      <c r="C92" s="133">
        <v>29766</v>
      </c>
      <c r="D92" s="401">
        <f>SUMIFS(Пр6!G$10:G$689,Пр6!$E$10:$E$689,C92)</f>
        <v>220000</v>
      </c>
      <c r="E92" s="215">
        <f>SUMIFS(Пр6!H$10:H$689,Пр6!$E$10:$E$689,C92)</f>
        <v>33367.800000000003</v>
      </c>
      <c r="F92" s="400">
        <f t="shared" si="9"/>
        <v>15.167181818181819</v>
      </c>
    </row>
    <row r="93" spans="1:6" ht="31.5" hidden="1" x14ac:dyDescent="0.25">
      <c r="A93" s="194">
        <v>39</v>
      </c>
      <c r="B93" s="38" t="str">
        <f>IF(C93&gt;0,VLOOKUP(C93,Направление!A$1:B$4610,2))</f>
        <v>Межбюджетные трансферты на обеспечение мероприятий по разработке и экспертизе ПСД</v>
      </c>
      <c r="C93" s="133">
        <v>29776</v>
      </c>
      <c r="D93" s="335">
        <f>SUMIFS(Пр6!G$10:G$689,Пр6!$E$10:$E$689,C93)</f>
        <v>0</v>
      </c>
      <c r="E93" s="144">
        <f>SUMIFS(Пр6!H$10:H$689,Пр6!$E$10:$E$689,C93)</f>
        <v>0</v>
      </c>
      <c r="F93" s="144">
        <f>SUMIFS(Пр6!I$10:I$689,Пр6!$E$10:$E$689,C93)</f>
        <v>0</v>
      </c>
    </row>
    <row r="94" spans="1:6" ht="47.25" x14ac:dyDescent="0.25">
      <c r="A94" s="194"/>
      <c r="B94" s="38" t="str">
        <f>IF(C94&gt;0,VLOOKUP(C94,Направление!A$1:B$4610,2))</f>
        <v xml:space="preserve"> Межбюджетные трансферты на обеспечение мероприятий по выполнению прочих обязательств органами местного самоуправления</v>
      </c>
      <c r="C94" s="133">
        <v>29806</v>
      </c>
      <c r="D94" s="401">
        <f>SUMIFS(Пр6!G$10:G$689,Пр6!$E$10:$E$689,C94)</f>
        <v>372238</v>
      </c>
      <c r="E94" s="215">
        <f>SUMIFS(Пр6!H$10:H$689,Пр6!$E$10:$E$689,C94)</f>
        <v>297943.52</v>
      </c>
      <c r="F94" s="400">
        <f t="shared" ref="F94:F95" si="10">E94/D94*100</f>
        <v>80.041134972786239</v>
      </c>
    </row>
    <row r="95" spans="1:6" ht="47.25" x14ac:dyDescent="0.25">
      <c r="A95" s="194"/>
      <c r="B95" s="38" t="s">
        <v>848</v>
      </c>
      <c r="C95" s="133">
        <v>29856</v>
      </c>
      <c r="D95" s="401">
        <f>SUMIFS(Пр6!G$10:G$689,Пр6!$E$10:$E$689,C95)</f>
        <v>3655627</v>
      </c>
      <c r="E95" s="215">
        <f>SUMIFS(Пр6!H$10:H$689,Пр6!$E$10:$E$689,C95)</f>
        <v>435846.40000000002</v>
      </c>
      <c r="F95" s="400">
        <f t="shared" si="10"/>
        <v>11.922616831531228</v>
      </c>
    </row>
    <row r="96" spans="1:6" ht="63" hidden="1" x14ac:dyDescent="0.25">
      <c r="A96" s="194">
        <v>40</v>
      </c>
      <c r="B96" s="38" t="str">
        <f>IF(C96&gt;0,VLOOKUP(C96,Направление!A$1:B$4610,2))</f>
        <v>Межбюджетные трансферты на реализацию мероприятий по сокращению доли загрязненных сточных вод в части строительства и реконструкции (модернизации) объектов водоотведения</v>
      </c>
      <c r="C96" s="133">
        <v>50136</v>
      </c>
      <c r="D96" s="335">
        <f>SUMIFS(Пр6!G$10:G$689,Пр6!$E$10:$E$689,C96)</f>
        <v>0</v>
      </c>
      <c r="E96" s="144">
        <f>SUMIFS(Пр6!H$10:H$689,Пр6!$E$10:$E$689,C96)</f>
        <v>0</v>
      </c>
      <c r="F96" s="144">
        <f>SUMIFS(Пр6!I$10:I$689,Пр6!$E$10:$E$689,C96)</f>
        <v>0</v>
      </c>
    </row>
    <row r="97" spans="1:6" ht="47.25" hidden="1" x14ac:dyDescent="0.25">
      <c r="A97" s="194">
        <v>41</v>
      </c>
      <c r="B97" s="38" t="str">
        <f>IF(C97&gt;0,VLOOKUP(C97,Направление!A$1:B$4610,2))</f>
        <v>Межбюджетные трансферты на создания комфортной городской среды в малых городах и исторических поселениях</v>
      </c>
      <c r="C97" s="133">
        <v>53116</v>
      </c>
      <c r="D97" s="335">
        <f>SUMIFS(Пр6!G$10:G$689,Пр6!$E$10:$E$689,C97)</f>
        <v>0</v>
      </c>
      <c r="E97" s="144">
        <f>SUMIFS(Пр6!H$10:H$689,Пр6!$E$10:$E$689,C97)</f>
        <v>0</v>
      </c>
      <c r="F97" s="144">
        <f>SUMIFS(Пр6!I$10:I$689,Пр6!$E$10:$E$689,C97)</f>
        <v>0</v>
      </c>
    </row>
    <row r="98" spans="1:6" ht="78.75" x14ac:dyDescent="0.25">
      <c r="A98" s="194"/>
      <c r="B98" s="38" t="s">
        <v>851</v>
      </c>
      <c r="C98" s="133">
        <v>54246</v>
      </c>
      <c r="D98" s="401">
        <f>SUMIFS(Пр6!G$10:G$689,Пр6!$E$10:$E$689,C98)</f>
        <v>87500000</v>
      </c>
      <c r="E98" s="215">
        <f>SUMIFS(Пр6!H$10:H$689,Пр6!$E$10:$E$689,C98)</f>
        <v>87500000</v>
      </c>
      <c r="F98" s="400">
        <f t="shared" ref="F98:F99" si="11">E98/D98*100</f>
        <v>100</v>
      </c>
    </row>
    <row r="99" spans="1:6" ht="31.5" x14ac:dyDescent="0.25">
      <c r="A99" s="194">
        <v>42</v>
      </c>
      <c r="B99" s="38" t="str">
        <f>IF(C99&gt;0,VLOOKUP(C99,Направление!A$1:B$4610,2))</f>
        <v xml:space="preserve">Межбюджетные трансферты на реализацию регионального проекта "Формирования современной городской среды" </v>
      </c>
      <c r="C99" s="133">
        <v>55556</v>
      </c>
      <c r="D99" s="401">
        <f>SUMIFS(Пр6!G$10:G$689,Пр6!$E$10:$E$689,C99)</f>
        <v>19261006</v>
      </c>
      <c r="E99" s="215">
        <f>SUMIFS(Пр6!H$10:H$689,Пр6!$E$10:$E$689,C99)</f>
        <v>15887177.49</v>
      </c>
      <c r="F99" s="400">
        <f t="shared" si="11"/>
        <v>82.483632942121517</v>
      </c>
    </row>
    <row r="100" spans="1:6" ht="14.45" hidden="1" customHeight="1" x14ac:dyDescent="0.25">
      <c r="A100" s="194">
        <v>43</v>
      </c>
      <c r="B100" s="38" t="str">
        <f>IF(C100&gt;0,VLOOKUP(C100,Направление!A$1:B$4610,2))</f>
        <v>Расходы на реализацию задач по государственной поддержке граждан проживающих на территории ЯО, в сфере ипотечного кредитования</v>
      </c>
      <c r="C100" s="133">
        <v>71236</v>
      </c>
      <c r="D100" s="335">
        <f>SUMIFS(Пр6!G$10:G$689,Пр6!$E$10:$E$689,C100)</f>
        <v>0</v>
      </c>
      <c r="E100" s="144">
        <f>SUMIFS(Пр6!H$10:H$689,Пр6!$E$10:$E$689,C100)</f>
        <v>0</v>
      </c>
      <c r="F100" s="144">
        <f>SUMIFS(Пр6!I$10:I$689,Пр6!$E$10:$E$689,C100)</f>
        <v>0</v>
      </c>
    </row>
    <row r="101" spans="1:6" ht="20.25" hidden="1" customHeight="1" x14ac:dyDescent="0.25">
      <c r="A101" s="194">
        <v>44</v>
      </c>
      <c r="B101" s="38" t="str">
        <f>IF(C101&gt;0,VLOOKUP(C101,Направление!A$1:B$4610,2))</f>
        <v xml:space="preserve">Межбюджетные трансферты на обеспечение реализации мероприятий по созданию условий для развития инфраструктуры досуга и отдыха на территории муниципальных образований Ярославской области </v>
      </c>
      <c r="C101" s="216" t="s">
        <v>530</v>
      </c>
      <c r="D101" s="335">
        <f>SUMIFS(Пр6!G$10:G$689,Пр6!$E$10:$E$689,C101)</f>
        <v>0</v>
      </c>
      <c r="E101" s="144">
        <f>SUMIFS(Пр6!H$10:H$689,Пр6!$E$10:$E$689,C101)</f>
        <v>0</v>
      </c>
      <c r="F101" s="144">
        <f>SUMIFS(Пр6!I$10:I$689,Пр6!$E$10:$E$689,C101)</f>
        <v>0</v>
      </c>
    </row>
    <row r="102" spans="1:6" ht="32.25" thickBot="1" x14ac:dyDescent="0.3">
      <c r="A102" s="194">
        <v>45</v>
      </c>
      <c r="B102" s="38" t="str">
        <f>IF(C102&gt;0,VLOOKUP(C102,Направление!A$1:B$4610,2))</f>
        <v xml:space="preserve">Межбюджетные трансферты на мероприятия в области  дорожного хозяйства </v>
      </c>
      <c r="C102" s="216" t="s">
        <v>524</v>
      </c>
      <c r="D102" s="401">
        <f>SUMIFS(Пр6!G$10:G$689,Пр6!$E$10:$E$689,C102)</f>
        <v>13901864</v>
      </c>
      <c r="E102" s="215">
        <f>SUMIFS(Пр6!H$10:H$689,Пр6!$E$10:$E$689,C102)</f>
        <v>10337063.109999999</v>
      </c>
      <c r="F102" s="400">
        <f t="shared" ref="F102:F103" si="12">E102/D102*100</f>
        <v>74.357389124221044</v>
      </c>
    </row>
    <row r="103" spans="1:6" ht="36.6" hidden="1" customHeight="1" x14ac:dyDescent="0.25">
      <c r="A103" s="194">
        <v>46</v>
      </c>
      <c r="B103" s="38" t="str">
        <f>IF(C103&gt;0,VLOOKUP(C103,Направление!A$1:B$4610,2))</f>
        <v>Межбюджетные трансферты на реализацию мероприятий  предусмотренных НПА ЯО</v>
      </c>
      <c r="C103" s="216" t="s">
        <v>525</v>
      </c>
      <c r="D103" s="401">
        <f>SUMIFS(Пр6!G$10:G$689,Пр6!$E$10:$E$689,C103)</f>
        <v>583500</v>
      </c>
      <c r="E103" s="215">
        <f>SUMIFS(Пр6!H$10:H$689,Пр6!$E$10:$E$689,C103)</f>
        <v>0</v>
      </c>
      <c r="F103" s="400">
        <f t="shared" si="12"/>
        <v>0</v>
      </c>
    </row>
    <row r="104" spans="1:6" ht="20.25" hidden="1" customHeight="1" x14ac:dyDescent="0.25">
      <c r="A104" s="194">
        <v>47</v>
      </c>
      <c r="B104" s="38" t="str">
        <f>IF(C104&gt;0,VLOOKUP(C104,Направление!A$1:B$4610,2))</f>
        <v>Межбюджетные трансферты на комплексное развитие транспортной инфраструктуры городской агломерации «Ярославская»</v>
      </c>
      <c r="C104" s="217" t="s">
        <v>526</v>
      </c>
      <c r="D104" s="335">
        <f>SUMIFS(Пр6!G$10:G$689,Пр6!$E$10:$E$689,C104)</f>
        <v>0</v>
      </c>
      <c r="E104" s="144">
        <f>SUMIFS(Пр6!H$10:H$689,Пр6!$E$10:$E$689,C104)</f>
        <v>0</v>
      </c>
      <c r="F104" s="144">
        <f>SUMIFS(Пр6!I$10:I$689,Пр6!$E$10:$E$689,C104)</f>
        <v>0</v>
      </c>
    </row>
    <row r="105" spans="1:6" ht="63" hidden="1" x14ac:dyDescent="0.25">
      <c r="A105" s="194">
        <v>48</v>
      </c>
      <c r="B105" s="38" t="str">
        <f>IF(C105&gt;0,VLOOKUP(C105,Направление!A$1:B$4610,2))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C105" s="216">
        <v>73936</v>
      </c>
      <c r="D105" s="401">
        <f>SUMIFS(Пр6!G$10:G$689,Пр6!$E$10:$E$689,C105)</f>
        <v>40000000</v>
      </c>
      <c r="E105" s="402">
        <f>SUMIFS(Пр6!H$10:H$689,Пр6!$E$10:$E$689,C105)</f>
        <v>0</v>
      </c>
      <c r="F105" s="400">
        <f t="shared" ref="F105:F106" si="13">E105/D105*100</f>
        <v>0</v>
      </c>
    </row>
    <row r="106" spans="1:6" ht="45.95" hidden="1" customHeight="1" x14ac:dyDescent="0.25">
      <c r="A106" s="194">
        <v>49</v>
      </c>
      <c r="B106" s="38" t="str">
        <f>IF(C106&gt;0,VLOOKUP(C106,Направление!A$1:B$4610,2))</f>
        <v>Межбюджетные трансферты  на реализацию мероприятий инициативного бюджетирования на территории Ярославской области</v>
      </c>
      <c r="C106" s="217" t="s">
        <v>527</v>
      </c>
      <c r="D106" s="401">
        <f>SUMIFS(Пр6!G$10:G$689,Пр6!$E$10:$E$689,C106)</f>
        <v>7990021</v>
      </c>
      <c r="E106" s="215">
        <f>SUMIFS(Пр6!H$10:H$689,Пр6!$E$10:$E$689,C106)</f>
        <v>0</v>
      </c>
      <c r="F106" s="400">
        <f t="shared" si="13"/>
        <v>0</v>
      </c>
    </row>
    <row r="107" spans="1:6" ht="39.4" hidden="1" customHeight="1" x14ac:dyDescent="0.25">
      <c r="A107" s="194">
        <v>50</v>
      </c>
      <c r="B107" s="38" t="str">
        <f>IF(C107&gt;0,VLOOKUP(C107,Направление!A$1:B$4610,2))</f>
        <v>Межбюджетные трансферты на реализацию мероприятий   по  формированию современной городской среды</v>
      </c>
      <c r="C107" s="217" t="s">
        <v>528</v>
      </c>
      <c r="D107" s="335">
        <f>SUMIFS(Пр6!G$10:G$689,Пр6!$E$10:$E$689,C107)</f>
        <v>0</v>
      </c>
      <c r="E107" s="144">
        <f>SUMIFS(Пр6!H$10:H$689,Пр6!$E$10:$E$689,C107)</f>
        <v>0</v>
      </c>
      <c r="F107" s="144">
        <f>SUMIFS(Пр6!I$10:I$689,Пр6!$E$10:$E$689,C107)</f>
        <v>0</v>
      </c>
    </row>
    <row r="108" spans="1:6" ht="44.65" hidden="1" customHeight="1" x14ac:dyDescent="0.25">
      <c r="A108" s="194">
        <v>51</v>
      </c>
      <c r="B108" s="38" t="str">
        <f>IF(C108&gt;0,VLOOKUP(C108,Направление!A$1:B$4610,2))</f>
        <v>Межбюджетные трансферты на обеспечение мероприятий по капитальному ремонту и ремонту дорожных объектов муниципальной собственности</v>
      </c>
      <c r="C108" s="217" t="s">
        <v>529</v>
      </c>
      <c r="D108" s="335">
        <f>SUMIFS(Пр6!G$10:G$689,Пр6!$E$10:$E$689,C108)</f>
        <v>0</v>
      </c>
      <c r="E108" s="144">
        <f>SUMIFS(Пр6!H$10:H$689,Пр6!$E$10:$E$689,C108)</f>
        <v>0</v>
      </c>
      <c r="F108" s="144">
        <f>SUMIFS(Пр6!I$10:I$689,Пр6!$E$10:$E$689,C108)</f>
        <v>0</v>
      </c>
    </row>
    <row r="109" spans="1:6" ht="49.15" hidden="1" customHeight="1" x14ac:dyDescent="0.25">
      <c r="A109" s="194">
        <v>52</v>
      </c>
      <c r="B109" s="38" t="str">
        <f>IF(C109&gt;0,VLOOKUP(C109,Направление!A$1:B$4610,2))</f>
        <v>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C109" s="216" t="s">
        <v>523</v>
      </c>
      <c r="D109" s="335">
        <f>SUMIFS(Пр6!G$10:G$689,Пр6!$E$10:$E$689,C109)</f>
        <v>0</v>
      </c>
      <c r="E109" s="144">
        <f>SUMIFS(Пр6!H$10:H$689,Пр6!$E$10:$E$689,C109)</f>
        <v>0</v>
      </c>
      <c r="F109" s="144">
        <f>SUMIFS(Пр6!I$10:I$689,Пр6!$E$10:$E$689,C109)</f>
        <v>0</v>
      </c>
    </row>
    <row r="110" spans="1:6" ht="78.75" hidden="1" x14ac:dyDescent="0.25">
      <c r="A110" s="194"/>
      <c r="B110" s="38" t="str">
        <f>IF(C110&gt;0,VLOOKUP(C110,Направление!A$1:B$4610,2))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v>
      </c>
      <c r="C110" s="216" t="s">
        <v>864</v>
      </c>
      <c r="D110" s="401">
        <f>SUMIFS(Пр6!G$10:G$689,Пр6!$E$10:$E$689,C110)</f>
        <v>71558379</v>
      </c>
      <c r="E110" s="215">
        <f>SUMIFS(Пр6!H$10:H$689,Пр6!$E$10:$E$689,C110)</f>
        <v>0</v>
      </c>
      <c r="F110" s="400">
        <f t="shared" ref="F110:F113" si="14">E110/D110*100</f>
        <v>0</v>
      </c>
    </row>
    <row r="111" spans="1:6" ht="78.75" hidden="1" x14ac:dyDescent="0.25">
      <c r="A111" s="194">
        <v>53</v>
      </c>
      <c r="B111" s="38" t="str">
        <f>IF(C111&gt;0,VLOOKUP(C111,Направление!A$1:B$4610,2))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v>
      </c>
      <c r="C111" s="216" t="s">
        <v>809</v>
      </c>
      <c r="D111" s="401">
        <f>SUMIFS(Пр6!G$10:G$689,Пр6!$E$10:$E$689,C111)</f>
        <v>3671878</v>
      </c>
      <c r="E111" s="402">
        <f>SUMIFS(Пр6!H$10:H$689,Пр6!$E$10:$E$689,C111)</f>
        <v>0</v>
      </c>
      <c r="F111" s="400">
        <f t="shared" si="14"/>
        <v>0</v>
      </c>
    </row>
    <row r="112" spans="1:6" ht="32.25" hidden="1" thickBot="1" x14ac:dyDescent="0.3">
      <c r="A112" s="224"/>
      <c r="B112" s="38" t="s">
        <v>849</v>
      </c>
      <c r="C112" s="216" t="s">
        <v>852</v>
      </c>
      <c r="D112" s="401">
        <f>SUMIFS(Пр6!G$10:G$689,Пр6!$E$10:$E$689,C112)</f>
        <v>22000000</v>
      </c>
      <c r="E112" s="402">
        <f>SUMIFS(Пр6!H$10:H$689,Пр6!$E$10:$E$689,C112)</f>
        <v>0</v>
      </c>
      <c r="F112" s="400">
        <f t="shared" si="14"/>
        <v>0</v>
      </c>
    </row>
    <row r="113" spans="1:6" ht="16.5" thickBot="1" x14ac:dyDescent="0.3">
      <c r="A113" s="161"/>
      <c r="B113" s="339" t="s">
        <v>216</v>
      </c>
      <c r="C113" s="340"/>
      <c r="D113" s="403">
        <f>SUM(D10:D112)</f>
        <v>407769043</v>
      </c>
      <c r="E113" s="433">
        <f>SUM(E10:E112)</f>
        <v>199209750.63999999</v>
      </c>
      <c r="F113" s="400">
        <f t="shared" si="14"/>
        <v>48.853573869755479</v>
      </c>
    </row>
    <row r="115" spans="1:6" hidden="1" x14ac:dyDescent="0.25">
      <c r="E115" s="75"/>
      <c r="F115" s="297">
        <f>SUM(F11:F111)</f>
        <v>1963.5823253351552</v>
      </c>
    </row>
  </sheetData>
  <autoFilter ref="F1:F113">
    <filterColumn colId="0">
      <filters blank="1">
        <filter val="1 188 584"/>
        <filter val="1 400 000"/>
        <filter val="1 500 000"/>
        <filter val="1 764 654"/>
        <filter val="1 941 618"/>
        <filter val="10 000"/>
        <filter val="11 696 970"/>
        <filter val="120 000"/>
        <filter val="13 808 816"/>
        <filter val="13 901 864"/>
        <filter val="14 251 107"/>
        <filter val="15 471 880"/>
        <filter val="150 000"/>
        <filter val="189 620"/>
        <filter val="191 710 771"/>
        <filter val="2 390 000"/>
        <filter val="2 710 000"/>
        <filter val="2020 год                                                                               Сумма, руб."/>
        <filter val="22 241 441"/>
        <filter val="25 407 978"/>
        <filter val="3 600 000"/>
        <filter val="300 000"/>
        <filter val="307 000"/>
        <filter val="33 687 374"/>
        <filter val="340 000"/>
        <filter val="350 000"/>
        <filter val="4 445 000"/>
        <filter val="5 390 841"/>
        <filter val="517 000"/>
        <filter val="53 095"/>
        <filter val="540 000"/>
        <filter val="60 000"/>
        <filter val="600 000"/>
        <filter val="628 060"/>
        <filter val="731 680"/>
        <filter val="761 000"/>
        <filter val="8 225 789"/>
        <filter val="931 400"/>
        <filter val="98 000"/>
      </filters>
    </filterColumn>
  </autoFilter>
  <mergeCells count="6">
    <mergeCell ref="B1:F1"/>
    <mergeCell ref="B2:F2"/>
    <mergeCell ref="B3:F3"/>
    <mergeCell ref="B4:F4"/>
    <mergeCell ref="B7:F7"/>
    <mergeCell ref="D5:F5"/>
  </mergeCells>
  <printOptions gridLinesSet="0"/>
  <pageMargins left="0.70866141732283472" right="0.70866141732283472" top="0.74803149606299213" bottom="0.74803149606299213" header="0.51181102362204722" footer="0.51181102362204722"/>
  <pageSetup paperSize="9" scale="75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8"/>
  <sheetViews>
    <sheetView topLeftCell="A1153" workbookViewId="0">
      <selection activeCell="B1011" sqref="B1011"/>
    </sheetView>
  </sheetViews>
  <sheetFormatPr defaultRowHeight="12.75" x14ac:dyDescent="0.2"/>
  <cols>
    <col min="1" max="1" width="6.5703125" style="9" customWidth="1"/>
    <col min="2" max="2" width="85.7109375" style="8" customWidth="1"/>
  </cols>
  <sheetData>
    <row r="1" spans="1:2" hidden="1" x14ac:dyDescent="0.2">
      <c r="A1" s="9" t="s">
        <v>229</v>
      </c>
      <c r="B1" s="8" t="s">
        <v>230</v>
      </c>
    </row>
    <row r="2" spans="1:2" hidden="1" x14ac:dyDescent="0.2">
      <c r="A2" s="10" t="s">
        <v>231</v>
      </c>
      <c r="B2" s="11" t="s">
        <v>232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2">
        <v>0</v>
      </c>
      <c r="B1000" s="13" t="s">
        <v>233</v>
      </c>
    </row>
    <row r="1001" spans="1:2" x14ac:dyDescent="0.2">
      <c r="A1001" s="12">
        <v>4</v>
      </c>
      <c r="B1001" s="13" t="s">
        <v>234</v>
      </c>
    </row>
    <row r="1002" spans="1:2" x14ac:dyDescent="0.2">
      <c r="A1002" s="12">
        <v>20</v>
      </c>
      <c r="B1002" s="13" t="s">
        <v>235</v>
      </c>
    </row>
    <row r="1003" spans="1:2" x14ac:dyDescent="0.2">
      <c r="A1003" s="12">
        <v>22</v>
      </c>
      <c r="B1003" s="13" t="s">
        <v>236</v>
      </c>
    </row>
    <row r="1004" spans="1:2" x14ac:dyDescent="0.2">
      <c r="A1004" s="12">
        <v>29</v>
      </c>
      <c r="B1004" s="13" t="s">
        <v>237</v>
      </c>
    </row>
    <row r="1005" spans="1:2" x14ac:dyDescent="0.2">
      <c r="A1005" s="12">
        <v>48</v>
      </c>
      <c r="B1005" s="13" t="s">
        <v>238</v>
      </c>
    </row>
    <row r="1006" spans="1:2" x14ac:dyDescent="0.2">
      <c r="A1006" s="12">
        <v>50</v>
      </c>
      <c r="B1006" s="13" t="s">
        <v>239</v>
      </c>
    </row>
    <row r="1007" spans="1:2" x14ac:dyDescent="0.2">
      <c r="A1007" s="12">
        <v>53</v>
      </c>
      <c r="B1007" s="13" t="s">
        <v>240</v>
      </c>
    </row>
    <row r="1008" spans="1:2" x14ac:dyDescent="0.2">
      <c r="A1008" s="12">
        <v>54</v>
      </c>
      <c r="B1008" s="13" t="s">
        <v>241</v>
      </c>
    </row>
    <row r="1009" spans="1:2" x14ac:dyDescent="0.2">
      <c r="A1009" s="12">
        <v>56</v>
      </c>
      <c r="B1009" s="13" t="s">
        <v>242</v>
      </c>
    </row>
    <row r="1010" spans="1:2" x14ac:dyDescent="0.2">
      <c r="A1010" s="12">
        <v>58</v>
      </c>
      <c r="B1010" s="13" t="s">
        <v>243</v>
      </c>
    </row>
    <row r="1011" spans="1:2" x14ac:dyDescent="0.2">
      <c r="A1011" s="12">
        <v>70</v>
      </c>
      <c r="B1011" s="13" t="s">
        <v>244</v>
      </c>
    </row>
    <row r="1012" spans="1:2" x14ac:dyDescent="0.2">
      <c r="A1012" s="12">
        <v>71</v>
      </c>
      <c r="B1012" s="13" t="s">
        <v>245</v>
      </c>
    </row>
    <row r="1013" spans="1:2" x14ac:dyDescent="0.2">
      <c r="A1013" s="12">
        <v>72</v>
      </c>
      <c r="B1013" s="13" t="s">
        <v>246</v>
      </c>
    </row>
    <row r="1014" spans="1:2" x14ac:dyDescent="0.2">
      <c r="A1014" s="12">
        <v>75</v>
      </c>
      <c r="B1014" s="13" t="s">
        <v>247</v>
      </c>
    </row>
    <row r="1015" spans="1:2" x14ac:dyDescent="0.2">
      <c r="A1015" s="12">
        <v>76</v>
      </c>
      <c r="B1015" s="13" t="s">
        <v>248</v>
      </c>
    </row>
    <row r="1016" spans="1:2" x14ac:dyDescent="0.2">
      <c r="A1016" s="12">
        <v>78</v>
      </c>
      <c r="B1016" s="13" t="s">
        <v>249</v>
      </c>
    </row>
    <row r="1017" spans="1:2" x14ac:dyDescent="0.2">
      <c r="A1017" s="12">
        <v>81</v>
      </c>
      <c r="B1017" s="13" t="s">
        <v>250</v>
      </c>
    </row>
    <row r="1018" spans="1:2" x14ac:dyDescent="0.2">
      <c r="A1018" s="12">
        <v>82</v>
      </c>
      <c r="B1018" s="13" t="s">
        <v>251</v>
      </c>
    </row>
    <row r="1019" spans="1:2" x14ac:dyDescent="0.2">
      <c r="A1019" s="12">
        <v>83</v>
      </c>
      <c r="B1019" s="13" t="s">
        <v>252</v>
      </c>
    </row>
    <row r="1020" spans="1:2" x14ac:dyDescent="0.2">
      <c r="A1020" s="12">
        <v>85</v>
      </c>
      <c r="B1020" s="13" t="s">
        <v>253</v>
      </c>
    </row>
    <row r="1021" spans="1:2" x14ac:dyDescent="0.2">
      <c r="A1021" s="12">
        <v>89</v>
      </c>
      <c r="B1021" s="13" t="s">
        <v>254</v>
      </c>
    </row>
    <row r="1022" spans="1:2" x14ac:dyDescent="0.2">
      <c r="A1022" s="12">
        <v>92</v>
      </c>
      <c r="B1022" s="13" t="s">
        <v>255</v>
      </c>
    </row>
    <row r="1023" spans="1:2" x14ac:dyDescent="0.2">
      <c r="A1023" s="12">
        <v>99</v>
      </c>
      <c r="B1023" s="13" t="s">
        <v>256</v>
      </c>
    </row>
    <row r="1024" spans="1:2" x14ac:dyDescent="0.2">
      <c r="A1024" s="12">
        <v>104</v>
      </c>
      <c r="B1024" s="13" t="s">
        <v>257</v>
      </c>
    </row>
    <row r="1025" spans="1:2" x14ac:dyDescent="0.2">
      <c r="A1025" s="12">
        <v>125</v>
      </c>
      <c r="B1025" s="13" t="s">
        <v>258</v>
      </c>
    </row>
    <row r="1026" spans="1:2" x14ac:dyDescent="0.2">
      <c r="A1026" s="12">
        <v>126</v>
      </c>
      <c r="B1026" s="13" t="s">
        <v>259</v>
      </c>
    </row>
    <row r="1027" spans="1:2" x14ac:dyDescent="0.2">
      <c r="A1027" s="12">
        <v>128</v>
      </c>
      <c r="B1027" s="13" t="s">
        <v>260</v>
      </c>
    </row>
    <row r="1028" spans="1:2" x14ac:dyDescent="0.2">
      <c r="A1028" s="12">
        <v>129</v>
      </c>
      <c r="B1028" s="13" t="s">
        <v>261</v>
      </c>
    </row>
    <row r="1029" spans="1:2" ht="25.5" x14ac:dyDescent="0.2">
      <c r="A1029" s="12">
        <v>133</v>
      </c>
      <c r="B1029" s="13" t="s">
        <v>262</v>
      </c>
    </row>
    <row r="1030" spans="1:2" ht="25.5" x14ac:dyDescent="0.2">
      <c r="A1030" s="12">
        <v>134</v>
      </c>
      <c r="B1030" s="13" t="s">
        <v>263</v>
      </c>
    </row>
    <row r="1031" spans="1:2" x14ac:dyDescent="0.2">
      <c r="A1031" s="12">
        <v>136</v>
      </c>
      <c r="B1031" s="13" t="s">
        <v>264</v>
      </c>
    </row>
    <row r="1032" spans="1:2" x14ac:dyDescent="0.2">
      <c r="A1032" s="12">
        <v>139</v>
      </c>
      <c r="B1032" s="13" t="s">
        <v>265</v>
      </c>
    </row>
    <row r="1033" spans="1:2" x14ac:dyDescent="0.2">
      <c r="A1033" s="12">
        <v>140</v>
      </c>
      <c r="B1033" s="13" t="s">
        <v>266</v>
      </c>
    </row>
    <row r="1034" spans="1:2" x14ac:dyDescent="0.2">
      <c r="A1034" s="12">
        <v>141</v>
      </c>
      <c r="B1034" s="13" t="s">
        <v>267</v>
      </c>
    </row>
    <row r="1035" spans="1:2" x14ac:dyDescent="0.2">
      <c r="A1035" s="12">
        <v>142</v>
      </c>
      <c r="B1035" s="13" t="s">
        <v>268</v>
      </c>
    </row>
    <row r="1036" spans="1:2" x14ac:dyDescent="0.2">
      <c r="A1036" s="12">
        <v>148</v>
      </c>
      <c r="B1036" s="13" t="s">
        <v>269</v>
      </c>
    </row>
    <row r="1037" spans="1:2" x14ac:dyDescent="0.2">
      <c r="A1037" s="12">
        <v>149</v>
      </c>
      <c r="B1037" s="13" t="s">
        <v>270</v>
      </c>
    </row>
    <row r="1038" spans="1:2" x14ac:dyDescent="0.2">
      <c r="A1038" s="12">
        <v>152</v>
      </c>
      <c r="B1038" s="13" t="s">
        <v>271</v>
      </c>
    </row>
    <row r="1039" spans="1:2" x14ac:dyDescent="0.2">
      <c r="A1039" s="12">
        <v>153</v>
      </c>
      <c r="B1039" s="13" t="s">
        <v>272</v>
      </c>
    </row>
    <row r="1040" spans="1:2" x14ac:dyDescent="0.2">
      <c r="A1040" s="12">
        <v>154</v>
      </c>
      <c r="B1040" s="13" t="s">
        <v>273</v>
      </c>
    </row>
    <row r="1041" spans="1:2" x14ac:dyDescent="0.2">
      <c r="A1041" s="12">
        <v>156</v>
      </c>
      <c r="B1041" s="13" t="s">
        <v>274</v>
      </c>
    </row>
    <row r="1042" spans="1:2" x14ac:dyDescent="0.2">
      <c r="A1042" s="12">
        <v>157</v>
      </c>
      <c r="B1042" s="13" t="s">
        <v>275</v>
      </c>
    </row>
    <row r="1043" spans="1:2" x14ac:dyDescent="0.2">
      <c r="A1043" s="12">
        <v>158</v>
      </c>
      <c r="B1043" s="13" t="s">
        <v>276</v>
      </c>
    </row>
    <row r="1044" spans="1:2" x14ac:dyDescent="0.2">
      <c r="A1044" s="12">
        <v>159</v>
      </c>
      <c r="B1044" s="13" t="s">
        <v>277</v>
      </c>
    </row>
    <row r="1045" spans="1:2" x14ac:dyDescent="0.2">
      <c r="A1045" s="12">
        <v>160</v>
      </c>
      <c r="B1045" s="13" t="s">
        <v>278</v>
      </c>
    </row>
    <row r="1046" spans="1:2" x14ac:dyDescent="0.2">
      <c r="A1046" s="12">
        <v>162</v>
      </c>
      <c r="B1046" s="13" t="s">
        <v>279</v>
      </c>
    </row>
    <row r="1047" spans="1:2" x14ac:dyDescent="0.2">
      <c r="A1047" s="12">
        <v>163</v>
      </c>
      <c r="B1047" s="13" t="s">
        <v>280</v>
      </c>
    </row>
    <row r="1048" spans="1:2" x14ac:dyDescent="0.2">
      <c r="A1048" s="12">
        <v>164</v>
      </c>
      <c r="B1048" s="13" t="s">
        <v>281</v>
      </c>
    </row>
    <row r="1049" spans="1:2" x14ac:dyDescent="0.2">
      <c r="A1049" s="12">
        <v>165</v>
      </c>
      <c r="B1049" s="13" t="s">
        <v>282</v>
      </c>
    </row>
    <row r="1050" spans="1:2" ht="25.5" x14ac:dyDescent="0.2">
      <c r="A1050" s="12">
        <v>166</v>
      </c>
      <c r="B1050" s="13" t="s">
        <v>283</v>
      </c>
    </row>
    <row r="1051" spans="1:2" ht="25.5" x14ac:dyDescent="0.2">
      <c r="A1051" s="12">
        <v>177</v>
      </c>
      <c r="B1051" s="13" t="s">
        <v>284</v>
      </c>
    </row>
    <row r="1052" spans="1:2" x14ac:dyDescent="0.2">
      <c r="A1052" s="12">
        <v>181</v>
      </c>
      <c r="B1052" s="13" t="s">
        <v>285</v>
      </c>
    </row>
    <row r="1053" spans="1:2" x14ac:dyDescent="0.2">
      <c r="A1053" s="12">
        <v>182</v>
      </c>
      <c r="B1053" s="13" t="s">
        <v>286</v>
      </c>
    </row>
    <row r="1054" spans="1:2" x14ac:dyDescent="0.2">
      <c r="A1054" s="12">
        <v>184</v>
      </c>
      <c r="B1054" s="13" t="s">
        <v>287</v>
      </c>
    </row>
    <row r="1055" spans="1:2" x14ac:dyDescent="0.2">
      <c r="A1055" s="12">
        <v>186</v>
      </c>
      <c r="B1055" s="13" t="s">
        <v>288</v>
      </c>
    </row>
    <row r="1056" spans="1:2" x14ac:dyDescent="0.2">
      <c r="A1056" s="12">
        <v>187</v>
      </c>
      <c r="B1056" s="13" t="s">
        <v>289</v>
      </c>
    </row>
    <row r="1057" spans="1:2" x14ac:dyDescent="0.2">
      <c r="A1057" s="12">
        <v>188</v>
      </c>
      <c r="B1057" s="13" t="s">
        <v>290</v>
      </c>
    </row>
    <row r="1058" spans="1:2" x14ac:dyDescent="0.2">
      <c r="A1058" s="12">
        <v>189</v>
      </c>
      <c r="B1058" s="13" t="s">
        <v>291</v>
      </c>
    </row>
    <row r="1059" spans="1:2" x14ac:dyDescent="0.2">
      <c r="A1059" s="12">
        <v>190</v>
      </c>
      <c r="B1059" s="13" t="s">
        <v>292</v>
      </c>
    </row>
    <row r="1060" spans="1:2" x14ac:dyDescent="0.2">
      <c r="A1060" s="12">
        <v>192</v>
      </c>
      <c r="B1060" s="13" t="s">
        <v>293</v>
      </c>
    </row>
    <row r="1061" spans="1:2" x14ac:dyDescent="0.2">
      <c r="A1061" s="12">
        <v>197</v>
      </c>
      <c r="B1061" s="13" t="s">
        <v>294</v>
      </c>
    </row>
    <row r="1062" spans="1:2" x14ac:dyDescent="0.2">
      <c r="A1062" s="12">
        <v>202</v>
      </c>
      <c r="B1062" s="13" t="s">
        <v>295</v>
      </c>
    </row>
    <row r="1063" spans="1:2" ht="25.5" x14ac:dyDescent="0.2">
      <c r="A1063" s="12">
        <v>206</v>
      </c>
      <c r="B1063" s="13" t="s">
        <v>296</v>
      </c>
    </row>
    <row r="1064" spans="1:2" x14ac:dyDescent="0.2">
      <c r="A1064" s="12">
        <v>207</v>
      </c>
      <c r="B1064" s="13" t="s">
        <v>297</v>
      </c>
    </row>
    <row r="1065" spans="1:2" x14ac:dyDescent="0.2">
      <c r="A1065" s="12">
        <v>226</v>
      </c>
      <c r="B1065" s="13" t="s">
        <v>298</v>
      </c>
    </row>
    <row r="1066" spans="1:2" x14ac:dyDescent="0.2">
      <c r="A1066" s="12">
        <v>258</v>
      </c>
      <c r="B1066" s="13" t="s">
        <v>299</v>
      </c>
    </row>
    <row r="1067" spans="1:2" x14ac:dyDescent="0.2">
      <c r="A1067" s="12">
        <v>262</v>
      </c>
      <c r="B1067" s="13" t="s">
        <v>300</v>
      </c>
    </row>
    <row r="1068" spans="1:2" x14ac:dyDescent="0.2">
      <c r="A1068" s="12">
        <v>263</v>
      </c>
      <c r="B1068" s="13" t="s">
        <v>301</v>
      </c>
    </row>
    <row r="1069" spans="1:2" x14ac:dyDescent="0.2">
      <c r="A1069" s="12">
        <v>279</v>
      </c>
      <c r="B1069" s="13" t="s">
        <v>302</v>
      </c>
    </row>
    <row r="1070" spans="1:2" x14ac:dyDescent="0.2">
      <c r="A1070" s="12">
        <v>302</v>
      </c>
      <c r="B1070" s="13" t="s">
        <v>303</v>
      </c>
    </row>
    <row r="1071" spans="1:2" x14ac:dyDescent="0.2">
      <c r="A1071" s="12">
        <v>303</v>
      </c>
      <c r="B1071" s="13" t="s">
        <v>304</v>
      </c>
    </row>
    <row r="1072" spans="1:2" x14ac:dyDescent="0.2">
      <c r="A1072" s="12">
        <v>304</v>
      </c>
      <c r="B1072" s="13" t="s">
        <v>305</v>
      </c>
    </row>
    <row r="1073" spans="1:2" x14ac:dyDescent="0.2">
      <c r="A1073" s="12">
        <v>305</v>
      </c>
      <c r="B1073" s="13" t="s">
        <v>306</v>
      </c>
    </row>
    <row r="1074" spans="1:2" x14ac:dyDescent="0.2">
      <c r="A1074" s="12">
        <v>306</v>
      </c>
      <c r="B1074" s="13" t="s">
        <v>307</v>
      </c>
    </row>
    <row r="1075" spans="1:2" x14ac:dyDescent="0.2">
      <c r="A1075" s="12">
        <v>308</v>
      </c>
      <c r="B1075" s="13" t="s">
        <v>308</v>
      </c>
    </row>
    <row r="1076" spans="1:2" x14ac:dyDescent="0.2">
      <c r="A1076" s="12">
        <v>310</v>
      </c>
      <c r="B1076" s="13" t="s">
        <v>309</v>
      </c>
    </row>
    <row r="1077" spans="1:2" x14ac:dyDescent="0.2">
      <c r="A1077" s="12">
        <v>316</v>
      </c>
      <c r="B1077" s="13" t="s">
        <v>310</v>
      </c>
    </row>
    <row r="1078" spans="1:2" x14ac:dyDescent="0.2">
      <c r="A1078" s="12">
        <v>318</v>
      </c>
      <c r="B1078" s="13" t="s">
        <v>311</v>
      </c>
    </row>
    <row r="1079" spans="1:2" x14ac:dyDescent="0.2">
      <c r="A1079" s="12">
        <v>319</v>
      </c>
      <c r="B1079" s="13" t="s">
        <v>312</v>
      </c>
    </row>
    <row r="1080" spans="1:2" x14ac:dyDescent="0.2">
      <c r="A1080" s="12">
        <v>320</v>
      </c>
      <c r="B1080" s="13" t="s">
        <v>313</v>
      </c>
    </row>
    <row r="1081" spans="1:2" x14ac:dyDescent="0.2">
      <c r="A1081" s="12">
        <v>321</v>
      </c>
      <c r="B1081" s="13" t="s">
        <v>314</v>
      </c>
    </row>
    <row r="1082" spans="1:2" x14ac:dyDescent="0.2">
      <c r="A1082" s="12">
        <v>322</v>
      </c>
      <c r="B1082" s="13" t="s">
        <v>315</v>
      </c>
    </row>
    <row r="1083" spans="1:2" x14ac:dyDescent="0.2">
      <c r="A1083" s="12">
        <v>330</v>
      </c>
      <c r="B1083" s="13" t="s">
        <v>316</v>
      </c>
    </row>
    <row r="1084" spans="1:2" x14ac:dyDescent="0.2">
      <c r="A1084" s="12">
        <v>333</v>
      </c>
      <c r="B1084" s="13" t="s">
        <v>317</v>
      </c>
    </row>
    <row r="1085" spans="1:2" x14ac:dyDescent="0.2">
      <c r="A1085" s="12">
        <v>352</v>
      </c>
      <c r="B1085" s="13" t="s">
        <v>318</v>
      </c>
    </row>
    <row r="1086" spans="1:2" x14ac:dyDescent="0.2">
      <c r="A1086" s="12">
        <v>386</v>
      </c>
      <c r="B1086" s="13" t="s">
        <v>319</v>
      </c>
    </row>
    <row r="1087" spans="1:2" ht="25.5" x14ac:dyDescent="0.2">
      <c r="A1087" s="12">
        <v>387</v>
      </c>
      <c r="B1087" s="13" t="s">
        <v>320</v>
      </c>
    </row>
    <row r="1088" spans="1:2" x14ac:dyDescent="0.2">
      <c r="A1088" s="12">
        <v>392</v>
      </c>
      <c r="B1088" s="13" t="s">
        <v>321</v>
      </c>
    </row>
    <row r="1089" spans="1:2" x14ac:dyDescent="0.2">
      <c r="A1089" s="12">
        <v>393</v>
      </c>
      <c r="B1089" s="13" t="s">
        <v>322</v>
      </c>
    </row>
    <row r="1090" spans="1:2" x14ac:dyDescent="0.2">
      <c r="A1090" s="12">
        <v>397</v>
      </c>
      <c r="B1090" s="13" t="s">
        <v>323</v>
      </c>
    </row>
    <row r="1091" spans="1:2" x14ac:dyDescent="0.2">
      <c r="A1091" s="12">
        <v>401</v>
      </c>
      <c r="B1091" s="13" t="s">
        <v>324</v>
      </c>
    </row>
    <row r="1092" spans="1:2" x14ac:dyDescent="0.2">
      <c r="A1092" s="12">
        <v>409</v>
      </c>
      <c r="B1092" s="13" t="s">
        <v>325</v>
      </c>
    </row>
    <row r="1093" spans="1:2" x14ac:dyDescent="0.2">
      <c r="A1093" s="12">
        <v>415</v>
      </c>
      <c r="B1093" s="13" t="s">
        <v>326</v>
      </c>
    </row>
    <row r="1094" spans="1:2" x14ac:dyDescent="0.2">
      <c r="A1094" s="12">
        <v>423</v>
      </c>
      <c r="B1094" s="13" t="s">
        <v>327</v>
      </c>
    </row>
    <row r="1095" spans="1:2" x14ac:dyDescent="0.2">
      <c r="A1095" s="12">
        <v>424</v>
      </c>
      <c r="B1095" s="13" t="s">
        <v>328</v>
      </c>
    </row>
    <row r="1096" spans="1:2" x14ac:dyDescent="0.2">
      <c r="A1096" s="12">
        <v>425</v>
      </c>
      <c r="B1096" s="13" t="s">
        <v>329</v>
      </c>
    </row>
    <row r="1097" spans="1:2" x14ac:dyDescent="0.2">
      <c r="A1097" s="12">
        <v>434</v>
      </c>
      <c r="B1097" s="13" t="s">
        <v>330</v>
      </c>
    </row>
    <row r="1098" spans="1:2" x14ac:dyDescent="0.2">
      <c r="A1098" s="12">
        <v>436</v>
      </c>
      <c r="B1098" s="13" t="s">
        <v>331</v>
      </c>
    </row>
    <row r="1099" spans="1:2" x14ac:dyDescent="0.2">
      <c r="A1099" s="12">
        <v>437</v>
      </c>
      <c r="B1099" s="13" t="s">
        <v>332</v>
      </c>
    </row>
    <row r="1100" spans="1:2" x14ac:dyDescent="0.2">
      <c r="A1100" s="12">
        <v>438</v>
      </c>
      <c r="B1100" s="13" t="s">
        <v>333</v>
      </c>
    </row>
    <row r="1101" spans="1:2" x14ac:dyDescent="0.2">
      <c r="A1101" s="12">
        <v>464</v>
      </c>
      <c r="B1101" s="13" t="s">
        <v>334</v>
      </c>
    </row>
    <row r="1102" spans="1:2" x14ac:dyDescent="0.2">
      <c r="A1102" s="12">
        <v>486</v>
      </c>
      <c r="B1102" s="13" t="s">
        <v>335</v>
      </c>
    </row>
    <row r="1103" spans="1:2" x14ac:dyDescent="0.2">
      <c r="A1103" s="12">
        <v>494</v>
      </c>
      <c r="B1103" s="13" t="s">
        <v>336</v>
      </c>
    </row>
    <row r="1104" spans="1:2" x14ac:dyDescent="0.2">
      <c r="A1104" s="12">
        <v>497</v>
      </c>
      <c r="B1104" s="13" t="s">
        <v>337</v>
      </c>
    </row>
    <row r="1105" spans="1:2" x14ac:dyDescent="0.2">
      <c r="A1105" s="12">
        <v>498</v>
      </c>
      <c r="B1105" s="13" t="s">
        <v>338</v>
      </c>
    </row>
    <row r="1106" spans="1:2" x14ac:dyDescent="0.2">
      <c r="A1106" s="12">
        <v>520</v>
      </c>
      <c r="B1106" s="13" t="s">
        <v>339</v>
      </c>
    </row>
    <row r="1107" spans="1:2" x14ac:dyDescent="0.2">
      <c r="A1107" s="12">
        <v>573</v>
      </c>
      <c r="B1107" s="13" t="s">
        <v>340</v>
      </c>
    </row>
    <row r="1108" spans="1:2" x14ac:dyDescent="0.2">
      <c r="A1108" s="12">
        <v>588</v>
      </c>
      <c r="B1108" s="13" t="s">
        <v>341</v>
      </c>
    </row>
    <row r="1109" spans="1:2" x14ac:dyDescent="0.2">
      <c r="A1109" s="12">
        <v>589</v>
      </c>
      <c r="B1109" s="13" t="s">
        <v>342</v>
      </c>
    </row>
    <row r="1110" spans="1:2" x14ac:dyDescent="0.2">
      <c r="A1110" s="12">
        <v>591</v>
      </c>
      <c r="B1110" s="13" t="s">
        <v>343</v>
      </c>
    </row>
    <row r="1111" spans="1:2" x14ac:dyDescent="0.2">
      <c r="A1111" s="12">
        <v>597</v>
      </c>
      <c r="B1111" s="13" t="s">
        <v>344</v>
      </c>
    </row>
    <row r="1112" spans="1:2" x14ac:dyDescent="0.2">
      <c r="A1112" s="12">
        <v>653</v>
      </c>
      <c r="B1112" s="13" t="s">
        <v>345</v>
      </c>
    </row>
    <row r="1113" spans="1:2" x14ac:dyDescent="0.2">
      <c r="A1113" s="12">
        <v>665</v>
      </c>
      <c r="B1113" s="13" t="s">
        <v>346</v>
      </c>
    </row>
    <row r="1114" spans="1:2" x14ac:dyDescent="0.2">
      <c r="A1114" s="12">
        <v>677</v>
      </c>
      <c r="B1114" s="13" t="s">
        <v>347</v>
      </c>
    </row>
    <row r="1115" spans="1:2" x14ac:dyDescent="0.2">
      <c r="A1115" s="12">
        <v>693</v>
      </c>
      <c r="B1115" s="13" t="s">
        <v>348</v>
      </c>
    </row>
    <row r="1116" spans="1:2" x14ac:dyDescent="0.2">
      <c r="A1116" s="12">
        <v>720</v>
      </c>
      <c r="B1116" s="13" t="s">
        <v>349</v>
      </c>
    </row>
    <row r="1117" spans="1:2" x14ac:dyDescent="0.2">
      <c r="A1117" s="12">
        <v>721</v>
      </c>
      <c r="B1117" s="13" t="s">
        <v>350</v>
      </c>
    </row>
    <row r="1118" spans="1:2" ht="25.5" x14ac:dyDescent="0.2">
      <c r="A1118" s="12">
        <v>722</v>
      </c>
      <c r="B1118" s="13" t="s">
        <v>351</v>
      </c>
    </row>
    <row r="1119" spans="1:2" x14ac:dyDescent="0.2">
      <c r="A1119" s="12">
        <v>801</v>
      </c>
      <c r="B1119" s="13" t="s">
        <v>352</v>
      </c>
    </row>
    <row r="1120" spans="1:2" x14ac:dyDescent="0.2">
      <c r="A1120" s="12">
        <v>804</v>
      </c>
      <c r="B1120" s="13" t="s">
        <v>353</v>
      </c>
    </row>
    <row r="1121" spans="1:2" ht="25.5" x14ac:dyDescent="0.2">
      <c r="A1121" s="12">
        <v>807</v>
      </c>
      <c r="B1121" s="13" t="s">
        <v>354</v>
      </c>
    </row>
    <row r="1122" spans="1:2" x14ac:dyDescent="0.2">
      <c r="A1122" s="12">
        <v>812</v>
      </c>
      <c r="B1122" s="13" t="s">
        <v>355</v>
      </c>
    </row>
    <row r="1123" spans="1:2" x14ac:dyDescent="0.2">
      <c r="A1123" s="12">
        <v>905</v>
      </c>
      <c r="B1123" s="13" t="s">
        <v>356</v>
      </c>
    </row>
    <row r="1124" spans="1:2" x14ac:dyDescent="0.2">
      <c r="A1124" s="12">
        <v>906</v>
      </c>
      <c r="B1124" s="13" t="s">
        <v>357</v>
      </c>
    </row>
    <row r="1125" spans="1:2" x14ac:dyDescent="0.2">
      <c r="A1125" s="12">
        <v>914</v>
      </c>
      <c r="B1125" s="13" t="s">
        <v>358</v>
      </c>
    </row>
    <row r="1126" spans="1:2" x14ac:dyDescent="0.2">
      <c r="A1126" s="12">
        <v>932</v>
      </c>
      <c r="B1126" s="13" t="s">
        <v>359</v>
      </c>
    </row>
    <row r="1127" spans="1:2" x14ac:dyDescent="0.2">
      <c r="A1127" s="12">
        <v>950</v>
      </c>
      <c r="B1127" s="13" t="s">
        <v>192</v>
      </c>
    </row>
    <row r="1128" spans="1:2" x14ac:dyDescent="0.2">
      <c r="A1128" s="12">
        <v>951</v>
      </c>
      <c r="B1128" s="13" t="s">
        <v>360</v>
      </c>
    </row>
    <row r="1129" spans="1:2" x14ac:dyDescent="0.2">
      <c r="A1129" s="12">
        <v>952</v>
      </c>
      <c r="B1129" s="13" t="s">
        <v>196</v>
      </c>
    </row>
    <row r="1130" spans="1:2" x14ac:dyDescent="0.2">
      <c r="A1130" s="12">
        <v>953</v>
      </c>
      <c r="B1130" s="13" t="s">
        <v>197</v>
      </c>
    </row>
    <row r="1131" spans="1:2" x14ac:dyDescent="0.2">
      <c r="A1131" s="12">
        <v>954</v>
      </c>
      <c r="B1131" s="13" t="s">
        <v>203</v>
      </c>
    </row>
    <row r="1132" spans="1:2" x14ac:dyDescent="0.2">
      <c r="A1132" s="12">
        <v>955</v>
      </c>
      <c r="B1132" s="13" t="s">
        <v>204</v>
      </c>
    </row>
    <row r="1133" spans="1:2" x14ac:dyDescent="0.2">
      <c r="A1133" s="12">
        <v>956</v>
      </c>
      <c r="B1133" s="13" t="s">
        <v>207</v>
      </c>
    </row>
    <row r="1134" spans="1:2" x14ac:dyDescent="0.2">
      <c r="A1134" s="12">
        <v>957</v>
      </c>
      <c r="B1134" s="13" t="s">
        <v>361</v>
      </c>
    </row>
    <row r="1135" spans="1:2" x14ac:dyDescent="0.2">
      <c r="A1135" s="12">
        <v>958</v>
      </c>
      <c r="B1135" s="13" t="s">
        <v>210</v>
      </c>
    </row>
    <row r="1136" spans="1:2" x14ac:dyDescent="0.2">
      <c r="A1136" s="12">
        <v>959</v>
      </c>
      <c r="B1136" s="13" t="s">
        <v>362</v>
      </c>
    </row>
    <row r="1137" spans="1:2" x14ac:dyDescent="0.2">
      <c r="A1137" s="12">
        <v>960</v>
      </c>
      <c r="B1137" s="13" t="s">
        <v>363</v>
      </c>
    </row>
    <row r="1138" spans="1:2" x14ac:dyDescent="0.2">
      <c r="A1138" s="12">
        <v>961</v>
      </c>
      <c r="B1138" s="13" t="s">
        <v>364</v>
      </c>
    </row>
    <row r="1139" spans="1:2" x14ac:dyDescent="0.2">
      <c r="A1139" s="12">
        <v>962</v>
      </c>
      <c r="B1139" s="13" t="s">
        <v>365</v>
      </c>
    </row>
    <row r="1140" spans="1:2" x14ac:dyDescent="0.2">
      <c r="A1140" s="12">
        <v>963</v>
      </c>
      <c r="B1140" s="13" t="s">
        <v>366</v>
      </c>
    </row>
    <row r="1141" spans="1:2" x14ac:dyDescent="0.2">
      <c r="A1141" s="12">
        <v>964</v>
      </c>
      <c r="B1141" s="13" t="s">
        <v>367</v>
      </c>
    </row>
    <row r="1142" spans="1:2" x14ac:dyDescent="0.2">
      <c r="A1142" s="12">
        <v>965</v>
      </c>
      <c r="B1142" s="13" t="s">
        <v>368</v>
      </c>
    </row>
    <row r="1143" spans="1:2" x14ac:dyDescent="0.2">
      <c r="A1143" s="12">
        <v>966</v>
      </c>
      <c r="B1143" s="13" t="s">
        <v>369</v>
      </c>
    </row>
    <row r="1144" spans="1:2" x14ac:dyDescent="0.2">
      <c r="A1144" s="12">
        <v>967</v>
      </c>
      <c r="B1144" s="13" t="s">
        <v>370</v>
      </c>
    </row>
    <row r="1145" spans="1:2" x14ac:dyDescent="0.2">
      <c r="A1145" s="12">
        <v>968</v>
      </c>
      <c r="B1145" s="13" t="s">
        <v>371</v>
      </c>
    </row>
    <row r="1146" spans="1:2" x14ac:dyDescent="0.2">
      <c r="A1146" s="12">
        <v>969</v>
      </c>
      <c r="B1146" s="13" t="s">
        <v>372</v>
      </c>
    </row>
    <row r="1147" spans="1:2" x14ac:dyDescent="0.2">
      <c r="A1147" s="12">
        <v>970</v>
      </c>
      <c r="B1147" s="13" t="s">
        <v>373</v>
      </c>
    </row>
    <row r="1148" spans="1:2" x14ac:dyDescent="0.2">
      <c r="A1148" s="12">
        <v>971</v>
      </c>
      <c r="B1148" s="13" t="s">
        <v>374</v>
      </c>
    </row>
    <row r="1149" spans="1:2" x14ac:dyDescent="0.2">
      <c r="A1149" s="12">
        <v>972</v>
      </c>
      <c r="B1149" s="13" t="s">
        <v>375</v>
      </c>
    </row>
    <row r="1150" spans="1:2" x14ac:dyDescent="0.2">
      <c r="A1150" s="12">
        <v>973</v>
      </c>
      <c r="B1150" s="13" t="s">
        <v>376</v>
      </c>
    </row>
    <row r="1151" spans="1:2" x14ac:dyDescent="0.2">
      <c r="A1151" s="12">
        <v>974</v>
      </c>
      <c r="B1151" s="13" t="s">
        <v>377</v>
      </c>
    </row>
    <row r="1152" spans="1:2" x14ac:dyDescent="0.2">
      <c r="A1152" s="12">
        <v>975</v>
      </c>
      <c r="B1152" s="13" t="s">
        <v>378</v>
      </c>
    </row>
    <row r="1153" spans="1:2" x14ac:dyDescent="0.2">
      <c r="A1153" s="12">
        <v>976</v>
      </c>
      <c r="B1153" s="13" t="s">
        <v>379</v>
      </c>
    </row>
    <row r="1154" spans="1:2" x14ac:dyDescent="0.2">
      <c r="A1154" s="12">
        <v>977</v>
      </c>
      <c r="B1154" s="13" t="s">
        <v>380</v>
      </c>
    </row>
    <row r="1155" spans="1:2" x14ac:dyDescent="0.2">
      <c r="A1155" s="12">
        <v>978</v>
      </c>
      <c r="B1155" s="13" t="s">
        <v>381</v>
      </c>
    </row>
    <row r="1156" spans="1:2" x14ac:dyDescent="0.2">
      <c r="A1156" s="12">
        <v>979</v>
      </c>
      <c r="B1156" s="13" t="s">
        <v>382</v>
      </c>
    </row>
    <row r="1157" spans="1:2" x14ac:dyDescent="0.2">
      <c r="A1157" s="12">
        <v>980</v>
      </c>
      <c r="B1157" s="13" t="s">
        <v>383</v>
      </c>
    </row>
    <row r="1158" spans="1:2" x14ac:dyDescent="0.2">
      <c r="A1158" s="12">
        <v>981</v>
      </c>
      <c r="B1158" s="13" t="s">
        <v>384</v>
      </c>
    </row>
    <row r="1159" spans="1:2" x14ac:dyDescent="0.2">
      <c r="A1159" s="12">
        <v>982</v>
      </c>
      <c r="B1159" s="13" t="s">
        <v>215</v>
      </c>
    </row>
    <row r="1160" spans="1:2" x14ac:dyDescent="0.2">
      <c r="A1160" s="12">
        <v>983</v>
      </c>
      <c r="B1160" s="13" t="s">
        <v>385</v>
      </c>
    </row>
    <row r="1161" spans="1:2" x14ac:dyDescent="0.2">
      <c r="A1161" s="12">
        <v>984</v>
      </c>
      <c r="B1161" s="13" t="s">
        <v>386</v>
      </c>
    </row>
    <row r="1162" spans="1:2" x14ac:dyDescent="0.2">
      <c r="A1162" s="12">
        <v>985</v>
      </c>
      <c r="B1162" s="13" t="s">
        <v>387</v>
      </c>
    </row>
    <row r="1163" spans="1:2" x14ac:dyDescent="0.2">
      <c r="A1163" s="12">
        <v>986</v>
      </c>
      <c r="B1163" s="13" t="s">
        <v>388</v>
      </c>
    </row>
    <row r="1164" spans="1:2" x14ac:dyDescent="0.2">
      <c r="A1164" s="12">
        <v>987</v>
      </c>
      <c r="B1164" s="13" t="s">
        <v>389</v>
      </c>
    </row>
    <row r="1165" spans="1:2" x14ac:dyDescent="0.2">
      <c r="A1165" s="12">
        <v>988</v>
      </c>
      <c r="B1165" s="13" t="s">
        <v>390</v>
      </c>
    </row>
    <row r="1166" spans="1:2" x14ac:dyDescent="0.2">
      <c r="A1166" s="12">
        <v>989</v>
      </c>
      <c r="B1166" s="13" t="s">
        <v>391</v>
      </c>
    </row>
    <row r="1167" spans="1:2" x14ac:dyDescent="0.2">
      <c r="A1167" s="9">
        <v>995</v>
      </c>
      <c r="B1167" s="8" t="s">
        <v>388</v>
      </c>
    </row>
    <row r="1168" spans="1:2" x14ac:dyDescent="0.2">
      <c r="A1168" s="9">
        <v>993</v>
      </c>
      <c r="B1168" s="8" t="s">
        <v>606</v>
      </c>
    </row>
  </sheetData>
  <printOptions gridLines="1"/>
  <pageMargins left="0.75" right="0.75" top="1" bottom="1" header="0.5" footer="0.5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43</vt:i4>
      </vt:variant>
    </vt:vector>
  </HeadingPairs>
  <TitlesOfParts>
    <vt:vector size="56" baseType="lpstr">
      <vt:lpstr>Пр1</vt:lpstr>
      <vt:lpstr>Пр2</vt:lpstr>
      <vt:lpstr>Пр3</vt:lpstr>
      <vt:lpstr>Пр4</vt:lpstr>
      <vt:lpstr>Пр5</vt:lpstr>
      <vt:lpstr>Пр6</vt:lpstr>
      <vt:lpstr>Пр7</vt:lpstr>
      <vt:lpstr>Пр8</vt:lpstr>
      <vt:lpstr>КВСР</vt:lpstr>
      <vt:lpstr>КФСР</vt:lpstr>
      <vt:lpstr>Программа</vt:lpstr>
      <vt:lpstr>Направление</vt:lpstr>
      <vt:lpstr>КВР</vt:lpstr>
      <vt:lpstr>Пр5!_GoBack</vt:lpstr>
      <vt:lpstr>КВСР!_ФильтрБазыДанных</vt:lpstr>
      <vt:lpstr>КФСР!_ФильтрБазыДанных</vt:lpstr>
      <vt:lpstr>Пр6!Z_66DBF0AC_E9A0_482F_9E41_1928B6CA83DC_.wvu.FilterData</vt:lpstr>
      <vt:lpstr>Пр6!Z_91923F83_3A6B_4204_9891_178562AB34F1_.wvu.FilterData</vt:lpstr>
      <vt:lpstr>Пр2!Z_91923F83_3A6B_4204_9891_178562AB34F1_.wvu.PrintArea</vt:lpstr>
      <vt:lpstr>Пр3!Z_91923F83_3A6B_4204_9891_178562AB34F1_.wvu.PrintArea</vt:lpstr>
      <vt:lpstr>Пр6!Z_91923F83_3A6B_4204_9891_178562AB34F1_.wvu.PrintArea</vt:lpstr>
      <vt:lpstr>Пр3!Z_91923F83_3A6B_4204_9891_178562AB34F1_.wvu.Rows</vt:lpstr>
      <vt:lpstr>Пр6!Z_A5E41FC9_89B1_40D2_B587_57BC4C5E4715_.wvu.FilterData</vt:lpstr>
      <vt:lpstr>Пр2!Z_A5E41FC9_89B1_40D2_B587_57BC4C5E4715_.wvu.PrintArea</vt:lpstr>
      <vt:lpstr>Пр3!Z_A5E41FC9_89B1_40D2_B587_57BC4C5E4715_.wvu.PrintArea</vt:lpstr>
      <vt:lpstr>Пр6!Z_A5E41FC9_89B1_40D2_B587_57BC4C5E4715_.wvu.PrintArea</vt:lpstr>
      <vt:lpstr>Пр3!Z_A5E41FC9_89B1_40D2_B587_57BC4C5E4715_.wvu.Rows</vt:lpstr>
      <vt:lpstr>Пр6!Z_B3311466_F005_49F1_A579_3E6CECE305A8_.wvu.FilterData</vt:lpstr>
      <vt:lpstr>Пр2!Z_B3311466_F005_49F1_A579_3E6CECE305A8_.wvu.PrintArea</vt:lpstr>
      <vt:lpstr>Пр3!Z_B3311466_F005_49F1_A579_3E6CECE305A8_.wvu.PrintArea</vt:lpstr>
      <vt:lpstr>Пр6!Z_B3311466_F005_49F1_A579_3E6CECE305A8_.wvu.PrintArea</vt:lpstr>
      <vt:lpstr>Пр3!Z_B3311466_F005_49F1_A579_3E6CECE305A8_.wvu.Rows</vt:lpstr>
      <vt:lpstr>Пр6!Z_E51CBA0A_8A1C_44BF_813B_86B1F7C678D3_.wvu.FilterData</vt:lpstr>
      <vt:lpstr>Пр6!Z_E5662E33_D4B0_43EA_9B06_C8DA9DFDBEF6_.wvu.FilterData</vt:lpstr>
      <vt:lpstr>Пр2!Z_E5662E33_D4B0_43EA_9B06_C8DA9DFDBEF6_.wvu.PrintArea</vt:lpstr>
      <vt:lpstr>Пр3!Z_E5662E33_D4B0_43EA_9B06_C8DA9DFDBEF6_.wvu.PrintArea</vt:lpstr>
      <vt:lpstr>Пр4!Z_E5662E33_D4B0_43EA_9B06_C8DA9DFDBEF6_.wvu.PrintArea</vt:lpstr>
      <vt:lpstr>Пр6!Z_E5662E33_D4B0_43EA_9B06_C8DA9DFDBEF6_.wvu.PrintArea</vt:lpstr>
      <vt:lpstr>Пр3!Z_E5662E33_D4B0_43EA_9B06_C8DA9DFDBEF6_.wvu.Rows</vt:lpstr>
      <vt:lpstr>Пр6!Z_F3607253_7816_4CF7_9CFD_2ADFFAD916F8_.wvu.FilterData</vt:lpstr>
      <vt:lpstr>Пр2!Z_F3607253_7816_4CF7_9CFD_2ADFFAD916F8_.wvu.PrintArea</vt:lpstr>
      <vt:lpstr>Пр3!Z_F3607253_7816_4CF7_9CFD_2ADFFAD916F8_.wvu.PrintArea</vt:lpstr>
      <vt:lpstr>Пр6!Z_F3607253_7816_4CF7_9CFD_2ADFFAD916F8_.wvu.PrintArea</vt:lpstr>
      <vt:lpstr>Пр3!Z_F3607253_7816_4CF7_9CFD_2ADFFAD916F8_.wvu.Rows</vt:lpstr>
      <vt:lpstr>Пр6!Заголовки_для_печати</vt:lpstr>
      <vt:lpstr>КВР!Область_печати</vt:lpstr>
      <vt:lpstr>КВСР!Область_печати</vt:lpstr>
      <vt:lpstr>КФСР!Область_печати</vt:lpstr>
      <vt:lpstr>Пр1!Область_печати</vt:lpstr>
      <vt:lpstr>Пр2!Область_печати</vt:lpstr>
      <vt:lpstr>Пр3!Область_печати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  <vt:lpstr>Пр8!Область_печати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2021-10-29T08:32:12Z</cp:lastPrinted>
  <dcterms:created xsi:type="dcterms:W3CDTF">2016-11-11T16:27:02Z</dcterms:created>
  <dcterms:modified xsi:type="dcterms:W3CDTF">2021-10-29T08:32:14Z</dcterms:modified>
</cp:coreProperties>
</file>