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250" windowHeight="12435" activeTab="1"/>
  </bookViews>
  <sheets>
    <sheet name="Лист1" sheetId="1" r:id="rId1"/>
    <sheet name="Лист2" sheetId="2" r:id="rId2"/>
  </sheets>
  <calcPr calcId="145621" refMode="R1C1"/>
</workbook>
</file>

<file path=xl/calcChain.xml><?xml version="1.0" encoding="utf-8"?>
<calcChain xmlns="http://schemas.openxmlformats.org/spreadsheetml/2006/main">
  <c r="C19" i="1" l="1"/>
  <c r="D19" i="1" l="1"/>
  <c r="C5" i="1" l="1"/>
  <c r="C7" i="1" l="1"/>
  <c r="C6" i="1" s="1"/>
  <c r="C20" i="1" s="1"/>
  <c r="C12" i="1" l="1"/>
  <c r="H21" i="2"/>
  <c r="D21" i="2"/>
  <c r="F20" i="2"/>
  <c r="H19" i="2"/>
  <c r="D19" i="2"/>
  <c r="F18" i="2"/>
  <c r="H17" i="2"/>
  <c r="D17" i="2"/>
  <c r="F16" i="2"/>
  <c r="H15" i="2"/>
  <c r="D15" i="2"/>
  <c r="F14" i="2"/>
  <c r="H13" i="2"/>
  <c r="D13" i="2"/>
  <c r="F12" i="2"/>
  <c r="H11" i="2"/>
  <c r="F10" i="2"/>
  <c r="D9" i="2"/>
  <c r="E18" i="2"/>
  <c r="E16" i="2"/>
  <c r="E14" i="2"/>
  <c r="E12" i="2"/>
  <c r="C11" i="2"/>
  <c r="C9" i="2"/>
  <c r="F9" i="2"/>
  <c r="G21" i="2"/>
  <c r="C21" i="2"/>
  <c r="E20" i="2"/>
  <c r="G19" i="2"/>
  <c r="G17" i="2"/>
  <c r="C15" i="2"/>
  <c r="C13" i="2"/>
  <c r="E10" i="2"/>
  <c r="D10" i="2"/>
  <c r="F21" i="2"/>
  <c r="H20" i="2"/>
  <c r="D20" i="2"/>
  <c r="F19" i="2"/>
  <c r="H18" i="2"/>
  <c r="D18" i="2"/>
  <c r="F17" i="2"/>
  <c r="H16" i="2"/>
  <c r="D16" i="2"/>
  <c r="F15" i="2"/>
  <c r="H14" i="2"/>
  <c r="D14" i="2"/>
  <c r="F13" i="2"/>
  <c r="H12" i="2"/>
  <c r="D12" i="2"/>
  <c r="F11" i="2"/>
  <c r="E21" i="2"/>
  <c r="G20" i="2"/>
  <c r="C20" i="2"/>
  <c r="E19" i="2"/>
  <c r="G18" i="2"/>
  <c r="C18" i="2"/>
  <c r="E17" i="2"/>
  <c r="G16" i="2"/>
  <c r="C16" i="2"/>
  <c r="E15" i="2"/>
  <c r="G14" i="2"/>
  <c r="C14" i="2"/>
  <c r="E13" i="2"/>
  <c r="G12" i="2"/>
  <c r="C12" i="2"/>
  <c r="E11" i="2"/>
  <c r="G10" i="2"/>
  <c r="C10" i="2"/>
  <c r="E9" i="2"/>
  <c r="D11" i="2"/>
  <c r="H9" i="2"/>
  <c r="C19" i="2"/>
  <c r="C17" i="2"/>
  <c r="G15" i="2"/>
  <c r="G13" i="2"/>
  <c r="G11" i="2"/>
  <c r="G9" i="2"/>
  <c r="H10" i="2"/>
  <c r="E8" i="2"/>
  <c r="F7" i="2"/>
  <c r="D7" i="2"/>
  <c r="H8" i="2"/>
  <c r="D8" i="2"/>
  <c r="E7" i="2"/>
  <c r="G8" i="2"/>
  <c r="H7" i="2"/>
  <c r="C8" i="2"/>
  <c r="F8" i="2"/>
  <c r="G7" i="2"/>
  <c r="C7" i="2"/>
  <c r="C4" i="1"/>
  <c r="E20" i="1"/>
</calcChain>
</file>

<file path=xl/sharedStrings.xml><?xml version="1.0" encoding="utf-8"?>
<sst xmlns="http://schemas.openxmlformats.org/spreadsheetml/2006/main" count="60" uniqueCount="46">
  <si>
    <t>размер платы за наем</t>
  </si>
  <si>
    <t>базовый размер платы за наем</t>
  </si>
  <si>
    <t>коэф. Качества, благоустройства и месторасположения жилого помещения</t>
  </si>
  <si>
    <t>коэффициент соотвествия платы на наем жилого помещения</t>
  </si>
  <si>
    <t>общая площадь жилого помещения</t>
  </si>
  <si>
    <t>средняя цена 1 кв.метра</t>
  </si>
  <si>
    <t>коэффициен, характиризующий месторасположение</t>
  </si>
  <si>
    <t>К1</t>
  </si>
  <si>
    <t>К2</t>
  </si>
  <si>
    <t>К3</t>
  </si>
  <si>
    <t>Кс</t>
  </si>
  <si>
    <t>Кj</t>
  </si>
  <si>
    <t>Hб</t>
  </si>
  <si>
    <t>Пнj</t>
  </si>
  <si>
    <t>Пj</t>
  </si>
  <si>
    <t>Cср</t>
  </si>
  <si>
    <t>Км</t>
  </si>
  <si>
    <t>Ксв</t>
  </si>
  <si>
    <t>материал стен</t>
  </si>
  <si>
    <t>сроки ввода дома</t>
  </si>
  <si>
    <t>коэффициент , характеризующий качество жилого помещения</t>
  </si>
  <si>
    <t>коэффициент, характирезующий благоустройство жилого помещения</t>
  </si>
  <si>
    <t>коэф соотвествия</t>
  </si>
  <si>
    <t>расчет максимальной платы за наем, с применением наибольших коэффициетов</t>
  </si>
  <si>
    <t>левый берег гп Тутаев</t>
  </si>
  <si>
    <t>правый  берег гп Тутаев</t>
  </si>
  <si>
    <t>кирпичный, каменный</t>
  </si>
  <si>
    <t>блочный, крупнопанельный</t>
  </si>
  <si>
    <t xml:space="preserve">смешанный, деревянный </t>
  </si>
  <si>
    <t>с 2011 года</t>
  </si>
  <si>
    <t>с 1991 по 2010 год</t>
  </si>
  <si>
    <t>с 1971 по 1990 год</t>
  </si>
  <si>
    <t>с 1951 по 1970 год</t>
  </si>
  <si>
    <t>до 1950 года</t>
  </si>
  <si>
    <t>Материал стен дома, в котором находится жилое помещение (Км)</t>
  </si>
  <si>
    <t>Сроки ввода домов, в которых находится жилое помещение (Ксв)</t>
  </si>
  <si>
    <t>Жилые помещения, имеющие все виды благоустройств (К2)</t>
  </si>
  <si>
    <t>Жилые помещения, с отсутствием одного вида благоустройства (К2)</t>
  </si>
  <si>
    <t>Месторасположение жилого помещения (К3)</t>
  </si>
  <si>
    <t xml:space="preserve">Жилые помещения, с отсутствием более одного вида благоустройства (К2)  </t>
  </si>
  <si>
    <t>плата за наем благоустроенного жилья до 01.01.2018</t>
  </si>
  <si>
    <t>плата за наем благоустроенного жилья с 01.01.2018</t>
  </si>
  <si>
    <t>рост на 20 проц</t>
  </si>
  <si>
    <t xml:space="preserve">Размер платы за пользование жилым помещением (плата за наем) по договорам социального найма и договорам найма жилых помещений муниципального жилищного фонда городского поселения Тутаев
(за 1 м2 общей площади в месяц, руб.)
</t>
  </si>
  <si>
    <t>плата за наем благоустроенного жилья с 01.01.2022</t>
  </si>
  <si>
    <t>Приложение к Постановлению Администрации Тутаевского муниципального района                            от 10.11.2021 №815-п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</si>
</sst>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164" fontId="0" fillId="0" borderId="0" xfId="0" applyNumberFormat="1"/>
    <xf numFmtId="2" fontId="0" fillId="0" borderId="0" xfId="0" applyNumberFormat="1"/>
    <xf numFmtId="2" fontId="1" fillId="0" borderId="1" xfId="0" applyNumberFormat="1" applyFont="1" applyBorder="1"/>
    <xf numFmtId="0" fontId="1" fillId="0" borderId="0" xfId="0" applyFont="1" applyFill="1" applyBorder="1"/>
    <xf numFmtId="2" fontId="0" fillId="0" borderId="1" xfId="0" applyNumberFormat="1" applyBorder="1"/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2" fontId="0" fillId="0" borderId="8" xfId="0" applyNumberFormat="1" applyBorder="1"/>
    <xf numFmtId="2" fontId="0" fillId="0" borderId="9" xfId="0" applyNumberFormat="1" applyBorder="1"/>
    <xf numFmtId="2" fontId="0" fillId="0" borderId="11" xfId="0" applyNumberFormat="1" applyBorder="1"/>
    <xf numFmtId="0" fontId="4" fillId="0" borderId="13" xfId="0" applyFont="1" applyBorder="1" applyAlignment="1">
      <alignment wrapText="1"/>
    </xf>
    <xf numFmtId="2" fontId="0" fillId="0" borderId="13" xfId="0" applyNumberFormat="1" applyBorder="1"/>
    <xf numFmtId="2" fontId="0" fillId="0" borderId="14" xfId="0" applyNumberFormat="1" applyBorder="1"/>
    <xf numFmtId="0" fontId="0" fillId="0" borderId="0" xfId="0" applyAlignment="1">
      <alignment horizontal="left"/>
    </xf>
    <xf numFmtId="164" fontId="5" fillId="0" borderId="1" xfId="0" applyNumberFormat="1" applyFont="1" applyBorder="1"/>
    <xf numFmtId="1" fontId="0" fillId="0" borderId="0" xfId="0" applyNumberFormat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4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workbookViewId="0">
      <selection activeCell="C20" sqref="C20"/>
    </sheetView>
  </sheetViews>
  <sheetFormatPr defaultRowHeight="15" x14ac:dyDescent="0.25"/>
  <cols>
    <col min="2" max="2" width="67.85546875" customWidth="1"/>
  </cols>
  <sheetData>
    <row r="1" spans="1:4" x14ac:dyDescent="0.25">
      <c r="A1" s="1"/>
      <c r="B1" s="1"/>
      <c r="C1" s="1"/>
    </row>
    <row r="2" spans="1:4" x14ac:dyDescent="0.25">
      <c r="A2" s="1"/>
      <c r="B2" s="1" t="s">
        <v>23</v>
      </c>
      <c r="C2" s="1"/>
    </row>
    <row r="3" spans="1:4" x14ac:dyDescent="0.25">
      <c r="A3" s="2"/>
      <c r="B3" s="2"/>
      <c r="C3" s="2"/>
    </row>
    <row r="4" spans="1:4" ht="23.25" x14ac:dyDescent="0.35">
      <c r="A4" s="3" t="s">
        <v>13</v>
      </c>
      <c r="B4" s="4" t="s">
        <v>0</v>
      </c>
      <c r="C4" s="11">
        <f>C5*C6*C12*C13</f>
        <v>30.896639999999998</v>
      </c>
      <c r="D4" s="11"/>
    </row>
    <row r="5" spans="1:4" ht="23.25" x14ac:dyDescent="0.35">
      <c r="A5" s="3" t="s">
        <v>12</v>
      </c>
      <c r="B5" s="4" t="s">
        <v>1</v>
      </c>
      <c r="C5" s="11">
        <f>C14*0.001</f>
        <v>71.299979999999991</v>
      </c>
    </row>
    <row r="6" spans="1:4" ht="46.5" x14ac:dyDescent="0.35">
      <c r="A6" s="3" t="s">
        <v>11</v>
      </c>
      <c r="B6" s="4" t="s">
        <v>2</v>
      </c>
      <c r="C6" s="2">
        <f>(C7+C10+C11)/3</f>
        <v>1.3</v>
      </c>
    </row>
    <row r="7" spans="1:4" ht="37.5" x14ac:dyDescent="0.3">
      <c r="A7" s="5" t="s">
        <v>7</v>
      </c>
      <c r="B7" s="6" t="s">
        <v>20</v>
      </c>
      <c r="C7" s="2">
        <f>(C8+C9)/2</f>
        <v>1.3</v>
      </c>
    </row>
    <row r="8" spans="1:4" ht="15.75" x14ac:dyDescent="0.25">
      <c r="A8" s="7" t="s">
        <v>16</v>
      </c>
      <c r="B8" s="8" t="s">
        <v>18</v>
      </c>
      <c r="C8" s="2">
        <v>1.3</v>
      </c>
    </row>
    <row r="9" spans="1:4" ht="15.75" x14ac:dyDescent="0.25">
      <c r="A9" s="7" t="s">
        <v>17</v>
      </c>
      <c r="B9" s="8" t="s">
        <v>19</v>
      </c>
      <c r="C9" s="2">
        <v>1.3</v>
      </c>
    </row>
    <row r="10" spans="1:4" ht="37.5" x14ac:dyDescent="0.3">
      <c r="A10" s="5" t="s">
        <v>8</v>
      </c>
      <c r="B10" s="6" t="s">
        <v>21</v>
      </c>
      <c r="C10" s="2">
        <v>1.3</v>
      </c>
    </row>
    <row r="11" spans="1:4" ht="18.75" x14ac:dyDescent="0.3">
      <c r="A11" s="5" t="s">
        <v>9</v>
      </c>
      <c r="B11" s="6" t="s">
        <v>6</v>
      </c>
      <c r="C11" s="2">
        <v>1.3</v>
      </c>
    </row>
    <row r="12" spans="1:4" ht="46.5" x14ac:dyDescent="0.35">
      <c r="A12" s="3" t="s">
        <v>10</v>
      </c>
      <c r="B12" s="4" t="s">
        <v>3</v>
      </c>
      <c r="C12" s="23">
        <f>C20</f>
        <v>0.33333313913757273</v>
      </c>
    </row>
    <row r="13" spans="1:4" ht="23.25" x14ac:dyDescent="0.35">
      <c r="A13" s="3" t="s">
        <v>14</v>
      </c>
      <c r="B13" s="4" t="s">
        <v>4</v>
      </c>
      <c r="C13" s="2">
        <v>1</v>
      </c>
    </row>
    <row r="14" spans="1:4" ht="18.75" x14ac:dyDescent="0.3">
      <c r="A14" s="5" t="s">
        <v>15</v>
      </c>
      <c r="B14" s="6" t="s">
        <v>5</v>
      </c>
      <c r="C14" s="2">
        <v>71299.98</v>
      </c>
      <c r="D14">
        <v>44730.29</v>
      </c>
    </row>
    <row r="17" spans="2:5" x14ac:dyDescent="0.25">
      <c r="B17" t="s">
        <v>40</v>
      </c>
      <c r="C17" s="12">
        <v>8.4</v>
      </c>
    </row>
    <row r="18" spans="2:5" x14ac:dyDescent="0.25">
      <c r="B18" t="s">
        <v>41</v>
      </c>
      <c r="C18" s="12">
        <v>8.94</v>
      </c>
    </row>
    <row r="19" spans="2:5" x14ac:dyDescent="0.25">
      <c r="B19" t="s">
        <v>44</v>
      </c>
      <c r="C19" s="10">
        <f>C18*2*1.2*1.2*1.2</f>
        <v>30.896639999999998</v>
      </c>
      <c r="D19" s="24">
        <f>C19/C18</f>
        <v>3.456</v>
      </c>
      <c r="E19" t="s">
        <v>42</v>
      </c>
    </row>
    <row r="20" spans="2:5" x14ac:dyDescent="0.25">
      <c r="B20" t="s">
        <v>22</v>
      </c>
      <c r="C20" s="9">
        <f>C19/C5/C6/C13</f>
        <v>0.33333313913757273</v>
      </c>
      <c r="D20">
        <v>0.152</v>
      </c>
      <c r="E20" s="10">
        <f>C20/D20</f>
        <v>2.1929811785366629</v>
      </c>
    </row>
    <row r="21" spans="2:5" x14ac:dyDescent="0.25">
      <c r="C21" s="9"/>
    </row>
    <row r="22" spans="2:5" x14ac:dyDescent="0.25">
      <c r="C22" s="10"/>
    </row>
    <row r="23" spans="2:5" x14ac:dyDescent="0.25">
      <c r="C23" s="9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view="pageBreakPreview" topLeftCell="A5" zoomScale="112" zoomScaleSheetLayoutView="112" workbookViewId="0">
      <selection activeCell="A4" sqref="A4:H21"/>
    </sheetView>
  </sheetViews>
  <sheetFormatPr defaultRowHeight="15" x14ac:dyDescent="0.25"/>
  <cols>
    <col min="1" max="1" width="13" customWidth="1"/>
    <col min="2" max="2" width="18.5703125" customWidth="1"/>
    <col min="3" max="3" width="10.28515625" customWidth="1"/>
    <col min="4" max="4" width="10.140625" customWidth="1"/>
    <col min="5" max="5" width="10.42578125" customWidth="1"/>
    <col min="6" max="6" width="13" customWidth="1"/>
    <col min="7" max="7" width="11" customWidth="1"/>
    <col min="8" max="8" width="9.85546875" customWidth="1"/>
  </cols>
  <sheetData>
    <row r="1" spans="1:13" ht="14.45" customHeight="1" x14ac:dyDescent="0.25">
      <c r="A1" s="26"/>
      <c r="B1" s="25"/>
      <c r="C1" s="25"/>
      <c r="D1" s="25"/>
      <c r="E1" s="27" t="s">
        <v>45</v>
      </c>
      <c r="F1" s="27"/>
      <c r="G1" s="27"/>
      <c r="H1" s="27"/>
      <c r="I1" s="25"/>
      <c r="J1" s="25"/>
      <c r="K1" s="25"/>
      <c r="L1" s="25"/>
      <c r="M1" s="25"/>
    </row>
    <row r="2" spans="1:13" ht="32.450000000000003" customHeight="1" x14ac:dyDescent="0.25">
      <c r="A2" s="25"/>
      <c r="B2" s="25"/>
      <c r="C2" s="25"/>
      <c r="D2" s="25"/>
      <c r="E2" s="27"/>
      <c r="F2" s="27"/>
      <c r="G2" s="27"/>
      <c r="H2" s="27"/>
    </row>
    <row r="3" spans="1:13" ht="64.900000000000006" customHeight="1" x14ac:dyDescent="0.25">
      <c r="A3" s="33" t="s">
        <v>43</v>
      </c>
      <c r="B3" s="34"/>
      <c r="C3" s="34"/>
      <c r="D3" s="34"/>
      <c r="E3" s="34"/>
      <c r="F3" s="34"/>
      <c r="G3" s="34"/>
      <c r="H3" s="34"/>
    </row>
    <row r="4" spans="1:13" ht="85.15" customHeight="1" x14ac:dyDescent="0.25">
      <c r="A4" s="38" t="s">
        <v>34</v>
      </c>
      <c r="B4" s="31" t="s">
        <v>35</v>
      </c>
      <c r="C4" s="38" t="s">
        <v>36</v>
      </c>
      <c r="D4" s="38"/>
      <c r="E4" s="38" t="s">
        <v>37</v>
      </c>
      <c r="F4" s="38"/>
      <c r="G4" s="38" t="s">
        <v>39</v>
      </c>
      <c r="H4" s="38"/>
    </row>
    <row r="5" spans="1:13" ht="27.6" customHeight="1" x14ac:dyDescent="0.25">
      <c r="A5" s="38"/>
      <c r="B5" s="32"/>
      <c r="C5" s="35" t="s">
        <v>38</v>
      </c>
      <c r="D5" s="36"/>
      <c r="E5" s="36"/>
      <c r="F5" s="36"/>
      <c r="G5" s="36"/>
      <c r="H5" s="37"/>
    </row>
    <row r="6" spans="1:13" ht="48" thickBot="1" x14ac:dyDescent="0.3">
      <c r="A6" s="31"/>
      <c r="B6" s="32"/>
      <c r="C6" s="14" t="s">
        <v>24</v>
      </c>
      <c r="D6" s="14" t="s">
        <v>25</v>
      </c>
      <c r="E6" s="14" t="s">
        <v>24</v>
      </c>
      <c r="F6" s="14" t="s">
        <v>25</v>
      </c>
      <c r="G6" s="14" t="s">
        <v>24</v>
      </c>
      <c r="H6" s="14" t="s">
        <v>25</v>
      </c>
    </row>
    <row r="7" spans="1:13" ht="18" customHeight="1" x14ac:dyDescent="0.25">
      <c r="A7" s="28" t="s">
        <v>26</v>
      </c>
      <c r="B7" s="15" t="s">
        <v>29</v>
      </c>
      <c r="C7" s="16">
        <f>71.3*((((1.3+1.3)/2)+1.3+0.8)/3)*Лист1!C20*1</f>
        <v>26.935539863243463</v>
      </c>
      <c r="D7" s="16">
        <f>(((1.3+1.3)/2+1.3+1.3)/3)*71.3*Лист1!C20</f>
        <v>30.896648666661616</v>
      </c>
      <c r="E7" s="16">
        <f>(((1.3+1.3)/2+0.8+1)/3)*71.3*Лист1!C20</f>
        <v>24.558874581192569</v>
      </c>
      <c r="F7" s="16">
        <f>(((1.3+1.3)/2+1+1.3)/3*71.3*Лист1!C20)</f>
        <v>28.519983384610718</v>
      </c>
      <c r="G7" s="16">
        <f>((1.3+1.3)/2+0.8+0.8)/3*71.3*Лист1!C20</f>
        <v>22.974431059825303</v>
      </c>
      <c r="H7" s="17">
        <f>((1.3+1.3)/2+0.8+1.3)/3*71.3*Лист1!C20</f>
        <v>26.935539863243463</v>
      </c>
    </row>
    <row r="8" spans="1:13" ht="31.5" x14ac:dyDescent="0.25">
      <c r="A8" s="29"/>
      <c r="B8" s="8" t="s">
        <v>30</v>
      </c>
      <c r="C8" s="13">
        <f>(((1.2+1.3)/2+1.3+0.8)/3)*71.3*Лист1!C20</f>
        <v>26.539428982901637</v>
      </c>
      <c r="D8" s="13">
        <f>(((1.3+1.2)/2+1.3+1.3)/3)*71.3*Лист1!C20</f>
        <v>30.500537786319796</v>
      </c>
      <c r="E8" s="13">
        <f>(((1.3+1.2)/2+0.8+1)/3)*71.3*Лист1!C20</f>
        <v>24.16276370085075</v>
      </c>
      <c r="F8" s="13">
        <f>(((1.3+1.2)/2+1+1.3)/3*71.3*Лист1!C20)</f>
        <v>28.12387250426891</v>
      </c>
      <c r="G8" s="13">
        <f>((1.2+1.3)/2+0.8+0.8)/3*71.3*Лист1!C20</f>
        <v>22.578320179483484</v>
      </c>
      <c r="H8" s="18">
        <f>((1.3+1.2)/2+0.8+1.3)/3*71.3*Лист1!C20</f>
        <v>26.539428982901637</v>
      </c>
    </row>
    <row r="9" spans="1:13" ht="31.5" x14ac:dyDescent="0.25">
      <c r="A9" s="29"/>
      <c r="B9" s="8" t="s">
        <v>31</v>
      </c>
      <c r="C9" s="13">
        <f>(((1+1.3)/2+0.8+1.3)/3)*71.3*Лист1!C20</f>
        <v>25.747207222218012</v>
      </c>
      <c r="D9" s="13">
        <f>(((1+1.3)/2+1.3+1.3)/3)*Лист1!C20*71.3</f>
        <v>29.708316025636169</v>
      </c>
      <c r="E9" s="13">
        <f>(((1.3+1)/2+0.8+1)/3)*71.3*Лист1!C20</f>
        <v>23.370541940167119</v>
      </c>
      <c r="F9" s="13">
        <f>(((1.3+1)/2+1+1.3)/3*71.3*Лист1!C20)</f>
        <v>27.331650743585278</v>
      </c>
      <c r="G9" s="13">
        <f>((1.3+1)/2+0.8+0.8)/3*71.3*Лист1!C20</f>
        <v>21.78609841879986</v>
      </c>
      <c r="H9" s="18">
        <f>((1.3+1)/2+0.8+1.3)/3*71.3*Лист1!C20</f>
        <v>25.747207222218012</v>
      </c>
    </row>
    <row r="10" spans="1:13" ht="31.5" x14ac:dyDescent="0.25">
      <c r="A10" s="29"/>
      <c r="B10" s="8" t="s">
        <v>32</v>
      </c>
      <c r="C10" s="13">
        <f>(((1.3+0.9)/2+0.8+1.3)/3)*71.3*Лист1!C20</f>
        <v>25.351096341876197</v>
      </c>
      <c r="D10" s="13">
        <f>(((0.9+1.3)/2+1.3+1.3)/3)*71.3*Лист1!C20</f>
        <v>29.312205145294353</v>
      </c>
      <c r="E10" s="13">
        <f>(((0.9+1.3)/2+1+0.8)/3)*71.3*Лист1!C20</f>
        <v>22.974431059825303</v>
      </c>
      <c r="F10" s="13">
        <f>((1.3+0.9)/2+1+1.3)/3*71.3*Лист1!C20</f>
        <v>26.935539863243463</v>
      </c>
      <c r="G10" s="13">
        <f>((1.3+0.9)/2+0.8+0.8)/3*71.3*Лист1!C20</f>
        <v>21.389987538458044</v>
      </c>
      <c r="H10" s="18">
        <f>((1.3+0.9)/2+0.8+1.3)/3*71.3*Лист1!C20</f>
        <v>25.351096341876197</v>
      </c>
    </row>
    <row r="11" spans="1:13" ht="16.5" thickBot="1" x14ac:dyDescent="0.3">
      <c r="A11" s="30"/>
      <c r="B11" s="19" t="s">
        <v>33</v>
      </c>
      <c r="C11" s="20">
        <f>(((1.3+0.8)/2+0.8+1.3)/3)*71.3*Лист1!C20</f>
        <v>24.954985461534381</v>
      </c>
      <c r="D11" s="20">
        <f>(((1.3+0.8)/2+1.3+1.3)/3)*71.3*Лист1!C20</f>
        <v>28.916094264952537</v>
      </c>
      <c r="E11" s="20">
        <f>(((1.3+0.8)/2+1+0.8)/3)*71.3*Лист1!C20</f>
        <v>22.578320179483484</v>
      </c>
      <c r="F11" s="20">
        <f>((1.3+0.8)/2+1+1.3)/3*71.3*Лист1!C20</f>
        <v>26.539428982901637</v>
      </c>
      <c r="G11" s="20">
        <f>(((1.3+0.8)/2+0.8+0.8)/3*71.3*Лист1!C20)</f>
        <v>20.993876658116228</v>
      </c>
      <c r="H11" s="21">
        <f>((1.3+0.8)/2+0.8+1.3)/3*71.3*Лист1!C20</f>
        <v>24.954985461534381</v>
      </c>
    </row>
    <row r="12" spans="1:13" ht="16.149999999999999" customHeight="1" x14ac:dyDescent="0.25">
      <c r="A12" s="28" t="s">
        <v>27</v>
      </c>
      <c r="B12" s="15" t="s">
        <v>29</v>
      </c>
      <c r="C12" s="16">
        <f>((1.1+1.3)/2+1.3+0.8)/3*71.3*Лист1!C20</f>
        <v>26.143318102559828</v>
      </c>
      <c r="D12" s="16">
        <f>((1.1+1.3)/2+1.3+1.3)/3*71.3*Лист1!C20</f>
        <v>30.104426905977984</v>
      </c>
      <c r="E12" s="16">
        <f>((1.1+1.3)/2+1+0.8)/3*71.3*Лист1!C20</f>
        <v>23.766652820508934</v>
      </c>
      <c r="F12" s="16">
        <f>((1.1+1.3)/2+1+1.3)/3*71.3*Лист1!C20</f>
        <v>27.727761623927094</v>
      </c>
      <c r="G12" s="16">
        <f>((1.1+1.3)/2+0.8+0.8)/3*71.3*Лист1!C20</f>
        <v>22.182209299141668</v>
      </c>
      <c r="H12" s="17">
        <f>((1.1+1.3)/2+0.8+1.3)/3*71.3*Лист1!C20</f>
        <v>26.143318102559828</v>
      </c>
    </row>
    <row r="13" spans="1:13" ht="31.5" x14ac:dyDescent="0.25">
      <c r="A13" s="29"/>
      <c r="B13" s="8" t="s">
        <v>30</v>
      </c>
      <c r="C13" s="13">
        <f>((1.1+1.2)/2+1.3+0.8)/3*71.3*Лист1!C20</f>
        <v>25.747207222218012</v>
      </c>
      <c r="D13" s="13">
        <f>((1.1+1.2)/2+1.3+1.3)/3*71.3*Лист1!C20</f>
        <v>29.708316025636169</v>
      </c>
      <c r="E13" s="13">
        <f>((1.1+1.2)/2+1+0.8)/3*71.3*Лист1!C20</f>
        <v>23.370541940167119</v>
      </c>
      <c r="F13" s="13">
        <f>((1.1+1.2)/2+1+1.3)/3*71.3*Лист1!C20</f>
        <v>27.331650743585278</v>
      </c>
      <c r="G13" s="13">
        <f>((1.1+1.2)/2+0.8+0.8)/3*71.3*Лист1!C20</f>
        <v>21.78609841879986</v>
      </c>
      <c r="H13" s="18">
        <f>((1.1+1.2)/2+0.8+1.3)/3*71.3*Лист1!C20</f>
        <v>25.747207222218012</v>
      </c>
    </row>
    <row r="14" spans="1:13" ht="31.5" x14ac:dyDescent="0.25">
      <c r="A14" s="29"/>
      <c r="B14" s="8" t="s">
        <v>31</v>
      </c>
      <c r="C14" s="13">
        <f>((1.1+1)/2+1.3+0.8)/3*71.3*Лист1!C20</f>
        <v>24.954985461534381</v>
      </c>
      <c r="D14" s="13">
        <f>((1.1+1)/2+1.3+1.3)/3*71.3*Лист1!C20</f>
        <v>28.916094264952537</v>
      </c>
      <c r="E14" s="13">
        <f>((1.1+1)/2+1+0.8)/3*71.3*Лист1!C20</f>
        <v>22.578320179483484</v>
      </c>
      <c r="F14" s="13">
        <f>((1.1+1)/2+1+1.3)/3*71.3*Лист1!C20</f>
        <v>26.539428982901637</v>
      </c>
      <c r="G14" s="13">
        <f>((1.1+1)/2+0.8+0.8)/3*71.3*Лист1!C20</f>
        <v>20.993876658116228</v>
      </c>
      <c r="H14" s="18">
        <f>((1.1+1)/2+0.9+1.3)/3*71.3*Лист1!C20</f>
        <v>25.747207222218012</v>
      </c>
    </row>
    <row r="15" spans="1:13" ht="31.5" x14ac:dyDescent="0.25">
      <c r="A15" s="29"/>
      <c r="B15" s="8" t="s">
        <v>32</v>
      </c>
      <c r="C15" s="13">
        <f>((1.1+0.9)/2+1.3+0.8)/3*71.3*Лист1!C20</f>
        <v>24.558874581192566</v>
      </c>
      <c r="D15" s="13">
        <f>((1.1+0.9)/2+1.3+1.3)/3*71.3*Лист1!C20</f>
        <v>28.519983384610718</v>
      </c>
      <c r="E15" s="13">
        <f>((1.1+0.9)/2+1+0.8)/3*71.3*Лист1!C20</f>
        <v>22.182209299141668</v>
      </c>
      <c r="F15" s="13">
        <f>((1.1+0.9)/2+1+1.3)/3*71.3*Лист1!C20</f>
        <v>26.143318102559828</v>
      </c>
      <c r="G15" s="13">
        <f>((1.1+0.9)/2+0.8+0.8)/3*71.3*Лист1!C20</f>
        <v>20.597765777774409</v>
      </c>
      <c r="H15" s="18">
        <f>((1.1+0.9)/2+0.8+1.3)/3*71.3*Лист1!C20</f>
        <v>24.558874581192569</v>
      </c>
    </row>
    <row r="16" spans="1:13" ht="16.5" thickBot="1" x14ac:dyDescent="0.3">
      <c r="A16" s="30"/>
      <c r="B16" s="19" t="s">
        <v>33</v>
      </c>
      <c r="C16" s="20">
        <f>((1.1+0.8)/2+1.3+0.8)/3*71.3*Лист1!C20</f>
        <v>24.16276370085075</v>
      </c>
      <c r="D16" s="20">
        <f>((1.1+0.8)/2+1.3+1.3)/3*71.3*Лист1!C20</f>
        <v>28.12387250426891</v>
      </c>
      <c r="E16" s="20">
        <f>((1.1+0.8)/2+1+0.8)/3*71.3*Лист1!C20</f>
        <v>21.78609841879986</v>
      </c>
      <c r="F16" s="20">
        <f>((1.1+0.8)/2+1+1.3)/3*71.3*Лист1!C20</f>
        <v>25.747207222218012</v>
      </c>
      <c r="G16" s="20">
        <f>((1.1+0.8)/2+0.8+0.8)/3*71.3*Лист1!C20</f>
        <v>20.201654897432594</v>
      </c>
      <c r="H16" s="21">
        <f>((1.1+0.8)/2+0.8+1.3)/3*71.3*Лист1!C20</f>
        <v>24.16276370085075</v>
      </c>
    </row>
    <row r="17" spans="1:8" ht="18" customHeight="1" x14ac:dyDescent="0.25">
      <c r="A17" s="28" t="s">
        <v>28</v>
      </c>
      <c r="B17" s="15" t="s">
        <v>29</v>
      </c>
      <c r="C17" s="16">
        <f>((0.8+1.3)/2+1.3+0.8)/3*71.3*Лист1!C20</f>
        <v>24.954985461534381</v>
      </c>
      <c r="D17" s="16">
        <f>((0.8+1.3)/2+1.3+1.3)/3*71.3*Лист1!C20</f>
        <v>28.916094264952537</v>
      </c>
      <c r="E17" s="16">
        <f>((0.8+1.3)/2+1+0.8)/3*71.3*Лист1!C20</f>
        <v>22.578320179483484</v>
      </c>
      <c r="F17" s="16">
        <f>((0.8+1.3)/2+1+1.3)/3*71.3*Лист1!C20</f>
        <v>26.539428982901637</v>
      </c>
      <c r="G17" s="16">
        <f>((0.8+1.3)/2+0.8+0.8)/3*71.3*Лист1!C20</f>
        <v>20.993876658116228</v>
      </c>
      <c r="H17" s="17">
        <f>((0.8+1.3)/2+0.8+1.3)/3*71.3*Лист1!C20</f>
        <v>24.954985461534381</v>
      </c>
    </row>
    <row r="18" spans="1:8" ht="18" customHeight="1" x14ac:dyDescent="0.25">
      <c r="A18" s="29"/>
      <c r="B18" s="8" t="s">
        <v>30</v>
      </c>
      <c r="C18" s="13">
        <f>((0.8+1.2)/2+1.3+0.8)/3*71.3*Лист1!C20</f>
        <v>24.558874581192566</v>
      </c>
      <c r="D18" s="13">
        <f>((0.8+1.2)/2+1.3+1.3)/3*71.3*Лист1!C20</f>
        <v>28.519983384610718</v>
      </c>
      <c r="E18" s="13">
        <f>((0.8+1.2)/2+1+0.8)/3*71.3*Лист1!C20</f>
        <v>22.182209299141668</v>
      </c>
      <c r="F18" s="13">
        <f>((0.8+1.2)/2+1+1.3)/3*71.3*Лист1!C20</f>
        <v>26.143318102559828</v>
      </c>
      <c r="G18" s="13">
        <f>((0.8+1.2)/2+0.8+0.8)/3*71.3*Лист1!C20</f>
        <v>20.597765777774409</v>
      </c>
      <c r="H18" s="18">
        <f>((0.8+1.2)/2+0.8+1.3)/3*71.3*Лист1!C20</f>
        <v>24.558874581192569</v>
      </c>
    </row>
    <row r="19" spans="1:8" ht="31.5" x14ac:dyDescent="0.25">
      <c r="A19" s="29"/>
      <c r="B19" s="8" t="s">
        <v>31</v>
      </c>
      <c r="C19" s="13">
        <f>((0.8+1)/2+1.3+0.8)/3*71.3*Лист1!C20</f>
        <v>23.766652820508934</v>
      </c>
      <c r="D19" s="13">
        <f>((0.8+1)/2+1.3+1.3)/3*71.3*Лист1!C20</f>
        <v>27.727761623927094</v>
      </c>
      <c r="E19" s="13">
        <f>((0.8+1)/2+1+0.8)/3*71.3*Лист1!C20</f>
        <v>21.389987538458044</v>
      </c>
      <c r="F19" s="13">
        <f>((0.8+1)/2+1+1.3)/3*71.3*Лист1!C20</f>
        <v>25.351096341876197</v>
      </c>
      <c r="G19" s="13">
        <f>((0.8+1)/2+0.8+0.8)/3*71.3*Лист1!C20</f>
        <v>19.805544017090778</v>
      </c>
      <c r="H19" s="18">
        <f>((0.8+1)/2+0.8+1.3)/3*71.3*Лист1!C20</f>
        <v>23.766652820508934</v>
      </c>
    </row>
    <row r="20" spans="1:8" ht="31.5" x14ac:dyDescent="0.25">
      <c r="A20" s="29"/>
      <c r="B20" s="8" t="s">
        <v>32</v>
      </c>
      <c r="C20" s="13">
        <f>((0.8+1.3)/2+1.3+0.8)/3*71.3*Лист1!C20</f>
        <v>24.954985461534381</v>
      </c>
      <c r="D20" s="13">
        <f>((0.8+0.9)/2+1.3+1.3)/3*71.3*Лист1!C20</f>
        <v>27.331650743585278</v>
      </c>
      <c r="E20" s="13">
        <f>((0.8+0.9)/2+1+0.8)/3*71.3*Лист1!C20</f>
        <v>20.993876658116228</v>
      </c>
      <c r="F20" s="13">
        <f>((0.8+0.9)/2+0.9+1.3)/3*71.3*Лист1!C20</f>
        <v>24.16276370085075</v>
      </c>
      <c r="G20" s="13">
        <f>((0.8+0.9)/2+0.8+0.8)/3*71.3*Лист1!C20</f>
        <v>19.409433136748966</v>
      </c>
      <c r="H20" s="18">
        <f>((0.8+0.9)/2+0.8+1.3)/3*71.3*Лист1!C20</f>
        <v>23.370541940167119</v>
      </c>
    </row>
    <row r="21" spans="1:8" ht="16.5" thickBot="1" x14ac:dyDescent="0.3">
      <c r="A21" s="30"/>
      <c r="B21" s="19" t="s">
        <v>33</v>
      </c>
      <c r="C21" s="20">
        <f>((0.8+0.8)/2+1.3+0.8)/3*71.3*Лист1!C20</f>
        <v>22.974431059825303</v>
      </c>
      <c r="D21" s="20">
        <f>((0.8+0.8)/2+1.3+1.3)/3*71.3*Лист1!C20</f>
        <v>26.935539863243463</v>
      </c>
      <c r="E21" s="20">
        <f>((0.8+0.8)/2+1+0.8)/3*71.3*Лист1!C20</f>
        <v>20.597765777774409</v>
      </c>
      <c r="F21" s="20">
        <f>((0.8+0.8)/2+1+1.3)/3*71.3*Лист1!C20</f>
        <v>24.558874581192569</v>
      </c>
      <c r="G21" s="20">
        <f>((0.8+0.8)/2+0.8+0.8)/3*71.3*Лист1!C20</f>
        <v>19.01332225640715</v>
      </c>
      <c r="H21" s="21">
        <f>((0.8+0.8)/2+0.8+1.3)/3*71.3*Лист1!C20</f>
        <v>22.974431059825303</v>
      </c>
    </row>
    <row r="22" spans="1:8" x14ac:dyDescent="0.25">
      <c r="A22" s="22"/>
    </row>
  </sheetData>
  <mergeCells count="11">
    <mergeCell ref="E1:H2"/>
    <mergeCell ref="A7:A11"/>
    <mergeCell ref="A12:A16"/>
    <mergeCell ref="A17:A21"/>
    <mergeCell ref="B4:B6"/>
    <mergeCell ref="A3:H3"/>
    <mergeCell ref="C5:H5"/>
    <mergeCell ref="C4:D4"/>
    <mergeCell ref="E4:F4"/>
    <mergeCell ref="G4:H4"/>
    <mergeCell ref="A4:A6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2021-11-11T08:28:47Z</dcterms:modified>
</cp:coreProperties>
</file>