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4010" yWindow="-195" windowWidth="14325" windowHeight="12465" tabRatio="730" activeTab="16"/>
  </bookViews>
  <sheets>
    <sheet name="Пр1" sheetId="57" r:id="rId1"/>
    <sheet name="Пр2" sheetId="1" r:id="rId2"/>
    <sheet name="Пр3" sheetId="2" state="hidden" r:id="rId3"/>
    <sheet name="Пр4" sheetId="3" r:id="rId4"/>
    <sheet name="Пр5" sheetId="4" state="hidden" r:id="rId5"/>
    <sheet name="Пр6" sheetId="5" r:id="rId6"/>
    <sheet name="Пр7" sheetId="6" state="hidden" r:id="rId7"/>
    <sheet name="Пр8" sheetId="7" state="hidden" r:id="rId8"/>
    <sheet name="Пр9" sheetId="10" state="hidden" r:id="rId9"/>
    <sheet name="Пр10" sheetId="11" state="hidden" r:id="rId10"/>
    <sheet name="Пр11" sheetId="13" state="hidden" r:id="rId11"/>
    <sheet name="Пр12" sheetId="14" r:id="rId12"/>
    <sheet name="Пр13" sheetId="15" state="hidden" r:id="rId13"/>
    <sheet name="Пр14" sheetId="16" r:id="rId14"/>
    <sheet name="Пр15" sheetId="21" state="hidden" r:id="rId15"/>
    <sheet name="Пр19" sheetId="48" state="hidden" r:id="rId16"/>
    <sheet name="Пр16" sheetId="49" r:id="rId17"/>
    <sheet name="Пр.21" sheetId="50" state="hidden" r:id="rId18"/>
    <sheet name="КВСР" sheetId="31" state="hidden" r:id="rId19"/>
    <sheet name="КФСР" sheetId="51" state="hidden" r:id="rId20"/>
    <sheet name="Программа" sheetId="53" state="hidden" r:id="rId21"/>
    <sheet name="Направление" sheetId="52" state="hidden" r:id="rId22"/>
    <sheet name="КВР" sheetId="33" state="hidden" r:id="rId23"/>
    <sheet name="Лист2" sheetId="58" state="hidden" r:id="rId24"/>
    <sheet name="Лист3" sheetId="59" state="hidden" r:id="rId25"/>
    <sheet name="Лист1" sheetId="60" state="hidden" r:id="rId26"/>
    <sheet name="Лист4" sheetId="61" state="hidden" r:id="rId27"/>
    <sheet name="Лист5" sheetId="62" state="hidden" r:id="rId28"/>
    <sheet name="Лист6" sheetId="63" state="hidden" r:id="rId29"/>
    <sheet name="Лист7" sheetId="64" state="hidden" r:id="rId30"/>
    <sheet name="Лист8" sheetId="65" state="hidden" r:id="rId31"/>
    <sheet name="Лист11" sheetId="68" state="hidden" r:id="rId32"/>
  </sheets>
  <definedNames>
    <definedName name="_GoBack" localSheetId="7">Пр8!$A$48</definedName>
    <definedName name="_xlnm._FilterDatabase" localSheetId="18">КВСР!$A$2:$B$1166</definedName>
    <definedName name="_xlnm._FilterDatabase" localSheetId="19">КФСР!$A$1400:$B$1478</definedName>
    <definedName name="_xlnm._FilterDatabase" localSheetId="11" hidden="1">Пр12!$A$8:$I$193</definedName>
    <definedName name="_xlnm._FilterDatabase" localSheetId="12" hidden="1">Пр13!$A$8:$L$123</definedName>
    <definedName name="_xlnm._FilterDatabase" localSheetId="13" hidden="1">Пр14!$A$8:$F$40</definedName>
    <definedName name="_xlnm._FilterDatabase" localSheetId="16" hidden="1">Пр16!$A$9:$F$90</definedName>
    <definedName name="_xlnm._FilterDatabase" localSheetId="1" hidden="1">Пр2!$A$9:$L$66</definedName>
    <definedName name="_xlnm._FilterDatabase" localSheetId="2" hidden="1">Пр3!$A$9:$O$47</definedName>
    <definedName name="_xlnm._FilterDatabase" localSheetId="5" hidden="1">Пр6!$A$9:$E$23</definedName>
    <definedName name="Z_66DBF0AC_E9A0_482F_9E41_1928B6CA83DC_.wvu.Cols" localSheetId="3">Пр4!#REF!</definedName>
    <definedName name="Z_66DBF0AC_E9A0_482F_9E41_1928B6CA83DC_.wvu.Cols" localSheetId="5">Пр6!#REF!</definedName>
    <definedName name="Z_66DBF0AC_E9A0_482F_9E41_1928B6CA83DC_.wvu.FilterData" localSheetId="11">Пр12!$A$9:$F$192</definedName>
    <definedName name="Z_66DBF0AC_E9A0_482F_9E41_1928B6CA83DC_.wvu.Rows" localSheetId="5">Пр6!#REF!,Пр6!#REF!</definedName>
    <definedName name="Z_91923F83_3A6B_4204_9891_178562AB34F1_.wvu.Cols" localSheetId="3">Пр4!#REF!</definedName>
    <definedName name="Z_91923F83_3A6B_4204_9891_178562AB34F1_.wvu.Cols" localSheetId="5">Пр6!#REF!</definedName>
    <definedName name="Z_91923F83_3A6B_4204_9891_178562AB34F1_.wvu.FilterData" localSheetId="11">Пр12!$A$9:$F$192</definedName>
    <definedName name="Z_91923F83_3A6B_4204_9891_178562AB34F1_.wvu.PrintArea" localSheetId="11">Пр12!$A$1:$F$192</definedName>
    <definedName name="Z_91923F83_3A6B_4204_9891_178562AB34F1_.wvu.PrintArea" localSheetId="1">Пр2!$A$1:$I$66</definedName>
    <definedName name="Z_91923F83_3A6B_4204_9891_178562AB34F1_.wvu.PrintArea" localSheetId="3">Пр4!$A$1:$B$120</definedName>
    <definedName name="Z_91923F83_3A6B_4204_9891_178562AB34F1_.wvu.Rows" localSheetId="3">Пр4!$23:$23</definedName>
    <definedName name="Z_91923F83_3A6B_4204_9891_178562AB34F1_.wvu.Rows" localSheetId="5">Пр6!#REF!,Пр6!#REF!</definedName>
    <definedName name="Z_A5E41FC9_89B1_40D2_B587_57BC4C5E4715_.wvu.Cols" localSheetId="3">Пр4!#REF!</definedName>
    <definedName name="Z_A5E41FC9_89B1_40D2_B587_57BC4C5E4715_.wvu.Cols" localSheetId="5">Пр6!#REF!</definedName>
    <definedName name="Z_A5E41FC9_89B1_40D2_B587_57BC4C5E4715_.wvu.FilterData" localSheetId="11">Пр12!$A$9:$F$192</definedName>
    <definedName name="Z_A5E41FC9_89B1_40D2_B587_57BC4C5E4715_.wvu.PrintArea" localSheetId="11">Пр12!$A$1:$F$192</definedName>
    <definedName name="Z_A5E41FC9_89B1_40D2_B587_57BC4C5E4715_.wvu.PrintArea" localSheetId="1">Пр2!$A$1:$I$66</definedName>
    <definedName name="Z_A5E41FC9_89B1_40D2_B587_57BC4C5E4715_.wvu.PrintArea" localSheetId="3">Пр4!$A$1:$B$120</definedName>
    <definedName name="Z_A5E41FC9_89B1_40D2_B587_57BC4C5E4715_.wvu.Rows" localSheetId="3">Пр4!$23:$23</definedName>
    <definedName name="Z_A5E41FC9_89B1_40D2_B587_57BC4C5E4715_.wvu.Rows" localSheetId="5">Пр6!#REF!,Пр6!#REF!</definedName>
    <definedName name="Z_B3311466_F005_49F1_A579_3E6CECE305A8_.wvu.Cols" localSheetId="3">Пр4!#REF!</definedName>
    <definedName name="Z_B3311466_F005_49F1_A579_3E6CECE305A8_.wvu.Cols" localSheetId="5">Пр6!#REF!</definedName>
    <definedName name="Z_B3311466_F005_49F1_A579_3E6CECE305A8_.wvu.FilterData" localSheetId="11">Пр12!$A$9:$F$192</definedName>
    <definedName name="Z_B3311466_F005_49F1_A579_3E6CECE305A8_.wvu.PrintArea" localSheetId="11">Пр12!$A$1:$F$192</definedName>
    <definedName name="Z_B3311466_F005_49F1_A579_3E6CECE305A8_.wvu.PrintArea" localSheetId="1">Пр2!$A$1:$I$66</definedName>
    <definedName name="Z_B3311466_F005_49F1_A579_3E6CECE305A8_.wvu.PrintArea" localSheetId="3">Пр4!$A$1:$B$120</definedName>
    <definedName name="Z_B3311466_F005_49F1_A579_3E6CECE305A8_.wvu.Rows" localSheetId="3">Пр4!$23:$23</definedName>
    <definedName name="Z_B3311466_F005_49F1_A579_3E6CECE305A8_.wvu.Rows" localSheetId="5">Пр6!#REF!,Пр6!#REF!</definedName>
    <definedName name="Z_E51CBA0A_8A1C_44BF_813B_86B1F7C678D3_.wvu.FilterData" localSheetId="11">Пр12!$A$9:$F$192</definedName>
    <definedName name="Z_E5662E33_D4B0_43EA_9B06_C8DA9DFDBEF6_.wvu.Cols" localSheetId="3">Пр4!#REF!</definedName>
    <definedName name="Z_E5662E33_D4B0_43EA_9B06_C8DA9DFDBEF6_.wvu.Cols" localSheetId="5">Пр6!#REF!</definedName>
    <definedName name="Z_E5662E33_D4B0_43EA_9B06_C8DA9DFDBEF6_.wvu.FilterData" localSheetId="11">Пр12!$A$9:$F$192</definedName>
    <definedName name="Z_E5662E33_D4B0_43EA_9B06_C8DA9DFDBEF6_.wvu.PrintArea" localSheetId="11">Пр12!$A$1:$F$192</definedName>
    <definedName name="Z_E5662E33_D4B0_43EA_9B06_C8DA9DFDBEF6_.wvu.PrintArea" localSheetId="1">Пр2!$A$1:$I$66</definedName>
    <definedName name="Z_E5662E33_D4B0_43EA_9B06_C8DA9DFDBEF6_.wvu.PrintArea" localSheetId="3">Пр4!$A$1:$B$120</definedName>
    <definedName name="Z_E5662E33_D4B0_43EA_9B06_C8DA9DFDBEF6_.wvu.PrintArea" localSheetId="5">Пр6!$A$1:$B$22</definedName>
    <definedName name="Z_E5662E33_D4B0_43EA_9B06_C8DA9DFDBEF6_.wvu.Rows" localSheetId="3">Пр4!$23:$23</definedName>
    <definedName name="Z_E5662E33_D4B0_43EA_9B06_C8DA9DFDBEF6_.wvu.Rows" localSheetId="5">Пр6!#REF!,Пр6!#REF!</definedName>
    <definedName name="Z_F3607253_7816_4CF7_9CFD_2ADFFAD916F8_.wvu.Cols" localSheetId="3">Пр4!#REF!</definedName>
    <definedName name="Z_F3607253_7816_4CF7_9CFD_2ADFFAD916F8_.wvu.Cols" localSheetId="5">Пр6!#REF!</definedName>
    <definedName name="Z_F3607253_7816_4CF7_9CFD_2ADFFAD916F8_.wvu.FilterData" localSheetId="11">Пр12!$A$9:$F$192</definedName>
    <definedName name="Z_F3607253_7816_4CF7_9CFD_2ADFFAD916F8_.wvu.PrintArea" localSheetId="11">Пр12!$A$1:$F$192</definedName>
    <definedName name="Z_F3607253_7816_4CF7_9CFD_2ADFFAD916F8_.wvu.PrintArea" localSheetId="1">Пр2!$A$1:$I$66</definedName>
    <definedName name="Z_F3607253_7816_4CF7_9CFD_2ADFFAD916F8_.wvu.PrintArea" localSheetId="3">Пр4!$A$1:$B$120</definedName>
    <definedName name="Z_F3607253_7816_4CF7_9CFD_2ADFFAD916F8_.wvu.Rows" localSheetId="3">Пр4!$23:$23</definedName>
    <definedName name="Z_F3607253_7816_4CF7_9CFD_2ADFFAD916F8_.wvu.Rows" localSheetId="5">Пр6!#REF!,Пр6!#REF!</definedName>
    <definedName name="_xlnm.Print_Titles" localSheetId="11">Пр12!$8:$9</definedName>
    <definedName name="_xlnm.Print_Titles" localSheetId="12">Пр13!$8:$9</definedName>
    <definedName name="_xlnm.Print_Area" localSheetId="22">КВР!$A$1820:$B$1930</definedName>
    <definedName name="_xlnm.Print_Area" localSheetId="18">КВСР!$A$1000:$B$1167</definedName>
    <definedName name="_xlnm.Print_Area" localSheetId="19">КФСР!$A$1:$B$1501</definedName>
    <definedName name="_xlnm.Print_Area" localSheetId="9">Пр10!$A$1:$C$21</definedName>
    <definedName name="_xlnm.Print_Area" localSheetId="10">Пр11!$A$1:$C$14</definedName>
    <definedName name="_xlnm.Print_Area" localSheetId="11">Пр12!$A$1:$I$193</definedName>
    <definedName name="_xlnm.Print_Area" localSheetId="12">Пр13!$A$1:$L$123</definedName>
    <definedName name="_xlnm.Print_Area" localSheetId="13">Пр14!$A$1:$F$40</definedName>
    <definedName name="_xlnm.Print_Area" localSheetId="14">Пр15!$B$1:$I$32</definedName>
    <definedName name="_xlnm.Print_Area" localSheetId="16">Пр16!$A$1:$E$90</definedName>
    <definedName name="_xlnm.Print_Area" localSheetId="15">Пр19!$A$1:$H$17</definedName>
    <definedName name="_xlnm.Print_Area" localSheetId="1">Пр2!$A$1:$L$66</definedName>
    <definedName name="_xlnm.Print_Area" localSheetId="2">Пр3!$A$1:$O$47</definedName>
    <definedName name="_xlnm.Print_Area" localSheetId="3">Пр4!$A$1:$E$122</definedName>
    <definedName name="_xlnm.Print_Area" localSheetId="4">Пр5!$A$1:$H$124</definedName>
    <definedName name="_xlnm.Print_Area" localSheetId="5">Пр6!$A$1:$E$23</definedName>
    <definedName name="_xlnm.Print_Area" localSheetId="6">Пр7!$A$1:$H$23</definedName>
    <definedName name="_xlnm.Print_Area" localSheetId="7">Пр8!$A$1:$E$45</definedName>
    <definedName name="_xlnm.Print_Area" localSheetId="8">Пр9!$A$1:$E$44</definedName>
  </definedNames>
  <calcPr calcId="145621"/>
</workbook>
</file>

<file path=xl/calcChain.xml><?xml version="1.0" encoding="utf-8"?>
<calcChain xmlns="http://schemas.openxmlformats.org/spreadsheetml/2006/main">
  <c r="J192" i="14" l="1"/>
  <c r="J187" i="14"/>
  <c r="J173" i="14"/>
  <c r="J155" i="14"/>
  <c r="J153" i="14"/>
  <c r="J151" i="14"/>
  <c r="J149" i="14"/>
  <c r="J139" i="14"/>
  <c r="J133" i="14"/>
  <c r="J124" i="14"/>
  <c r="J114" i="14"/>
  <c r="J110" i="14"/>
  <c r="J101" i="14"/>
  <c r="J74" i="14"/>
  <c r="J72" i="14"/>
  <c r="J70" i="14"/>
  <c r="J68" i="14"/>
  <c r="J66" i="14"/>
  <c r="J59" i="14"/>
  <c r="J53" i="14"/>
  <c r="J51" i="14"/>
  <c r="J47" i="14"/>
  <c r="J39" i="14"/>
  <c r="J31" i="14"/>
  <c r="J27" i="14"/>
  <c r="J14" i="14"/>
  <c r="I59" i="14" l="1"/>
  <c r="I62" i="14"/>
  <c r="I66" i="14"/>
  <c r="I68" i="14"/>
  <c r="I70" i="14"/>
  <c r="I72" i="14"/>
  <c r="I74" i="14"/>
  <c r="I76" i="14"/>
  <c r="I78" i="14"/>
  <c r="I81" i="14"/>
  <c r="I87" i="14"/>
  <c r="I91" i="14"/>
  <c r="I94" i="14"/>
  <c r="I98" i="14"/>
  <c r="I101" i="14"/>
  <c r="I107" i="14"/>
  <c r="I110" i="14"/>
  <c r="I112" i="14"/>
  <c r="I114" i="14"/>
  <c r="I116" i="14"/>
  <c r="I118" i="14"/>
  <c r="I124" i="14"/>
  <c r="I127" i="14"/>
  <c r="I129" i="14"/>
  <c r="I131" i="14"/>
  <c r="I133" i="14"/>
  <c r="I139" i="14"/>
  <c r="I142" i="14"/>
  <c r="I145" i="14"/>
  <c r="I149" i="14"/>
  <c r="I151" i="14"/>
  <c r="I153" i="14"/>
  <c r="I155" i="14"/>
  <c r="I158" i="14"/>
  <c r="I161" i="14"/>
  <c r="I51" i="14"/>
  <c r="I53" i="14"/>
  <c r="I47" i="14"/>
  <c r="G43" i="14"/>
  <c r="G37" i="14"/>
  <c r="J37" i="14" s="1"/>
  <c r="G35" i="14"/>
  <c r="J35" i="14" s="1"/>
  <c r="G33" i="14"/>
  <c r="I39" i="14"/>
  <c r="I37" i="14"/>
  <c r="I31" i="14"/>
  <c r="I27" i="14"/>
  <c r="I25" i="14"/>
  <c r="I23" i="14"/>
  <c r="I20" i="14"/>
  <c r="H183" i="14"/>
  <c r="J183" i="14" s="1"/>
  <c r="G183" i="14"/>
  <c r="H179" i="14"/>
  <c r="G179" i="14"/>
  <c r="I179" i="14" s="1"/>
  <c r="I187" i="14"/>
  <c r="I192" i="14"/>
  <c r="I173" i="14"/>
  <c r="H164" i="14"/>
  <c r="H163" i="14" s="1"/>
  <c r="H162" i="14" s="1"/>
  <c r="G169" i="14"/>
  <c r="G165" i="14"/>
  <c r="I165" i="14" s="1"/>
  <c r="G26" i="14"/>
  <c r="I14" i="14"/>
  <c r="J179" i="14" l="1"/>
  <c r="I183" i="14"/>
  <c r="I35" i="14"/>
  <c r="I169" i="14"/>
  <c r="J169" i="14"/>
  <c r="I43" i="14"/>
  <c r="J43" i="14"/>
  <c r="I33" i="14"/>
  <c r="J33" i="14"/>
  <c r="J51" i="1"/>
  <c r="K51" i="1"/>
  <c r="L52" i="1"/>
  <c r="L53" i="1"/>
  <c r="K46" i="1"/>
  <c r="K63" i="1"/>
  <c r="K62" i="1" s="1"/>
  <c r="K60" i="1"/>
  <c r="K59" i="1" s="1"/>
  <c r="L51" i="1" l="1"/>
  <c r="K33" i="1"/>
  <c r="K26" i="1"/>
  <c r="K22" i="1"/>
  <c r="D15" i="49" l="1"/>
  <c r="D17" i="49"/>
  <c r="D21" i="49"/>
  <c r="D22" i="49"/>
  <c r="D23" i="49"/>
  <c r="D24" i="49"/>
  <c r="D25" i="49"/>
  <c r="D26" i="49"/>
  <c r="D29" i="49"/>
  <c r="D30" i="49"/>
  <c r="D31" i="49"/>
  <c r="D33" i="49"/>
  <c r="D39" i="49"/>
  <c r="D40" i="49"/>
  <c r="D42" i="49"/>
  <c r="D43" i="49"/>
  <c r="D44" i="49"/>
  <c r="D45" i="49"/>
  <c r="D46" i="49"/>
  <c r="D49" i="49"/>
  <c r="D50" i="49"/>
  <c r="D51" i="49"/>
  <c r="D52" i="49"/>
  <c r="D56" i="49"/>
  <c r="D57" i="49"/>
  <c r="D59" i="49"/>
  <c r="D60" i="49"/>
  <c r="D62" i="49"/>
  <c r="D63" i="49"/>
  <c r="D64" i="49"/>
  <c r="D67" i="49"/>
  <c r="D68" i="49"/>
  <c r="D70" i="49"/>
  <c r="D72" i="49"/>
  <c r="D73" i="49"/>
  <c r="D74" i="49"/>
  <c r="D75" i="49"/>
  <c r="D76" i="49"/>
  <c r="D77" i="49"/>
  <c r="D80" i="49"/>
  <c r="D81" i="49"/>
  <c r="D82" i="49"/>
  <c r="D83" i="49"/>
  <c r="D84" i="49"/>
  <c r="K31" i="1" l="1"/>
  <c r="J33" i="1"/>
  <c r="J31" i="1"/>
  <c r="L51" i="15" l="1"/>
  <c r="I51" i="15"/>
  <c r="K50" i="15"/>
  <c r="J50" i="15"/>
  <c r="H50" i="15"/>
  <c r="G50" i="15"/>
  <c r="I50" i="15" s="1"/>
  <c r="A50" i="15"/>
  <c r="A51" i="15"/>
  <c r="L50" i="15" l="1"/>
  <c r="J58" i="15"/>
  <c r="G58" i="15"/>
  <c r="A144" i="14"/>
  <c r="B14" i="16" l="1"/>
  <c r="H26" i="14" l="1"/>
  <c r="I26" i="14" l="1"/>
  <c r="J26" i="14"/>
  <c r="A115" i="14"/>
  <c r="A116" i="14"/>
  <c r="A89" i="14"/>
  <c r="A90" i="14"/>
  <c r="A91" i="14"/>
  <c r="H90" i="14"/>
  <c r="H89" i="14" s="1"/>
  <c r="G90" i="14"/>
  <c r="G89" i="14" l="1"/>
  <c r="I89" i="14" s="1"/>
  <c r="I90" i="14"/>
  <c r="K55" i="1"/>
  <c r="K54" i="1" s="1"/>
  <c r="J55" i="1"/>
  <c r="J54" i="1" s="1"/>
  <c r="L56" i="1"/>
  <c r="L57" i="1"/>
  <c r="L58" i="1"/>
  <c r="J46" i="1"/>
  <c r="L45" i="1"/>
  <c r="L49" i="1"/>
  <c r="K43" i="1"/>
  <c r="K42" i="1" s="1"/>
  <c r="J43" i="1"/>
  <c r="G109" i="14"/>
  <c r="G13" i="14"/>
  <c r="G67" i="14"/>
  <c r="G58" i="14"/>
  <c r="G57" i="14" s="1"/>
  <c r="G117" i="14"/>
  <c r="G106" i="14"/>
  <c r="G141" i="14"/>
  <c r="G69" i="14"/>
  <c r="G71" i="14"/>
  <c r="G73" i="14"/>
  <c r="G28" i="14"/>
  <c r="G34" i="14"/>
  <c r="H34" i="14"/>
  <c r="G36" i="14"/>
  <c r="H36" i="14"/>
  <c r="D65" i="49" l="1"/>
  <c r="J36" i="14"/>
  <c r="D61" i="49"/>
  <c r="J34" i="14"/>
  <c r="G140" i="14"/>
  <c r="G105" i="14"/>
  <c r="I36" i="14"/>
  <c r="I34" i="14"/>
  <c r="G12" i="14"/>
  <c r="K41" i="1"/>
  <c r="L55" i="1"/>
  <c r="L54" i="1" s="1"/>
  <c r="L48" i="1"/>
  <c r="G115" i="14"/>
  <c r="G104" i="14" l="1"/>
  <c r="G11" i="14"/>
  <c r="A36" i="14"/>
  <c r="G103" i="14" l="1"/>
  <c r="B80" i="49"/>
  <c r="B81" i="49"/>
  <c r="B82" i="49"/>
  <c r="B83" i="49"/>
  <c r="B84" i="49"/>
  <c r="B85" i="49"/>
  <c r="B86" i="49"/>
  <c r="B87" i="49"/>
  <c r="B88" i="49"/>
  <c r="B89" i="49"/>
  <c r="B45" i="49"/>
  <c r="B46" i="49"/>
  <c r="B12" i="49"/>
  <c r="B11" i="49" l="1"/>
  <c r="H117" i="14" l="1"/>
  <c r="D54" i="49" l="1"/>
  <c r="I117" i="14"/>
  <c r="H115" i="14"/>
  <c r="A117" i="14"/>
  <c r="A118" i="14"/>
  <c r="A75" i="14"/>
  <c r="K58" i="15"/>
  <c r="L58" i="15" s="1"/>
  <c r="H58" i="15"/>
  <c r="I58" i="15" s="1"/>
  <c r="L59" i="15"/>
  <c r="I59" i="15"/>
  <c r="A58" i="15"/>
  <c r="A59" i="15"/>
  <c r="H186" i="14"/>
  <c r="H178" i="14"/>
  <c r="D53" i="49" l="1"/>
  <c r="I115" i="14"/>
  <c r="A60" i="14"/>
  <c r="A61" i="14"/>
  <c r="G65" i="14"/>
  <c r="A76" i="14"/>
  <c r="A77" i="14"/>
  <c r="A65" i="14"/>
  <c r="A66" i="14"/>
  <c r="G75" i="14"/>
  <c r="G77" i="14"/>
  <c r="A37" i="14"/>
  <c r="A34" i="14"/>
  <c r="A35" i="14"/>
  <c r="L47" i="1" l="1"/>
  <c r="L46" i="1" s="1"/>
  <c r="L44" i="1"/>
  <c r="L43" i="1" s="1"/>
  <c r="D13" i="16"/>
  <c r="B13" i="16"/>
  <c r="J42" i="1" l="1"/>
  <c r="J41" i="1" s="1"/>
  <c r="H75" i="14"/>
  <c r="H65" i="14"/>
  <c r="J65" i="14" s="1"/>
  <c r="H67" i="14"/>
  <c r="D11" i="49" l="1"/>
  <c r="I67" i="14"/>
  <c r="D88" i="49"/>
  <c r="I75" i="14"/>
  <c r="D10" i="49"/>
  <c r="I65" i="14"/>
  <c r="B15" i="57"/>
  <c r="L42" i="1"/>
  <c r="L41" i="1" s="1"/>
  <c r="K12" i="1"/>
  <c r="K36" i="1"/>
  <c r="H144" i="14"/>
  <c r="H143" i="14" s="1"/>
  <c r="G144" i="14"/>
  <c r="A143" i="14"/>
  <c r="A145" i="14"/>
  <c r="H141" i="14"/>
  <c r="A141" i="14"/>
  <c r="A142" i="14"/>
  <c r="A140" i="14"/>
  <c r="D86" i="49" l="1"/>
  <c r="I141" i="14"/>
  <c r="G143" i="14"/>
  <c r="I143" i="14" s="1"/>
  <c r="I144" i="14"/>
  <c r="H140" i="14"/>
  <c r="A67" i="14"/>
  <c r="A68" i="14"/>
  <c r="A78" i="14"/>
  <c r="H77" i="14"/>
  <c r="I77" i="14" s="1"/>
  <c r="E13" i="16" l="1"/>
  <c r="I140" i="14"/>
  <c r="D89" i="49"/>
  <c r="F13" i="16"/>
  <c r="O46" i="2"/>
  <c r="O45" i="2" s="1"/>
  <c r="M45" i="2"/>
  <c r="L46" i="2"/>
  <c r="L45" i="2" s="1"/>
  <c r="K45" i="2"/>
  <c r="N45" i="2"/>
  <c r="J45" i="2"/>
  <c r="E10" i="49" l="1"/>
  <c r="F10" i="49" s="1"/>
  <c r="F13" i="6"/>
  <c r="G13" i="6"/>
  <c r="D11" i="6"/>
  <c r="F11" i="6"/>
  <c r="G11" i="6"/>
  <c r="D13" i="6"/>
  <c r="D11" i="5"/>
  <c r="D13" i="5"/>
  <c r="G19" i="14"/>
  <c r="G22" i="14"/>
  <c r="G24" i="14"/>
  <c r="G30" i="14"/>
  <c r="G32" i="14"/>
  <c r="G38" i="14"/>
  <c r="G42" i="14"/>
  <c r="G46" i="14"/>
  <c r="G50" i="14"/>
  <c r="G52" i="14"/>
  <c r="G61" i="14"/>
  <c r="G80" i="14"/>
  <c r="G86" i="14"/>
  <c r="G93" i="14"/>
  <c r="G97" i="14"/>
  <c r="G100" i="14"/>
  <c r="G99" i="14" s="1"/>
  <c r="G111" i="14"/>
  <c r="G113" i="14"/>
  <c r="G123" i="14"/>
  <c r="G122" i="14" s="1"/>
  <c r="G121" i="14" s="1"/>
  <c r="G120" i="14" s="1"/>
  <c r="G126" i="14"/>
  <c r="G128" i="14"/>
  <c r="G130" i="14"/>
  <c r="G132" i="14"/>
  <c r="G150" i="14"/>
  <c r="G152" i="14"/>
  <c r="G154" i="14"/>
  <c r="G157" i="14"/>
  <c r="G160" i="14"/>
  <c r="G182" i="14"/>
  <c r="G92" i="14" l="1"/>
  <c r="G79" i="14"/>
  <c r="G45" i="14"/>
  <c r="G156" i="14"/>
  <c r="G41" i="14"/>
  <c r="G159" i="14"/>
  <c r="G96" i="14"/>
  <c r="G85" i="14"/>
  <c r="G181" i="14"/>
  <c r="G18" i="14"/>
  <c r="G108" i="14"/>
  <c r="G102" i="14" s="1"/>
  <c r="G60" i="14"/>
  <c r="G21" i="14"/>
  <c r="G10" i="6"/>
  <c r="D10" i="5"/>
  <c r="G125" i="14"/>
  <c r="G119" i="14" s="1"/>
  <c r="G49" i="14"/>
  <c r="G48" i="14" s="1"/>
  <c r="G56" i="14" l="1"/>
  <c r="G40" i="14"/>
  <c r="G44" i="14"/>
  <c r="G88" i="14"/>
  <c r="G95" i="14"/>
  <c r="G84" i="14"/>
  <c r="G180" i="14"/>
  <c r="G17" i="14"/>
  <c r="D14" i="16"/>
  <c r="I26" i="21"/>
  <c r="I27" i="21"/>
  <c r="H26" i="21"/>
  <c r="H27" i="21"/>
  <c r="L40" i="2"/>
  <c r="L39" i="2" s="1"/>
  <c r="L38" i="2" s="1"/>
  <c r="O40" i="2"/>
  <c r="O39" i="2" s="1"/>
  <c r="O38" i="2" s="1"/>
  <c r="K39" i="2"/>
  <c r="K38" i="2" s="1"/>
  <c r="M39" i="2"/>
  <c r="N39" i="2"/>
  <c r="N38" i="2" s="1"/>
  <c r="M38" i="2"/>
  <c r="L35" i="2"/>
  <c r="K33" i="2"/>
  <c r="M33" i="2"/>
  <c r="N33" i="2"/>
  <c r="O32" i="2"/>
  <c r="L32" i="2"/>
  <c r="O29" i="2"/>
  <c r="N30" i="2"/>
  <c r="L24" i="2"/>
  <c r="K22" i="2"/>
  <c r="L37" i="2"/>
  <c r="O37" i="2"/>
  <c r="B33" i="16"/>
  <c r="B34" i="16"/>
  <c r="B35" i="16"/>
  <c r="B36" i="16"/>
  <c r="B37" i="16"/>
  <c r="B32" i="16"/>
  <c r="G83" i="14" l="1"/>
  <c r="G16" i="14"/>
  <c r="A16" i="14"/>
  <c r="A20" i="14"/>
  <c r="H19" i="14"/>
  <c r="I19" i="14" s="1"/>
  <c r="A19" i="14"/>
  <c r="H18" i="14"/>
  <c r="I18" i="14" s="1"/>
  <c r="D37" i="16"/>
  <c r="A18" i="14"/>
  <c r="A17" i="14"/>
  <c r="A99" i="14"/>
  <c r="A95" i="14"/>
  <c r="A96" i="14"/>
  <c r="A92" i="14"/>
  <c r="A111" i="14"/>
  <c r="A112" i="14"/>
  <c r="H111" i="14"/>
  <c r="I111" i="14" s="1"/>
  <c r="G82" i="14" l="1"/>
  <c r="E37" i="16"/>
  <c r="G15" i="14"/>
  <c r="H17" i="14"/>
  <c r="I17" i="14" s="1"/>
  <c r="F37" i="16"/>
  <c r="B24" i="16"/>
  <c r="H16" i="14" l="1"/>
  <c r="I16" i="14" s="1"/>
  <c r="F122" i="4"/>
  <c r="G122" i="4"/>
  <c r="D122" i="4"/>
  <c r="H122" i="4" l="1"/>
  <c r="C122" i="4"/>
  <c r="N43" i="2"/>
  <c r="N42" i="2" s="1"/>
  <c r="N16" i="2"/>
  <c r="H65" i="15" l="1"/>
  <c r="H64" i="15" s="1"/>
  <c r="H63" i="15" s="1"/>
  <c r="J65" i="15"/>
  <c r="J64" i="15" s="1"/>
  <c r="J63" i="15" s="1"/>
  <c r="K65" i="15"/>
  <c r="K64" i="15" s="1"/>
  <c r="K63" i="15" s="1"/>
  <c r="G65" i="15"/>
  <c r="G64" i="15" s="1"/>
  <c r="G63" i="15" s="1"/>
  <c r="K119" i="15"/>
  <c r="K118" i="15" s="1"/>
  <c r="K117" i="15" s="1"/>
  <c r="K116" i="15" s="1"/>
  <c r="K114" i="15"/>
  <c r="K113" i="15" s="1"/>
  <c r="K112" i="15" s="1"/>
  <c r="K110" i="15"/>
  <c r="K109" i="15" s="1"/>
  <c r="K108" i="15" s="1"/>
  <c r="K107" i="15" s="1"/>
  <c r="K105" i="15"/>
  <c r="K104" i="15" s="1"/>
  <c r="K103" i="15" s="1"/>
  <c r="K101" i="15"/>
  <c r="K100" i="15" s="1"/>
  <c r="K99" i="15" s="1"/>
  <c r="K97" i="15"/>
  <c r="K96" i="15" s="1"/>
  <c r="K94" i="15"/>
  <c r="K93" i="15" s="1"/>
  <c r="K91" i="15"/>
  <c r="K89" i="15"/>
  <c r="K87" i="15"/>
  <c r="K85" i="15"/>
  <c r="K81" i="15"/>
  <c r="K80" i="15" s="1"/>
  <c r="K76" i="15"/>
  <c r="K75" i="15" s="1"/>
  <c r="K71" i="15"/>
  <c r="K69" i="15"/>
  <c r="K61" i="15"/>
  <c r="K60" i="15" s="1"/>
  <c r="K56" i="15"/>
  <c r="K54" i="15"/>
  <c r="K52" i="15"/>
  <c r="K46" i="15"/>
  <c r="K45" i="15" s="1"/>
  <c r="K44" i="15" s="1"/>
  <c r="K41" i="15"/>
  <c r="K39" i="15"/>
  <c r="K35" i="15"/>
  <c r="K34" i="15" s="1"/>
  <c r="K33" i="15" s="1"/>
  <c r="K31" i="15"/>
  <c r="K30" i="15" s="1"/>
  <c r="K29" i="15" s="1"/>
  <c r="K27" i="15"/>
  <c r="K25" i="15"/>
  <c r="K23" i="15"/>
  <c r="K21" i="15"/>
  <c r="K19" i="15"/>
  <c r="K17" i="15"/>
  <c r="K13" i="15"/>
  <c r="K12" i="15" s="1"/>
  <c r="K11" i="15" s="1"/>
  <c r="H119" i="15"/>
  <c r="H118" i="15" s="1"/>
  <c r="H117" i="15" s="1"/>
  <c r="H116" i="15" s="1"/>
  <c r="H114" i="15"/>
  <c r="H113" i="15" s="1"/>
  <c r="H112" i="15" s="1"/>
  <c r="H110" i="15"/>
  <c r="H109" i="15" s="1"/>
  <c r="H108" i="15" s="1"/>
  <c r="H107" i="15" s="1"/>
  <c r="H105" i="15"/>
  <c r="H104" i="15" s="1"/>
  <c r="H103" i="15" s="1"/>
  <c r="H101" i="15"/>
  <c r="H100" i="15" s="1"/>
  <c r="H99" i="15" s="1"/>
  <c r="H97" i="15"/>
  <c r="H96" i="15" s="1"/>
  <c r="H94" i="15"/>
  <c r="H93" i="15" s="1"/>
  <c r="H91" i="15"/>
  <c r="H89" i="15"/>
  <c r="H87" i="15"/>
  <c r="H85" i="15"/>
  <c r="H81" i="15"/>
  <c r="H80" i="15" s="1"/>
  <c r="H76" i="15"/>
  <c r="H75" i="15" s="1"/>
  <c r="H74" i="15" s="1"/>
  <c r="H73" i="15" s="1"/>
  <c r="H71" i="15"/>
  <c r="H69" i="15"/>
  <c r="H61" i="15"/>
  <c r="H60" i="15" s="1"/>
  <c r="H56" i="15"/>
  <c r="H54" i="15"/>
  <c r="H52" i="15"/>
  <c r="H46" i="15"/>
  <c r="H45" i="15" s="1"/>
  <c r="H44" i="15" s="1"/>
  <c r="H41" i="15"/>
  <c r="H39" i="15"/>
  <c r="H35" i="15"/>
  <c r="H34" i="15" s="1"/>
  <c r="H33" i="15" s="1"/>
  <c r="H31" i="15"/>
  <c r="H30" i="15" s="1"/>
  <c r="H29" i="15" s="1"/>
  <c r="H27" i="15"/>
  <c r="H25" i="15"/>
  <c r="H23" i="15"/>
  <c r="H21" i="15"/>
  <c r="H19" i="15"/>
  <c r="H17" i="15"/>
  <c r="H13" i="15"/>
  <c r="H12" i="15" s="1"/>
  <c r="H11" i="15" s="1"/>
  <c r="L120" i="15"/>
  <c r="L119" i="15" s="1"/>
  <c r="L118" i="15" s="1"/>
  <c r="L117" i="15" s="1"/>
  <c r="L115" i="15"/>
  <c r="L114" i="15" s="1"/>
  <c r="L113" i="15" s="1"/>
  <c r="L112" i="15" s="1"/>
  <c r="L111" i="15"/>
  <c r="L110" i="15" s="1"/>
  <c r="L109" i="15" s="1"/>
  <c r="L108" i="15" s="1"/>
  <c r="L107" i="15" s="1"/>
  <c r="L106" i="15"/>
  <c r="L105" i="15" s="1"/>
  <c r="L104" i="15" s="1"/>
  <c r="L103" i="15" s="1"/>
  <c r="L102" i="15"/>
  <c r="L101" i="15" s="1"/>
  <c r="L100" i="15" s="1"/>
  <c r="L99" i="15" s="1"/>
  <c r="L98" i="15"/>
  <c r="L97" i="15" s="1"/>
  <c r="L96" i="15" s="1"/>
  <c r="L95" i="15"/>
  <c r="L94" i="15" s="1"/>
  <c r="L93" i="15" s="1"/>
  <c r="L90" i="15"/>
  <c r="L89" i="15" s="1"/>
  <c r="L88" i="15"/>
  <c r="L87" i="15" s="1"/>
  <c r="L86" i="15"/>
  <c r="L85" i="15" s="1"/>
  <c r="L82" i="15"/>
  <c r="L81" i="15" s="1"/>
  <c r="L80" i="15" s="1"/>
  <c r="L77" i="15"/>
  <c r="L76" i="15" s="1"/>
  <c r="L75" i="15" s="1"/>
  <c r="L72" i="15"/>
  <c r="L71" i="15" s="1"/>
  <c r="L70" i="15"/>
  <c r="L69" i="15" s="1"/>
  <c r="L66" i="15"/>
  <c r="L65" i="15" s="1"/>
  <c r="L64" i="15" s="1"/>
  <c r="L63" i="15" s="1"/>
  <c r="L62" i="15"/>
  <c r="L57" i="15"/>
  <c r="L55" i="15"/>
  <c r="L53" i="15"/>
  <c r="L47" i="15"/>
  <c r="L46" i="15" s="1"/>
  <c r="L45" i="15" s="1"/>
  <c r="L44" i="15" s="1"/>
  <c r="L42" i="15"/>
  <c r="L41" i="15" s="1"/>
  <c r="L40" i="15"/>
  <c r="L39" i="15" s="1"/>
  <c r="L36" i="15"/>
  <c r="L35" i="15" s="1"/>
  <c r="L34" i="15" s="1"/>
  <c r="L33" i="15" s="1"/>
  <c r="L32" i="15"/>
  <c r="L31" i="15" s="1"/>
  <c r="L30" i="15" s="1"/>
  <c r="L29" i="15" s="1"/>
  <c r="L28" i="15"/>
  <c r="L27" i="15" s="1"/>
  <c r="L26" i="15"/>
  <c r="L25" i="15" s="1"/>
  <c r="L24" i="15"/>
  <c r="L23" i="15" s="1"/>
  <c r="L22" i="15"/>
  <c r="L21" i="15" s="1"/>
  <c r="L20" i="15"/>
  <c r="L19" i="15" s="1"/>
  <c r="L18" i="15"/>
  <c r="L17" i="15" s="1"/>
  <c r="L14" i="15"/>
  <c r="L13" i="15" s="1"/>
  <c r="L12" i="15" s="1"/>
  <c r="L11" i="15" s="1"/>
  <c r="I120" i="15"/>
  <c r="I119" i="15" s="1"/>
  <c r="I118" i="15" s="1"/>
  <c r="I117" i="15" s="1"/>
  <c r="I115" i="15"/>
  <c r="I114" i="15" s="1"/>
  <c r="I113" i="15" s="1"/>
  <c r="I112" i="15" s="1"/>
  <c r="I111" i="15"/>
  <c r="I110" i="15" s="1"/>
  <c r="I109" i="15" s="1"/>
  <c r="I108" i="15" s="1"/>
  <c r="I107" i="15" s="1"/>
  <c r="I106" i="15"/>
  <c r="I105" i="15" s="1"/>
  <c r="I104" i="15" s="1"/>
  <c r="I103" i="15" s="1"/>
  <c r="I102" i="15"/>
  <c r="I101" i="15" s="1"/>
  <c r="I100" i="15" s="1"/>
  <c r="I99" i="15" s="1"/>
  <c r="I98" i="15"/>
  <c r="I97" i="15" s="1"/>
  <c r="I96" i="15" s="1"/>
  <c r="I95" i="15"/>
  <c r="I94" i="15" s="1"/>
  <c r="I93" i="15" s="1"/>
  <c r="I90" i="15"/>
  <c r="I89" i="15" s="1"/>
  <c r="I88" i="15"/>
  <c r="I87" i="15" s="1"/>
  <c r="I86" i="15"/>
  <c r="I85" i="15" s="1"/>
  <c r="I82" i="15"/>
  <c r="I81" i="15" s="1"/>
  <c r="I80" i="15" s="1"/>
  <c r="I77" i="15"/>
  <c r="I76" i="15" s="1"/>
  <c r="I75" i="15" s="1"/>
  <c r="I74" i="15" s="1"/>
  <c r="I73" i="15" s="1"/>
  <c r="I72" i="15"/>
  <c r="I71" i="15" s="1"/>
  <c r="I70" i="15"/>
  <c r="I69" i="15" s="1"/>
  <c r="I66" i="15"/>
  <c r="I65" i="15" s="1"/>
  <c r="I64" i="15" s="1"/>
  <c r="I63" i="15" s="1"/>
  <c r="I62" i="15"/>
  <c r="I57" i="15"/>
  <c r="I55" i="15"/>
  <c r="I53" i="15"/>
  <c r="I47" i="15"/>
  <c r="I46" i="15" s="1"/>
  <c r="I45" i="15" s="1"/>
  <c r="I44" i="15" s="1"/>
  <c r="I42" i="15"/>
  <c r="I41" i="15" s="1"/>
  <c r="I40" i="15"/>
  <c r="I39" i="15" s="1"/>
  <c r="I36" i="15"/>
  <c r="I35" i="15" s="1"/>
  <c r="I34" i="15" s="1"/>
  <c r="I33" i="15" s="1"/>
  <c r="I32" i="15"/>
  <c r="I31" i="15" s="1"/>
  <c r="I30" i="15" s="1"/>
  <c r="I29" i="15" s="1"/>
  <c r="I28" i="15"/>
  <c r="I27" i="15" s="1"/>
  <c r="I26" i="15"/>
  <c r="I25" i="15" s="1"/>
  <c r="I24" i="15"/>
  <c r="I23" i="15" s="1"/>
  <c r="I22" i="15"/>
  <c r="I21" i="15" s="1"/>
  <c r="I20" i="15"/>
  <c r="I19" i="15" s="1"/>
  <c r="I18" i="15"/>
  <c r="I17" i="15" s="1"/>
  <c r="I14" i="15"/>
  <c r="I13" i="15" s="1"/>
  <c r="I12" i="15" s="1"/>
  <c r="I11" i="15" s="1"/>
  <c r="L122" i="15"/>
  <c r="D20" i="57" s="1"/>
  <c r="I122" i="15"/>
  <c r="C20" i="57" s="1"/>
  <c r="K49" i="15" l="1"/>
  <c r="H49" i="15"/>
  <c r="H48" i="15" s="1"/>
  <c r="H43" i="15" s="1"/>
  <c r="H84" i="15"/>
  <c r="H83" i="15" s="1"/>
  <c r="K74" i="15"/>
  <c r="H29" i="21"/>
  <c r="L74" i="15"/>
  <c r="I29" i="21"/>
  <c r="I116" i="15"/>
  <c r="E12" i="4"/>
  <c r="L116" i="15"/>
  <c r="H12" i="4"/>
  <c r="L79" i="15"/>
  <c r="H79" i="15"/>
  <c r="I38" i="15"/>
  <c r="I37" i="15" s="1"/>
  <c r="H68" i="15"/>
  <c r="H67" i="15" s="1"/>
  <c r="K16" i="15"/>
  <c r="K15" i="15" s="1"/>
  <c r="K68" i="15"/>
  <c r="K67" i="15" s="1"/>
  <c r="H38" i="15"/>
  <c r="H37" i="15" s="1"/>
  <c r="K79" i="15"/>
  <c r="K84" i="15"/>
  <c r="K83" i="15" s="1"/>
  <c r="H16" i="15"/>
  <c r="H15" i="15" s="1"/>
  <c r="K38" i="15"/>
  <c r="K37" i="15" s="1"/>
  <c r="K48" i="15"/>
  <c r="K43" i="15" s="1"/>
  <c r="I16" i="15"/>
  <c r="I15" i="15" s="1"/>
  <c r="I68" i="15"/>
  <c r="I67" i="15" s="1"/>
  <c r="I79" i="15"/>
  <c r="L16" i="15"/>
  <c r="L15" i="15" s="1"/>
  <c r="L38" i="15"/>
  <c r="L37" i="15" s="1"/>
  <c r="L68" i="15"/>
  <c r="L67" i="15" s="1"/>
  <c r="H191" i="14"/>
  <c r="H185" i="14"/>
  <c r="H184" i="14" s="1"/>
  <c r="H182" i="14"/>
  <c r="J182" i="14" s="1"/>
  <c r="H177" i="14"/>
  <c r="H172" i="14"/>
  <c r="H168" i="14"/>
  <c r="H138" i="14"/>
  <c r="H132" i="14"/>
  <c r="J132" i="14" s="1"/>
  <c r="H130" i="14"/>
  <c r="H128" i="14"/>
  <c r="H126" i="14"/>
  <c r="H123" i="14"/>
  <c r="J123" i="14" s="1"/>
  <c r="H113" i="14"/>
  <c r="J113" i="14" s="1"/>
  <c r="H109" i="14"/>
  <c r="H106" i="14"/>
  <c r="H100" i="14"/>
  <c r="H97" i="14"/>
  <c r="H93" i="14"/>
  <c r="H86" i="14"/>
  <c r="H80" i="14"/>
  <c r="I80" i="14" s="1"/>
  <c r="H73" i="14"/>
  <c r="J73" i="14" s="1"/>
  <c r="H71" i="14"/>
  <c r="J71" i="14" s="1"/>
  <c r="H69" i="14"/>
  <c r="J69" i="14" s="1"/>
  <c r="H61" i="14"/>
  <c r="I61" i="14" s="1"/>
  <c r="H58" i="14"/>
  <c r="H52" i="14"/>
  <c r="J52" i="14" s="1"/>
  <c r="H50" i="14"/>
  <c r="J50" i="14" s="1"/>
  <c r="H46" i="14"/>
  <c r="H42" i="14"/>
  <c r="H38" i="14"/>
  <c r="J38" i="14" s="1"/>
  <c r="H32" i="14"/>
  <c r="J32" i="14" s="1"/>
  <c r="H30" i="14"/>
  <c r="J30" i="14" s="1"/>
  <c r="H28" i="14"/>
  <c r="H24" i="14"/>
  <c r="I24" i="14" s="1"/>
  <c r="H22" i="14"/>
  <c r="I22" i="14" s="1"/>
  <c r="H13" i="14"/>
  <c r="E44" i="3"/>
  <c r="E43" i="3"/>
  <c r="E42" i="3"/>
  <c r="E41" i="3"/>
  <c r="I29" i="14"/>
  <c r="I28" i="14" s="1"/>
  <c r="E14" i="3"/>
  <c r="E13" i="3"/>
  <c r="L40" i="1"/>
  <c r="K39" i="1"/>
  <c r="K38" i="1" s="1"/>
  <c r="L39" i="1"/>
  <c r="L37" i="1"/>
  <c r="L32" i="1"/>
  <c r="K16" i="1"/>
  <c r="H137" i="14" l="1"/>
  <c r="I109" i="14"/>
  <c r="J109" i="14"/>
  <c r="H167" i="14"/>
  <c r="H166" i="14" s="1"/>
  <c r="I42" i="14"/>
  <c r="J42" i="14"/>
  <c r="I58" i="14"/>
  <c r="J58" i="14"/>
  <c r="H190" i="14"/>
  <c r="H189" i="14" s="1"/>
  <c r="I13" i="14"/>
  <c r="J13" i="14"/>
  <c r="I46" i="14"/>
  <c r="J46" i="14"/>
  <c r="I100" i="14"/>
  <c r="J100" i="14"/>
  <c r="H176" i="14"/>
  <c r="H85" i="14"/>
  <c r="I86" i="14"/>
  <c r="H96" i="14"/>
  <c r="I96" i="14" s="1"/>
  <c r="I97" i="14"/>
  <c r="H105" i="14"/>
  <c r="I106" i="14"/>
  <c r="D16" i="49"/>
  <c r="I126" i="14"/>
  <c r="D69" i="49"/>
  <c r="I130" i="14"/>
  <c r="H92" i="14"/>
  <c r="I93" i="14"/>
  <c r="D18" i="49"/>
  <c r="I128" i="14"/>
  <c r="D71" i="49"/>
  <c r="I132" i="14"/>
  <c r="H122" i="14"/>
  <c r="J122" i="14" s="1"/>
  <c r="I123" i="14"/>
  <c r="D47" i="49"/>
  <c r="I113" i="14"/>
  <c r="D79" i="49"/>
  <c r="I73" i="14"/>
  <c r="D20" i="49"/>
  <c r="I71" i="14"/>
  <c r="D19" i="49"/>
  <c r="I69" i="14"/>
  <c r="D27" i="49"/>
  <c r="I50" i="14"/>
  <c r="D28" i="49"/>
  <c r="I52" i="14"/>
  <c r="D78" i="49"/>
  <c r="I38" i="14"/>
  <c r="D14" i="49"/>
  <c r="I32" i="14"/>
  <c r="D13" i="49"/>
  <c r="I30" i="14"/>
  <c r="H181" i="14"/>
  <c r="J181" i="14" s="1"/>
  <c r="I182" i="14"/>
  <c r="H188" i="14"/>
  <c r="D12" i="3"/>
  <c r="H12" i="14"/>
  <c r="D48" i="49"/>
  <c r="H45" i="14"/>
  <c r="D58" i="49"/>
  <c r="H79" i="14"/>
  <c r="I79" i="14" s="1"/>
  <c r="H99" i="14"/>
  <c r="I99" i="14" s="1"/>
  <c r="D38" i="49"/>
  <c r="H171" i="14"/>
  <c r="H170" i="14" s="1"/>
  <c r="D85" i="49"/>
  <c r="H60" i="14"/>
  <c r="I60" i="14" s="1"/>
  <c r="D87" i="49"/>
  <c r="H41" i="14"/>
  <c r="D66" i="49"/>
  <c r="H57" i="14"/>
  <c r="D55" i="49"/>
  <c r="D32" i="49"/>
  <c r="H108" i="14"/>
  <c r="I108" i="14" s="1"/>
  <c r="H56" i="14"/>
  <c r="E34" i="16"/>
  <c r="F14" i="16"/>
  <c r="H78" i="15"/>
  <c r="H10" i="15" s="1"/>
  <c r="H121" i="15" s="1"/>
  <c r="H21" i="14"/>
  <c r="H64" i="14"/>
  <c r="H63" i="14" s="1"/>
  <c r="E33" i="16"/>
  <c r="H95" i="14"/>
  <c r="E36" i="16"/>
  <c r="L73" i="15"/>
  <c r="I28" i="21"/>
  <c r="K73" i="15"/>
  <c r="H28" i="21"/>
  <c r="K78" i="15"/>
  <c r="H49" i="14"/>
  <c r="H125" i="14"/>
  <c r="I125" i="14" s="1"/>
  <c r="E31" i="16"/>
  <c r="B15" i="16"/>
  <c r="C13" i="6"/>
  <c r="C13" i="5"/>
  <c r="I56" i="14" l="1"/>
  <c r="J56" i="14"/>
  <c r="I57" i="14"/>
  <c r="J57" i="14"/>
  <c r="B19" i="57"/>
  <c r="H136" i="14"/>
  <c r="H40" i="14"/>
  <c r="J40" i="14" s="1"/>
  <c r="I41" i="14"/>
  <c r="E35" i="16"/>
  <c r="I95" i="14"/>
  <c r="E14" i="16"/>
  <c r="H44" i="14"/>
  <c r="J44" i="14" s="1"/>
  <c r="I45" i="14"/>
  <c r="H88" i="14"/>
  <c r="I92" i="14"/>
  <c r="H104" i="14"/>
  <c r="I105" i="14"/>
  <c r="H84" i="14"/>
  <c r="I84" i="14" s="1"/>
  <c r="I85" i="14"/>
  <c r="H121" i="14"/>
  <c r="J121" i="14" s="1"/>
  <c r="I122" i="14"/>
  <c r="H119" i="14"/>
  <c r="H102" i="14"/>
  <c r="H48" i="14"/>
  <c r="I49" i="14"/>
  <c r="H15" i="14"/>
  <c r="I21" i="14"/>
  <c r="H180" i="14"/>
  <c r="J180" i="14" s="1"/>
  <c r="I181" i="14"/>
  <c r="H11" i="14"/>
  <c r="I12" i="14"/>
  <c r="K10" i="15"/>
  <c r="K121" i="15" s="1"/>
  <c r="K123" i="15" s="1"/>
  <c r="H55" i="14"/>
  <c r="H54" i="14"/>
  <c r="J21" i="15"/>
  <c r="G21" i="15"/>
  <c r="A21" i="15"/>
  <c r="A22" i="15"/>
  <c r="A28" i="14"/>
  <c r="A29" i="14"/>
  <c r="I15" i="14" l="1"/>
  <c r="J15" i="14"/>
  <c r="H83" i="14"/>
  <c r="H82" i="14" s="1"/>
  <c r="I48" i="14"/>
  <c r="J48" i="14"/>
  <c r="I102" i="14"/>
  <c r="J102" i="14"/>
  <c r="I11" i="14"/>
  <c r="J11" i="14"/>
  <c r="I119" i="14"/>
  <c r="J119" i="14"/>
  <c r="I44" i="14"/>
  <c r="D45" i="3"/>
  <c r="I104" i="14"/>
  <c r="H103" i="14"/>
  <c r="I103" i="14" s="1"/>
  <c r="I88" i="14"/>
  <c r="E32" i="16"/>
  <c r="D40" i="3"/>
  <c r="I40" i="14"/>
  <c r="I121" i="14"/>
  <c r="H120" i="14"/>
  <c r="E30" i="16"/>
  <c r="I180" i="14"/>
  <c r="H175" i="14"/>
  <c r="H174" i="14"/>
  <c r="B28" i="16"/>
  <c r="I82" i="14" l="1"/>
  <c r="J82" i="14"/>
  <c r="I120" i="14"/>
  <c r="J120" i="14"/>
  <c r="I83" i="14"/>
  <c r="E124" i="4"/>
  <c r="F124" i="4"/>
  <c r="D15" i="10"/>
  <c r="B15" i="10"/>
  <c r="B16" i="7"/>
  <c r="D18" i="6" l="1"/>
  <c r="E18" i="6"/>
  <c r="F18" i="6"/>
  <c r="C18" i="6"/>
  <c r="C16" i="6"/>
  <c r="C11" i="6"/>
  <c r="C10" i="6" s="1"/>
  <c r="C11" i="5"/>
  <c r="C18" i="5"/>
  <c r="C16" i="5"/>
  <c r="B20" i="21"/>
  <c r="D12" i="4"/>
  <c r="B10" i="16"/>
  <c r="A19" i="15"/>
  <c r="A20" i="15"/>
  <c r="J19" i="15"/>
  <c r="G19" i="15"/>
  <c r="A22" i="14"/>
  <c r="A23" i="14"/>
  <c r="A175" i="14"/>
  <c r="A120" i="14"/>
  <c r="A103" i="14"/>
  <c r="B15" i="7" l="1"/>
  <c r="C10" i="5"/>
  <c r="C15" i="6"/>
  <c r="C15" i="5"/>
  <c r="A135" i="14" l="1"/>
  <c r="A83" i="14"/>
  <c r="A55" i="14"/>
  <c r="A25" i="14"/>
  <c r="A26" i="14"/>
  <c r="A27" i="14"/>
  <c r="J92" i="15"/>
  <c r="L92" i="15" s="1"/>
  <c r="L91" i="15" s="1"/>
  <c r="L84" i="15" s="1"/>
  <c r="L83" i="15" s="1"/>
  <c r="L78" i="15" s="1"/>
  <c r="G92" i="15"/>
  <c r="I92" i="15" s="1"/>
  <c r="I91" i="15" s="1"/>
  <c r="I84" i="15" s="1"/>
  <c r="I83" i="15" s="1"/>
  <c r="I78" i="15" s="1"/>
  <c r="J35" i="15" l="1"/>
  <c r="J34" i="15" s="1"/>
  <c r="J33" i="15" s="1"/>
  <c r="G35" i="15"/>
  <c r="G34" i="15" s="1"/>
  <c r="G33" i="15" s="1"/>
  <c r="J31" i="15"/>
  <c r="J30" i="15" s="1"/>
  <c r="J29" i="15" s="1"/>
  <c r="G31" i="15"/>
  <c r="G30" i="15" s="1"/>
  <c r="G29" i="15" s="1"/>
  <c r="J17" i="15"/>
  <c r="J23" i="15"/>
  <c r="J25" i="15"/>
  <c r="J27" i="15"/>
  <c r="G27" i="15"/>
  <c r="G25" i="15"/>
  <c r="G23" i="15"/>
  <c r="G17" i="15"/>
  <c r="J13" i="15"/>
  <c r="J12" i="15" s="1"/>
  <c r="J11" i="15" s="1"/>
  <c r="G13" i="15"/>
  <c r="G12" i="15" s="1"/>
  <c r="G11" i="15" s="1"/>
  <c r="J119" i="15"/>
  <c r="J118" i="15" s="1"/>
  <c r="J117" i="15" s="1"/>
  <c r="G119" i="15"/>
  <c r="G118" i="15" s="1"/>
  <c r="G117" i="15" s="1"/>
  <c r="G116" i="15" s="1"/>
  <c r="C19" i="57" s="1"/>
  <c r="J114" i="15"/>
  <c r="J113" i="15" s="1"/>
  <c r="J112" i="15" s="1"/>
  <c r="G114" i="15"/>
  <c r="G113" i="15" s="1"/>
  <c r="G112" i="15" s="1"/>
  <c r="J110" i="15"/>
  <c r="J109" i="15" s="1"/>
  <c r="J108" i="15" s="1"/>
  <c r="J107" i="15" s="1"/>
  <c r="G110" i="15"/>
  <c r="G109" i="15" s="1"/>
  <c r="G108" i="15" s="1"/>
  <c r="G107" i="15" s="1"/>
  <c r="J105" i="15"/>
  <c r="J104" i="15" s="1"/>
  <c r="J103" i="15" s="1"/>
  <c r="G105" i="15"/>
  <c r="G104" i="15" s="1"/>
  <c r="G103" i="15" s="1"/>
  <c r="J101" i="15"/>
  <c r="J100" i="15" s="1"/>
  <c r="J99" i="15" s="1"/>
  <c r="G101" i="15"/>
  <c r="G100" i="15" s="1"/>
  <c r="G99" i="15" s="1"/>
  <c r="J97" i="15"/>
  <c r="J96" i="15" s="1"/>
  <c r="G97" i="15"/>
  <c r="G96" i="15" s="1"/>
  <c r="J94" i="15"/>
  <c r="J93" i="15" s="1"/>
  <c r="G94" i="15"/>
  <c r="G93" i="15" s="1"/>
  <c r="J91" i="15"/>
  <c r="J89" i="15"/>
  <c r="G91" i="15"/>
  <c r="G89" i="15"/>
  <c r="J87" i="15"/>
  <c r="J85" i="15"/>
  <c r="G85" i="15"/>
  <c r="G87" i="15"/>
  <c r="J81" i="15"/>
  <c r="J80" i="15" l="1"/>
  <c r="J79" i="15" s="1"/>
  <c r="G16" i="15"/>
  <c r="J16" i="15"/>
  <c r="J15" i="15" s="1"/>
  <c r="J116" i="15"/>
  <c r="D19" i="57" s="1"/>
  <c r="F12" i="4"/>
  <c r="G15" i="15"/>
  <c r="J84" i="15"/>
  <c r="J83" i="15" s="1"/>
  <c r="G84" i="15"/>
  <c r="G83" i="15" s="1"/>
  <c r="D13" i="21" s="1"/>
  <c r="G81" i="15"/>
  <c r="J76" i="15"/>
  <c r="J75" i="15" s="1"/>
  <c r="J74" i="15" s="1"/>
  <c r="J73" i="15" s="1"/>
  <c r="G76" i="15"/>
  <c r="G75" i="15" s="1"/>
  <c r="G74" i="15" s="1"/>
  <c r="G73" i="15" s="1"/>
  <c r="J71" i="15"/>
  <c r="G71" i="15"/>
  <c r="J61" i="15"/>
  <c r="G61" i="15"/>
  <c r="J56" i="15"/>
  <c r="L56" i="15" s="1"/>
  <c r="G56" i="15"/>
  <c r="I56" i="15" s="1"/>
  <c r="J54" i="15"/>
  <c r="L54" i="15" s="1"/>
  <c r="G54" i="15"/>
  <c r="I54" i="15" s="1"/>
  <c r="J52" i="15"/>
  <c r="J49" i="15" s="1"/>
  <c r="G52" i="15"/>
  <c r="I52" i="15" s="1"/>
  <c r="I49" i="15" s="1"/>
  <c r="J46" i="15"/>
  <c r="J45" i="15" s="1"/>
  <c r="J44" i="15" s="1"/>
  <c r="G46" i="15"/>
  <c r="G45" i="15" s="1"/>
  <c r="G44" i="15" s="1"/>
  <c r="J41" i="15"/>
  <c r="J39" i="15"/>
  <c r="G41" i="15"/>
  <c r="G39" i="15"/>
  <c r="J69" i="15"/>
  <c r="J68" i="15" s="1"/>
  <c r="J67" i="15" s="1"/>
  <c r="G69" i="15"/>
  <c r="G68" i="15" s="1"/>
  <c r="G67" i="15" s="1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7" i="15"/>
  <c r="A56" i="15"/>
  <c r="A55" i="15"/>
  <c r="A54" i="15"/>
  <c r="A53" i="15"/>
  <c r="A52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18" i="15"/>
  <c r="A17" i="15"/>
  <c r="A16" i="15"/>
  <c r="A15" i="15"/>
  <c r="A14" i="15"/>
  <c r="A13" i="15"/>
  <c r="A12" i="15"/>
  <c r="A11" i="15"/>
  <c r="A10" i="15"/>
  <c r="A97" i="14"/>
  <c r="A98" i="14"/>
  <c r="G60" i="15" l="1"/>
  <c r="I60" i="15" s="1"/>
  <c r="I48" i="15" s="1"/>
  <c r="I43" i="15" s="1"/>
  <c r="I61" i="15"/>
  <c r="L52" i="15"/>
  <c r="L49" i="15" s="1"/>
  <c r="J60" i="15"/>
  <c r="L60" i="15" s="1"/>
  <c r="L61" i="15"/>
  <c r="J78" i="15"/>
  <c r="G80" i="15"/>
  <c r="G79" i="15" s="1"/>
  <c r="G78" i="15" s="1"/>
  <c r="D35" i="16"/>
  <c r="D36" i="16"/>
  <c r="F35" i="16"/>
  <c r="F36" i="16"/>
  <c r="G49" i="15"/>
  <c r="G38" i="15"/>
  <c r="G37" i="15" s="1"/>
  <c r="J38" i="15"/>
  <c r="J37" i="15" s="1"/>
  <c r="A126" i="14"/>
  <c r="A127" i="14"/>
  <c r="E16" i="49"/>
  <c r="F16" i="49" s="1"/>
  <c r="F34" i="16" l="1"/>
  <c r="G48" i="15"/>
  <c r="J48" i="15"/>
  <c r="J43" i="15" s="1"/>
  <c r="F32" i="16"/>
  <c r="F33" i="16"/>
  <c r="H123" i="15"/>
  <c r="G43" i="15"/>
  <c r="G10" i="15" s="1"/>
  <c r="D34" i="16"/>
  <c r="A93" i="14"/>
  <c r="A94" i="14"/>
  <c r="J10" i="15" l="1"/>
  <c r="J121" i="15" s="1"/>
  <c r="J123" i="15" s="1"/>
  <c r="L48" i="15"/>
  <c r="E55" i="4"/>
  <c r="I10" i="15"/>
  <c r="D33" i="16"/>
  <c r="D32" i="16"/>
  <c r="G121" i="15"/>
  <c r="G123" i="15" s="1"/>
  <c r="M43" i="2"/>
  <c r="J43" i="2"/>
  <c r="K43" i="2"/>
  <c r="K42" i="2" s="1"/>
  <c r="J39" i="2"/>
  <c r="J38" i="2" s="1"/>
  <c r="K36" i="2"/>
  <c r="L36" i="2"/>
  <c r="M36" i="2"/>
  <c r="J36" i="2"/>
  <c r="J33" i="2"/>
  <c r="K31" i="2"/>
  <c r="K30" i="2" s="1"/>
  <c r="L31" i="2"/>
  <c r="M31" i="2"/>
  <c r="M30" i="2" s="1"/>
  <c r="J31" i="2"/>
  <c r="K28" i="2"/>
  <c r="M28" i="2"/>
  <c r="O28" i="2" s="1"/>
  <c r="J28" i="2"/>
  <c r="L29" i="2"/>
  <c r="L28" i="2" s="1"/>
  <c r="M22" i="2"/>
  <c r="M25" i="2"/>
  <c r="K25" i="2"/>
  <c r="J25" i="2"/>
  <c r="J22" i="2"/>
  <c r="O24" i="2"/>
  <c r="M12" i="2"/>
  <c r="J12" i="2"/>
  <c r="M14" i="2"/>
  <c r="J14" i="2"/>
  <c r="M16" i="2"/>
  <c r="K16" i="2"/>
  <c r="J16" i="2"/>
  <c r="M18" i="2"/>
  <c r="J18" i="2"/>
  <c r="L43" i="15" l="1"/>
  <c r="L10" i="15" s="1"/>
  <c r="C18" i="57"/>
  <c r="I121" i="15"/>
  <c r="I123" i="15" s="1"/>
  <c r="M42" i="2"/>
  <c r="M41" i="2" s="1"/>
  <c r="J42" i="2"/>
  <c r="J41" i="2" s="1"/>
  <c r="J21" i="2"/>
  <c r="J30" i="2"/>
  <c r="M21" i="2"/>
  <c r="A13" i="49"/>
  <c r="A14" i="49" s="1"/>
  <c r="A15" i="49" s="1"/>
  <c r="A16" i="49" s="1"/>
  <c r="B10" i="49"/>
  <c r="E60" i="49"/>
  <c r="F60" i="49" s="1"/>
  <c r="E62" i="49"/>
  <c r="F62" i="49" s="1"/>
  <c r="E63" i="49"/>
  <c r="F63" i="49" s="1"/>
  <c r="E64" i="49"/>
  <c r="F64" i="49" s="1"/>
  <c r="E61" i="49"/>
  <c r="F61" i="49" s="1"/>
  <c r="D18" i="57" l="1"/>
  <c r="L121" i="15"/>
  <c r="L123" i="15" s="1"/>
  <c r="E59" i="49"/>
  <c r="F59" i="49" s="1"/>
  <c r="F30" i="16"/>
  <c r="E45" i="3"/>
  <c r="E40" i="3"/>
  <c r="F31" i="16"/>
  <c r="J11" i="2"/>
  <c r="J47" i="2" s="1"/>
  <c r="M11" i="2"/>
  <c r="M47" i="2" s="1"/>
  <c r="A128" i="14"/>
  <c r="A129" i="14"/>
  <c r="A162" i="14" l="1"/>
  <c r="A163" i="14"/>
  <c r="A164" i="14"/>
  <c r="A165" i="14"/>
  <c r="G164" i="14"/>
  <c r="I164" i="14" s="1"/>
  <c r="G163" i="14" l="1"/>
  <c r="I163" i="14" s="1"/>
  <c r="A38" i="14"/>
  <c r="A39" i="14"/>
  <c r="A44" i="14"/>
  <c r="A45" i="14"/>
  <c r="A46" i="14"/>
  <c r="A47" i="14"/>
  <c r="A40" i="14"/>
  <c r="A41" i="14"/>
  <c r="A42" i="14"/>
  <c r="A43" i="14"/>
  <c r="G178" i="14"/>
  <c r="J178" i="14" s="1"/>
  <c r="G186" i="14"/>
  <c r="A184" i="14"/>
  <c r="A185" i="14"/>
  <c r="A186" i="14"/>
  <c r="A187" i="14"/>
  <c r="G191" i="14"/>
  <c r="J191" i="14" s="1"/>
  <c r="J12" i="1"/>
  <c r="J39" i="1"/>
  <c r="J38" i="1" s="1"/>
  <c r="L38" i="1" s="1"/>
  <c r="J36" i="1"/>
  <c r="I186" i="14" l="1"/>
  <c r="J186" i="14"/>
  <c r="G190" i="14"/>
  <c r="I191" i="14"/>
  <c r="G177" i="14"/>
  <c r="J177" i="14" s="1"/>
  <c r="I178" i="14"/>
  <c r="G185" i="14"/>
  <c r="I185" i="14" s="1"/>
  <c r="G162" i="14"/>
  <c r="I162" i="14" s="1"/>
  <c r="J18" i="1"/>
  <c r="J16" i="1"/>
  <c r="G176" i="14" l="1"/>
  <c r="I177" i="14"/>
  <c r="G189" i="14"/>
  <c r="J189" i="14" s="1"/>
  <c r="I190" i="14"/>
  <c r="G184" i="14"/>
  <c r="A180" i="14"/>
  <c r="A181" i="14"/>
  <c r="A182" i="14"/>
  <c r="A183" i="14"/>
  <c r="A179" i="14"/>
  <c r="A188" i="14"/>
  <c r="A19" i="57" s="1"/>
  <c r="A189" i="14"/>
  <c r="A190" i="14"/>
  <c r="A191" i="14"/>
  <c r="A192" i="14"/>
  <c r="A176" i="14"/>
  <c r="A177" i="14"/>
  <c r="A178" i="14"/>
  <c r="G172" i="14"/>
  <c r="J172" i="14" s="1"/>
  <c r="A170" i="14"/>
  <c r="A171" i="14"/>
  <c r="A172" i="14"/>
  <c r="A173" i="14"/>
  <c r="A174" i="14"/>
  <c r="A11" i="14"/>
  <c r="A12" i="14"/>
  <c r="A13" i="14"/>
  <c r="A14" i="14"/>
  <c r="A15" i="14"/>
  <c r="A21" i="14"/>
  <c r="A24" i="14"/>
  <c r="A30" i="14"/>
  <c r="A31" i="14"/>
  <c r="A32" i="14"/>
  <c r="A33" i="14"/>
  <c r="G168" i="14"/>
  <c r="J168" i="14" s="1"/>
  <c r="A167" i="14"/>
  <c r="A168" i="14"/>
  <c r="A169" i="14"/>
  <c r="A166" i="14"/>
  <c r="A136" i="14"/>
  <c r="A134" i="14"/>
  <c r="G28" i="21"/>
  <c r="E28" i="21"/>
  <c r="D28" i="21"/>
  <c r="B28" i="21"/>
  <c r="B29" i="21"/>
  <c r="B30" i="16"/>
  <c r="B31" i="16"/>
  <c r="A121" i="14"/>
  <c r="A122" i="14"/>
  <c r="A123" i="14"/>
  <c r="A124" i="14"/>
  <c r="I184" i="14" l="1"/>
  <c r="J184" i="14"/>
  <c r="I176" i="14"/>
  <c r="J176" i="14"/>
  <c r="G167" i="14"/>
  <c r="I168" i="14"/>
  <c r="G171" i="14"/>
  <c r="I172" i="14"/>
  <c r="G188" i="14"/>
  <c r="J188" i="14" s="1"/>
  <c r="I189" i="14"/>
  <c r="I188" i="14" s="1"/>
  <c r="G175" i="14"/>
  <c r="G174" i="14"/>
  <c r="D31" i="16"/>
  <c r="E18" i="49"/>
  <c r="F18" i="49" s="1"/>
  <c r="E21" i="49"/>
  <c r="F21" i="49" s="1"/>
  <c r="E22" i="49"/>
  <c r="F22" i="49" s="1"/>
  <c r="E23" i="49"/>
  <c r="F23" i="49" s="1"/>
  <c r="E25" i="49"/>
  <c r="F25" i="49" s="1"/>
  <c r="E29" i="49"/>
  <c r="F29" i="49" s="1"/>
  <c r="E30" i="49"/>
  <c r="F30" i="49" s="1"/>
  <c r="E33" i="49"/>
  <c r="F33" i="49" s="1"/>
  <c r="E39" i="49"/>
  <c r="F39" i="49" s="1"/>
  <c r="E40" i="49"/>
  <c r="F40" i="49" s="1"/>
  <c r="E42" i="49"/>
  <c r="F42" i="49" s="1"/>
  <c r="E43" i="49"/>
  <c r="F43" i="49" s="1"/>
  <c r="E44" i="49"/>
  <c r="F44" i="49" s="1"/>
  <c r="E46" i="49"/>
  <c r="F46" i="49" s="1"/>
  <c r="E48" i="49"/>
  <c r="F48" i="49" s="1"/>
  <c r="E49" i="49"/>
  <c r="F49" i="49" s="1"/>
  <c r="E50" i="49"/>
  <c r="F50" i="49" s="1"/>
  <c r="E51" i="49"/>
  <c r="F51" i="49" s="1"/>
  <c r="E52" i="49"/>
  <c r="F52" i="49" s="1"/>
  <c r="E53" i="49"/>
  <c r="F53" i="49" s="1"/>
  <c r="E56" i="49"/>
  <c r="F56" i="49" s="1"/>
  <c r="E57" i="49"/>
  <c r="F57" i="49" s="1"/>
  <c r="E58" i="49"/>
  <c r="F58" i="49" s="1"/>
  <c r="E66" i="49"/>
  <c r="F66" i="49" s="1"/>
  <c r="E67" i="49"/>
  <c r="F67" i="49" s="1"/>
  <c r="E68" i="49"/>
  <c r="F68" i="49" s="1"/>
  <c r="E70" i="49"/>
  <c r="F70" i="49" s="1"/>
  <c r="E72" i="49"/>
  <c r="F72" i="49" s="1"/>
  <c r="E76" i="49"/>
  <c r="F76" i="49" s="1"/>
  <c r="E77" i="49"/>
  <c r="F77" i="49" s="1"/>
  <c r="E78" i="49"/>
  <c r="F78" i="49" s="1"/>
  <c r="E80" i="49"/>
  <c r="F80" i="49" s="1"/>
  <c r="E82" i="49"/>
  <c r="F82" i="49" s="1"/>
  <c r="B55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7" i="49"/>
  <c r="B48" i="49"/>
  <c r="B49" i="49"/>
  <c r="B50" i="49"/>
  <c r="B51" i="49"/>
  <c r="B52" i="49"/>
  <c r="B53" i="49"/>
  <c r="B54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16" i="16"/>
  <c r="A137" i="14"/>
  <c r="A146" i="14"/>
  <c r="A159" i="14"/>
  <c r="A160" i="14"/>
  <c r="A161" i="14"/>
  <c r="A156" i="14"/>
  <c r="A138" i="14"/>
  <c r="A139" i="14"/>
  <c r="A147" i="14"/>
  <c r="A148" i="14"/>
  <c r="A149" i="14"/>
  <c r="A150" i="14"/>
  <c r="A151" i="14"/>
  <c r="A152" i="14"/>
  <c r="A153" i="14"/>
  <c r="A154" i="14"/>
  <c r="A155" i="14"/>
  <c r="A157" i="14"/>
  <c r="A158" i="14"/>
  <c r="A62" i="14"/>
  <c r="G138" i="14"/>
  <c r="I138" i="14" l="1"/>
  <c r="J138" i="14"/>
  <c r="I174" i="14"/>
  <c r="J174" i="14"/>
  <c r="I175" i="14"/>
  <c r="J175" i="14"/>
  <c r="G170" i="14"/>
  <c r="I171" i="14"/>
  <c r="G166" i="14"/>
  <c r="I167" i="14"/>
  <c r="G137" i="14"/>
  <c r="J137" i="14" s="1"/>
  <c r="E65" i="49"/>
  <c r="F65" i="49" s="1"/>
  <c r="E55" i="49"/>
  <c r="F55" i="49" s="1"/>
  <c r="E32" i="49"/>
  <c r="F32" i="49" s="1"/>
  <c r="E75" i="49"/>
  <c r="F75" i="49" s="1"/>
  <c r="G148" i="14"/>
  <c r="A119" i="14"/>
  <c r="A125" i="14"/>
  <c r="A130" i="14"/>
  <c r="A131" i="14"/>
  <c r="A132" i="14"/>
  <c r="A133" i="14"/>
  <c r="A114" i="14"/>
  <c r="A113" i="14"/>
  <c r="A110" i="14"/>
  <c r="A109" i="14"/>
  <c r="A108" i="14"/>
  <c r="A107" i="14"/>
  <c r="A106" i="14"/>
  <c r="A105" i="14"/>
  <c r="A104" i="14"/>
  <c r="A102" i="14"/>
  <c r="A101" i="14"/>
  <c r="A100" i="14"/>
  <c r="A88" i="14"/>
  <c r="A87" i="14"/>
  <c r="A86" i="14"/>
  <c r="A85" i="14"/>
  <c r="A84" i="14"/>
  <c r="A82" i="14"/>
  <c r="A81" i="14"/>
  <c r="A80" i="14"/>
  <c r="A79" i="14"/>
  <c r="A74" i="14"/>
  <c r="A73" i="14"/>
  <c r="A72" i="14"/>
  <c r="A71" i="14"/>
  <c r="A70" i="14"/>
  <c r="A69" i="14"/>
  <c r="A64" i="14"/>
  <c r="A63" i="14"/>
  <c r="A59" i="14"/>
  <c r="A58" i="14"/>
  <c r="A57" i="14"/>
  <c r="A56" i="14"/>
  <c r="A54" i="14"/>
  <c r="A53" i="14"/>
  <c r="A52" i="14"/>
  <c r="A51" i="14"/>
  <c r="A50" i="14"/>
  <c r="A49" i="14"/>
  <c r="A48" i="14"/>
  <c r="I170" i="14" l="1"/>
  <c r="J170" i="14"/>
  <c r="I166" i="14"/>
  <c r="J166" i="14"/>
  <c r="G136" i="14"/>
  <c r="I137" i="14"/>
  <c r="D30" i="16"/>
  <c r="G147" i="14"/>
  <c r="I136" i="14" l="1"/>
  <c r="J136" i="14"/>
  <c r="G146" i="14"/>
  <c r="E79" i="49"/>
  <c r="F79" i="49" s="1"/>
  <c r="G64" i="14"/>
  <c r="E19" i="49"/>
  <c r="F19" i="49" s="1"/>
  <c r="I64" i="14" l="1"/>
  <c r="J64" i="14"/>
  <c r="G135" i="14"/>
  <c r="G134" i="14" s="1"/>
  <c r="G63" i="14"/>
  <c r="E45" i="49"/>
  <c r="F45" i="49" s="1"/>
  <c r="E20" i="49"/>
  <c r="F20" i="49" s="1"/>
  <c r="E47" i="49"/>
  <c r="F47" i="49" s="1"/>
  <c r="E74" i="49"/>
  <c r="F74" i="49" s="1"/>
  <c r="B14" i="49"/>
  <c r="B15" i="49"/>
  <c r="B16" i="49"/>
  <c r="B17" i="49"/>
  <c r="B13" i="49"/>
  <c r="I63" i="14" l="1"/>
  <c r="J63" i="14"/>
  <c r="G54" i="14"/>
  <c r="J54" i="14" s="1"/>
  <c r="G55" i="14"/>
  <c r="D16" i="57"/>
  <c r="F22" i="6" s="1"/>
  <c r="C16" i="57"/>
  <c r="C22" i="6" s="1"/>
  <c r="E83" i="49"/>
  <c r="F83" i="49" s="1"/>
  <c r="F23" i="16"/>
  <c r="I55" i="14" l="1"/>
  <c r="J55" i="14"/>
  <c r="G10" i="14"/>
  <c r="I54" i="14"/>
  <c r="F12" i="16"/>
  <c r="F11" i="16"/>
  <c r="G193" i="14" l="1"/>
  <c r="C22" i="5" s="1"/>
  <c r="H76" i="4"/>
  <c r="E76" i="4"/>
  <c r="D76" i="4"/>
  <c r="F76" i="4"/>
  <c r="G76" i="4"/>
  <c r="E75" i="3"/>
  <c r="E76" i="3"/>
  <c r="C76" i="4" l="1"/>
  <c r="E29" i="21" l="1"/>
  <c r="G29" i="21"/>
  <c r="D29" i="21"/>
  <c r="F29" i="21" l="1"/>
  <c r="E85" i="49" l="1"/>
  <c r="F85" i="49" s="1"/>
  <c r="E84" i="49" l="1"/>
  <c r="F84" i="49" s="1"/>
  <c r="E14" i="49" l="1"/>
  <c r="F14" i="49" s="1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F10" i="4" l="1"/>
  <c r="G10" i="4"/>
  <c r="H10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60" i="4"/>
  <c r="G60" i="4"/>
  <c r="F62" i="4"/>
  <c r="G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0" i="4"/>
  <c r="D10" i="4"/>
  <c r="D21" i="4"/>
  <c r="D19" i="4"/>
  <c r="D18" i="4"/>
  <c r="D17" i="4"/>
  <c r="D16" i="4"/>
  <c r="D14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69" i="4"/>
  <c r="E69" i="4"/>
  <c r="D68" i="4"/>
  <c r="E68" i="4"/>
  <c r="D67" i="4"/>
  <c r="E67" i="4"/>
  <c r="D66" i="4"/>
  <c r="E66" i="4"/>
  <c r="D63" i="4"/>
  <c r="E63" i="4"/>
  <c r="D62" i="4"/>
  <c r="D60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G33" i="4" l="1"/>
  <c r="H33" i="4"/>
  <c r="D86" i="4"/>
  <c r="F86" i="4"/>
  <c r="G86" i="4"/>
  <c r="H86" i="4"/>
  <c r="F33" i="4"/>
  <c r="D33" i="4"/>
  <c r="D16" i="48"/>
  <c r="G16" i="48"/>
  <c r="I21" i="21"/>
  <c r="H21" i="21"/>
  <c r="G21" i="21"/>
  <c r="F21" i="21"/>
  <c r="H60" i="4"/>
  <c r="H62" i="4"/>
  <c r="E60" i="4"/>
  <c r="F28" i="21"/>
  <c r="E62" i="4"/>
  <c r="G11" i="4"/>
  <c r="G20" i="4"/>
  <c r="H20" i="21"/>
  <c r="G70" i="4"/>
  <c r="G65" i="4" s="1"/>
  <c r="G105" i="4"/>
  <c r="G103" i="4" s="1"/>
  <c r="G26" i="4"/>
  <c r="G23" i="4" s="1"/>
  <c r="G115" i="4"/>
  <c r="G114" i="4" s="1"/>
  <c r="G111" i="4"/>
  <c r="G109" i="4" s="1"/>
  <c r="G54" i="4"/>
  <c r="G61" i="4"/>
  <c r="D20" i="4"/>
  <c r="D70" i="4"/>
  <c r="D65" i="4" s="1"/>
  <c r="D105" i="4"/>
  <c r="D103" i="4" s="1"/>
  <c r="D26" i="4"/>
  <c r="D23" i="4" s="1"/>
  <c r="D115" i="4"/>
  <c r="D114" i="4" s="1"/>
  <c r="D111" i="4"/>
  <c r="D109" i="4" s="1"/>
  <c r="D54" i="4"/>
  <c r="D61" i="4"/>
  <c r="D26" i="3"/>
  <c r="D111" i="3"/>
  <c r="E29" i="16"/>
  <c r="H12" i="6"/>
  <c r="H11" i="6" s="1"/>
  <c r="H14" i="6"/>
  <c r="H13" i="6" s="1"/>
  <c r="H17" i="6"/>
  <c r="E12" i="6"/>
  <c r="E11" i="6" s="1"/>
  <c r="E14" i="6"/>
  <c r="E13" i="6" s="1"/>
  <c r="G16" i="6"/>
  <c r="D16" i="6"/>
  <c r="D15" i="6" s="1"/>
  <c r="E14" i="5"/>
  <c r="E13" i="5" s="1"/>
  <c r="E16" i="5"/>
  <c r="D15" i="5"/>
  <c r="D17" i="5"/>
  <c r="D10" i="3"/>
  <c r="E10" i="3"/>
  <c r="D11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7" i="3"/>
  <c r="E47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5" i="3"/>
  <c r="D76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5" i="2"/>
  <c r="O17" i="2"/>
  <c r="O16" i="2" s="1"/>
  <c r="O19" i="2"/>
  <c r="O20" i="2"/>
  <c r="O23" i="2"/>
  <c r="O27" i="2"/>
  <c r="O31" i="2"/>
  <c r="O34" i="2"/>
  <c r="O35" i="2"/>
  <c r="O36" i="2"/>
  <c r="O44" i="2"/>
  <c r="O43" i="2" s="1"/>
  <c r="O42" i="2" s="1"/>
  <c r="O13" i="2"/>
  <c r="L15" i="2"/>
  <c r="L17" i="2"/>
  <c r="L16" i="2" s="1"/>
  <c r="L19" i="2"/>
  <c r="L20" i="2"/>
  <c r="L23" i="2"/>
  <c r="L22" i="2" s="1"/>
  <c r="L26" i="2"/>
  <c r="L27" i="2"/>
  <c r="L34" i="2"/>
  <c r="L33" i="2" s="1"/>
  <c r="L30" i="2" s="1"/>
  <c r="L44" i="2"/>
  <c r="L43" i="2" s="1"/>
  <c r="L42" i="2" s="1"/>
  <c r="L13" i="2"/>
  <c r="N12" i="2"/>
  <c r="N14" i="2"/>
  <c r="N18" i="2"/>
  <c r="N21" i="2"/>
  <c r="K12" i="2"/>
  <c r="K14" i="2"/>
  <c r="K18" i="2"/>
  <c r="K21" i="2"/>
  <c r="L15" i="1"/>
  <c r="L17" i="1"/>
  <c r="L19" i="1"/>
  <c r="L20" i="1"/>
  <c r="L23" i="1"/>
  <c r="L24" i="1"/>
  <c r="L27" i="1"/>
  <c r="L29" i="1"/>
  <c r="L31" i="1"/>
  <c r="L34" i="1"/>
  <c r="L35" i="1"/>
  <c r="L36" i="1"/>
  <c r="K14" i="1"/>
  <c r="K18" i="1"/>
  <c r="K21" i="1"/>
  <c r="K28" i="1"/>
  <c r="K30" i="1"/>
  <c r="B13" i="57" l="1"/>
  <c r="B14" i="57"/>
  <c r="K11" i="1"/>
  <c r="H10" i="6"/>
  <c r="O33" i="2"/>
  <c r="O30" i="2" s="1"/>
  <c r="N11" i="2"/>
  <c r="E12" i="3"/>
  <c r="D33" i="3"/>
  <c r="E33" i="3"/>
  <c r="K11" i="2"/>
  <c r="H25" i="21"/>
  <c r="H24" i="21"/>
  <c r="O26" i="2"/>
  <c r="L25" i="2"/>
  <c r="D60" i="3"/>
  <c r="D11" i="4"/>
  <c r="E16" i="48"/>
  <c r="D51" i="4"/>
  <c r="G51" i="4"/>
  <c r="H22" i="21"/>
  <c r="H16" i="48"/>
  <c r="E22" i="16"/>
  <c r="E23" i="16"/>
  <c r="E25" i="16"/>
  <c r="G102" i="4"/>
  <c r="D58" i="4"/>
  <c r="D72" i="4"/>
  <c r="G64" i="4"/>
  <c r="G59" i="4" s="1"/>
  <c r="H12" i="21"/>
  <c r="G118" i="4"/>
  <c r="G117" i="4" s="1"/>
  <c r="D82" i="4"/>
  <c r="D64" i="4"/>
  <c r="D59" i="4" s="1"/>
  <c r="D13" i="4"/>
  <c r="D118" i="4"/>
  <c r="D117" i="4" s="1"/>
  <c r="D102" i="4"/>
  <c r="G82" i="4"/>
  <c r="G13" i="4"/>
  <c r="G74" i="4"/>
  <c r="G98" i="4"/>
  <c r="D74" i="4"/>
  <c r="D97" i="4"/>
  <c r="D98" i="4"/>
  <c r="D64" i="3"/>
  <c r="E12" i="16"/>
  <c r="D97" i="3"/>
  <c r="D109" i="3"/>
  <c r="E86" i="3"/>
  <c r="D115" i="3"/>
  <c r="D114" i="3" s="1"/>
  <c r="D98" i="3"/>
  <c r="D86" i="3"/>
  <c r="D23" i="3"/>
  <c r="G15" i="6"/>
  <c r="E86" i="4"/>
  <c r="E33" i="4"/>
  <c r="N41" i="2"/>
  <c r="O41" i="2" l="1"/>
  <c r="D15" i="57" s="1"/>
  <c r="N47" i="2"/>
  <c r="G21" i="6" s="1"/>
  <c r="E27" i="16"/>
  <c r="E26" i="49"/>
  <c r="F26" i="49" s="1"/>
  <c r="E24" i="49"/>
  <c r="F24" i="49" s="1"/>
  <c r="H160" i="14"/>
  <c r="I160" i="14" s="1"/>
  <c r="D102" i="3"/>
  <c r="D22" i="4"/>
  <c r="D73" i="4"/>
  <c r="H19" i="21"/>
  <c r="D48" i="3"/>
  <c r="D78" i="4"/>
  <c r="D15" i="3"/>
  <c r="D85" i="4"/>
  <c r="D81" i="4" s="1"/>
  <c r="H11" i="21"/>
  <c r="G58" i="4"/>
  <c r="G22" i="4"/>
  <c r="G15" i="4"/>
  <c r="D15" i="4"/>
  <c r="D55" i="4"/>
  <c r="D46" i="4" s="1"/>
  <c r="G97" i="4"/>
  <c r="G100" i="4"/>
  <c r="G85" i="4"/>
  <c r="G81" i="4" s="1"/>
  <c r="H15" i="21"/>
  <c r="H16" i="21"/>
  <c r="D100" i="4"/>
  <c r="H31" i="21"/>
  <c r="E21" i="16"/>
  <c r="D85" i="3"/>
  <c r="G73" i="4"/>
  <c r="D105" i="3"/>
  <c r="D103" i="3" s="1"/>
  <c r="D82" i="3"/>
  <c r="D74" i="3"/>
  <c r="K41" i="2"/>
  <c r="K47" i="2" s="1"/>
  <c r="K66" i="1"/>
  <c r="D21" i="5" s="1"/>
  <c r="H159" i="14" l="1"/>
  <c r="I159" i="14" s="1"/>
  <c r="D41" i="49"/>
  <c r="E26" i="16"/>
  <c r="D81" i="3"/>
  <c r="D9" i="4"/>
  <c r="E71" i="49"/>
  <c r="F71" i="49" s="1"/>
  <c r="D70" i="3"/>
  <c r="D65" i="3" s="1"/>
  <c r="D20" i="3"/>
  <c r="D14" i="3"/>
  <c r="G78" i="4"/>
  <c r="G99" i="4"/>
  <c r="G96" i="4" s="1"/>
  <c r="D80" i="4"/>
  <c r="D71" i="4" s="1"/>
  <c r="G80" i="4"/>
  <c r="D100" i="3"/>
  <c r="H10" i="21"/>
  <c r="E20" i="16"/>
  <c r="D99" i="4"/>
  <c r="D96" i="4" s="1"/>
  <c r="H18" i="21"/>
  <c r="H17" i="21"/>
  <c r="H14" i="21"/>
  <c r="D118" i="3"/>
  <c r="D117" i="3" s="1"/>
  <c r="D13" i="3"/>
  <c r="D22" i="3"/>
  <c r="L13" i="1"/>
  <c r="D78" i="3"/>
  <c r="E11" i="16"/>
  <c r="D52" i="3"/>
  <c r="E19" i="16"/>
  <c r="D21" i="6"/>
  <c r="D121" i="4" l="1"/>
  <c r="E122" i="4"/>
  <c r="E41" i="49"/>
  <c r="F41" i="49" s="1"/>
  <c r="H157" i="14"/>
  <c r="E18" i="16"/>
  <c r="E69" i="49"/>
  <c r="F69" i="49" s="1"/>
  <c r="E39" i="16"/>
  <c r="D9" i="3"/>
  <c r="D58" i="3"/>
  <c r="E10" i="16"/>
  <c r="D72" i="3"/>
  <c r="L12" i="1"/>
  <c r="D99" i="3"/>
  <c r="D96" i="3" s="1"/>
  <c r="H23" i="21"/>
  <c r="H13" i="21"/>
  <c r="E24" i="16"/>
  <c r="E28" i="16"/>
  <c r="F54" i="4"/>
  <c r="E54" i="4"/>
  <c r="E38" i="49"/>
  <c r="F38" i="49" s="1"/>
  <c r="D12" i="49" l="1"/>
  <c r="I157" i="14"/>
  <c r="H156" i="14"/>
  <c r="I156" i="14" s="1"/>
  <c r="H30" i="21"/>
  <c r="H32" i="21" s="1"/>
  <c r="D123" i="4"/>
  <c r="D22" i="6" s="1"/>
  <c r="E22" i="6" s="1"/>
  <c r="D54" i="3"/>
  <c r="D73" i="3"/>
  <c r="D55" i="3"/>
  <c r="G72" i="4"/>
  <c r="G71" i="4" s="1"/>
  <c r="G55" i="4"/>
  <c r="G46" i="4" s="1"/>
  <c r="D80" i="3"/>
  <c r="D51" i="3"/>
  <c r="D61" i="3"/>
  <c r="E105" i="4"/>
  <c r="E103" i="4" s="1"/>
  <c r="H54" i="4"/>
  <c r="F105" i="4"/>
  <c r="F103" i="4" s="1"/>
  <c r="F17" i="16" l="1"/>
  <c r="H154" i="14"/>
  <c r="J154" i="14" s="1"/>
  <c r="E17" i="16"/>
  <c r="D46" i="3"/>
  <c r="D71" i="3"/>
  <c r="H105" i="4"/>
  <c r="H103" i="4" s="1"/>
  <c r="E17" i="6"/>
  <c r="E18" i="5"/>
  <c r="D37" i="49" l="1"/>
  <c r="I154" i="14"/>
  <c r="H152" i="14"/>
  <c r="J152" i="14" s="1"/>
  <c r="D36" i="49" l="1"/>
  <c r="I152" i="14"/>
  <c r="E37" i="49"/>
  <c r="F37" i="49" s="1"/>
  <c r="H150" i="14"/>
  <c r="J150" i="14" s="1"/>
  <c r="F16" i="48"/>
  <c r="D35" i="49" l="1"/>
  <c r="I150" i="14"/>
  <c r="H148" i="14"/>
  <c r="C16" i="48"/>
  <c r="B31" i="21"/>
  <c r="B27" i="21"/>
  <c r="B26" i="21"/>
  <c r="E25" i="21"/>
  <c r="D25" i="21"/>
  <c r="B25" i="21"/>
  <c r="E24" i="21"/>
  <c r="B24" i="21"/>
  <c r="E23" i="21"/>
  <c r="B23" i="21"/>
  <c r="B22" i="21"/>
  <c r="E21" i="21"/>
  <c r="D21" i="21"/>
  <c r="B21" i="21"/>
  <c r="E20" i="21"/>
  <c r="B19" i="21"/>
  <c r="B18" i="21"/>
  <c r="B17" i="21"/>
  <c r="B16" i="21"/>
  <c r="B15" i="21"/>
  <c r="B14" i="21"/>
  <c r="B13" i="21"/>
  <c r="B12" i="21"/>
  <c r="B11" i="21"/>
  <c r="B10" i="21"/>
  <c r="B39" i="16"/>
  <c r="B29" i="16"/>
  <c r="B27" i="16"/>
  <c r="B26" i="16"/>
  <c r="B25" i="16"/>
  <c r="B23" i="16"/>
  <c r="B22" i="16"/>
  <c r="B21" i="16"/>
  <c r="B20" i="16"/>
  <c r="B19" i="16"/>
  <c r="B18" i="16"/>
  <c r="B17" i="16"/>
  <c r="B12" i="16"/>
  <c r="B11" i="16"/>
  <c r="G25" i="21"/>
  <c r="F70" i="4"/>
  <c r="F65" i="4" s="1"/>
  <c r="A10" i="14"/>
  <c r="A18" i="57" s="1"/>
  <c r="D14" i="10"/>
  <c r="D20" i="10" s="1"/>
  <c r="B45" i="7"/>
  <c r="C43" i="7" s="1"/>
  <c r="B21" i="7"/>
  <c r="F16" i="6"/>
  <c r="F10" i="6"/>
  <c r="E17" i="5"/>
  <c r="E15" i="5"/>
  <c r="E12" i="5"/>
  <c r="E11" i="5" s="1"/>
  <c r="E10" i="5" s="1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6" i="3"/>
  <c r="C75" i="3"/>
  <c r="C69" i="3"/>
  <c r="C68" i="3"/>
  <c r="C67" i="3"/>
  <c r="C66" i="3"/>
  <c r="C63" i="3"/>
  <c r="C57" i="3"/>
  <c r="C56" i="3"/>
  <c r="C53" i="3"/>
  <c r="C50" i="3"/>
  <c r="C49" i="3"/>
  <c r="C47" i="3"/>
  <c r="C45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O25" i="2"/>
  <c r="O22" i="2"/>
  <c r="O14" i="2"/>
  <c r="L14" i="2"/>
  <c r="J28" i="1"/>
  <c r="L28" i="1" s="1"/>
  <c r="L26" i="1"/>
  <c r="J22" i="1"/>
  <c r="J21" i="1" s="1"/>
  <c r="L16" i="1"/>
  <c r="J14" i="1"/>
  <c r="I148" i="14" l="1"/>
  <c r="J148" i="14"/>
  <c r="H147" i="14"/>
  <c r="J147" i="14" s="1"/>
  <c r="D34" i="49"/>
  <c r="E35" i="49"/>
  <c r="F35" i="49" s="1"/>
  <c r="L22" i="1"/>
  <c r="L14" i="1"/>
  <c r="L12" i="2"/>
  <c r="L18" i="2"/>
  <c r="L18" i="1"/>
  <c r="O12" i="2"/>
  <c r="O18" i="2"/>
  <c r="E15" i="49"/>
  <c r="F15" i="49" s="1"/>
  <c r="E17" i="49"/>
  <c r="F17" i="49" s="1"/>
  <c r="I20" i="21"/>
  <c r="G20" i="21"/>
  <c r="F20" i="21"/>
  <c r="D20" i="21"/>
  <c r="B18" i="10"/>
  <c r="B16" i="10" s="1"/>
  <c r="E16" i="6"/>
  <c r="B21" i="10"/>
  <c r="F15" i="6"/>
  <c r="H16" i="6"/>
  <c r="F27" i="21"/>
  <c r="I25" i="21"/>
  <c r="H70" i="4"/>
  <c r="H65" i="4" s="1"/>
  <c r="F25" i="21"/>
  <c r="E70" i="4"/>
  <c r="E65" i="4" s="1"/>
  <c r="F27" i="16"/>
  <c r="E31" i="49"/>
  <c r="F31" i="49" s="1"/>
  <c r="C52" i="3"/>
  <c r="E73" i="49"/>
  <c r="F73" i="49" s="1"/>
  <c r="D23" i="16"/>
  <c r="J30" i="1"/>
  <c r="L30" i="1" s="1"/>
  <c r="L33" i="1"/>
  <c r="B33" i="7"/>
  <c r="E28" i="49"/>
  <c r="F28" i="49" s="1"/>
  <c r="C45" i="7"/>
  <c r="G15" i="21"/>
  <c r="C44" i="7"/>
  <c r="C42" i="7"/>
  <c r="D17" i="16"/>
  <c r="D12" i="16"/>
  <c r="D15" i="21"/>
  <c r="E15" i="6"/>
  <c r="B19" i="7"/>
  <c r="B14" i="7"/>
  <c r="C33" i="3"/>
  <c r="C86" i="3"/>
  <c r="C65" i="4"/>
  <c r="C103" i="4"/>
  <c r="C86" i="4"/>
  <c r="C33" i="4"/>
  <c r="D32" i="10"/>
  <c r="E19" i="21"/>
  <c r="E12" i="21"/>
  <c r="B14" i="10"/>
  <c r="D18" i="10"/>
  <c r="D16" i="10" s="1"/>
  <c r="D13" i="10"/>
  <c r="H146" i="14" l="1"/>
  <c r="J146" i="14" s="1"/>
  <c r="I147" i="14"/>
  <c r="C13" i="57"/>
  <c r="E13" i="49"/>
  <c r="F13" i="49" s="1"/>
  <c r="D13" i="57"/>
  <c r="D20" i="6"/>
  <c r="D10" i="6" s="1"/>
  <c r="D23" i="6" s="1"/>
  <c r="H15" i="6"/>
  <c r="G24" i="21"/>
  <c r="D24" i="21"/>
  <c r="L21" i="2"/>
  <c r="J11" i="1"/>
  <c r="B17" i="7"/>
  <c r="D43" i="7"/>
  <c r="D45" i="7" s="1"/>
  <c r="E44" i="7" s="1"/>
  <c r="E34" i="49"/>
  <c r="F34" i="49" s="1"/>
  <c r="F25" i="16"/>
  <c r="D27" i="21"/>
  <c r="E81" i="49"/>
  <c r="F81" i="49" s="1"/>
  <c r="E11" i="3"/>
  <c r="G12" i="21"/>
  <c r="I16" i="21"/>
  <c r="G16" i="21"/>
  <c r="I24" i="21"/>
  <c r="G27" i="21"/>
  <c r="G19" i="21"/>
  <c r="B22" i="7"/>
  <c r="I12" i="21"/>
  <c r="F111" i="4"/>
  <c r="F109" i="4" s="1"/>
  <c r="F24" i="21"/>
  <c r="F115" i="4"/>
  <c r="F114" i="4" s="1"/>
  <c r="C20" i="4"/>
  <c r="D16" i="21"/>
  <c r="F16" i="21"/>
  <c r="F15" i="21"/>
  <c r="D12" i="21"/>
  <c r="F12" i="21"/>
  <c r="C13" i="4"/>
  <c r="G31" i="21"/>
  <c r="I15" i="21"/>
  <c r="F118" i="4"/>
  <c r="F117" i="4" s="1"/>
  <c r="F98" i="4"/>
  <c r="F64" i="4"/>
  <c r="F11" i="4"/>
  <c r="D27" i="16"/>
  <c r="D29" i="16"/>
  <c r="F29" i="16"/>
  <c r="D26" i="16"/>
  <c r="F26" i="16"/>
  <c r="E52" i="3"/>
  <c r="C20" i="3"/>
  <c r="E36" i="49"/>
  <c r="F36" i="49" s="1"/>
  <c r="C118" i="3"/>
  <c r="C111" i="3"/>
  <c r="C60" i="3"/>
  <c r="F18" i="16"/>
  <c r="C62" i="3"/>
  <c r="D21" i="16"/>
  <c r="E54" i="49"/>
  <c r="F54" i="49" s="1"/>
  <c r="O21" i="2"/>
  <c r="L21" i="1"/>
  <c r="B12" i="57" s="1"/>
  <c r="E31" i="21"/>
  <c r="D31" i="21"/>
  <c r="C74" i="3"/>
  <c r="E16" i="21"/>
  <c r="D18" i="16"/>
  <c r="E15" i="21"/>
  <c r="E14" i="21"/>
  <c r="E18" i="21"/>
  <c r="D19" i="21"/>
  <c r="C54" i="4"/>
  <c r="B20" i="10"/>
  <c r="B27" i="10" s="1"/>
  <c r="B13" i="10"/>
  <c r="D11" i="16"/>
  <c r="F22" i="21"/>
  <c r="E17" i="21"/>
  <c r="D21" i="10"/>
  <c r="D19" i="10" s="1"/>
  <c r="D22" i="10" s="1"/>
  <c r="E13" i="21"/>
  <c r="E27" i="21"/>
  <c r="D25" i="16"/>
  <c r="F28" i="16"/>
  <c r="D39" i="16"/>
  <c r="H135" i="14" l="1"/>
  <c r="J135" i="14" s="1"/>
  <c r="I146" i="14"/>
  <c r="J66" i="1"/>
  <c r="C21" i="5" s="1"/>
  <c r="L11" i="1"/>
  <c r="B42" i="10"/>
  <c r="O11" i="2"/>
  <c r="O47" i="2" s="1"/>
  <c r="D14" i="57"/>
  <c r="D12" i="57" s="1"/>
  <c r="L11" i="2"/>
  <c r="C14" i="57"/>
  <c r="C12" i="57" s="1"/>
  <c r="E16" i="16"/>
  <c r="L41" i="2"/>
  <c r="C11" i="4"/>
  <c r="H11" i="4"/>
  <c r="C26" i="3"/>
  <c r="C23" i="3" s="1"/>
  <c r="D10" i="21"/>
  <c r="C15" i="4"/>
  <c r="C61" i="3"/>
  <c r="C98" i="3"/>
  <c r="C11" i="3"/>
  <c r="C13" i="3"/>
  <c r="B20" i="7"/>
  <c r="B23" i="7" s="1"/>
  <c r="F15" i="4"/>
  <c r="G18" i="21"/>
  <c r="H20" i="4"/>
  <c r="F20" i="4"/>
  <c r="H13" i="4"/>
  <c r="F13" i="4"/>
  <c r="F22" i="4"/>
  <c r="G10" i="21"/>
  <c r="I22" i="21"/>
  <c r="G22" i="21"/>
  <c r="C22" i="4"/>
  <c r="H74" i="4"/>
  <c r="F74" i="4"/>
  <c r="H73" i="4"/>
  <c r="F73" i="4"/>
  <c r="D18" i="21"/>
  <c r="G14" i="21"/>
  <c r="F26" i="4"/>
  <c r="F23" i="4" s="1"/>
  <c r="I19" i="21"/>
  <c r="E15" i="3"/>
  <c r="C15" i="3"/>
  <c r="E115" i="3"/>
  <c r="E114" i="3" s="1"/>
  <c r="C115" i="3"/>
  <c r="C114" i="3" s="1"/>
  <c r="E43" i="7"/>
  <c r="F21" i="16"/>
  <c r="D14" i="21"/>
  <c r="H111" i="4"/>
  <c r="H109" i="4" s="1"/>
  <c r="H22" i="4"/>
  <c r="H64" i="4"/>
  <c r="C26" i="4"/>
  <c r="C111" i="4"/>
  <c r="C109" i="4" s="1"/>
  <c r="F82" i="4"/>
  <c r="H118" i="4"/>
  <c r="H117" i="4" s="1"/>
  <c r="C98" i="4"/>
  <c r="E98" i="4"/>
  <c r="E11" i="4"/>
  <c r="C115" i="4"/>
  <c r="C114" i="4" s="1"/>
  <c r="F26" i="21"/>
  <c r="E97" i="4"/>
  <c r="F85" i="4"/>
  <c r="C74" i="4"/>
  <c r="E74" i="4"/>
  <c r="C118" i="4"/>
  <c r="C117" i="4" s="1"/>
  <c r="C64" i="4"/>
  <c r="E64" i="4"/>
  <c r="F80" i="4"/>
  <c r="H115" i="4"/>
  <c r="H114" i="4" s="1"/>
  <c r="F97" i="4"/>
  <c r="I31" i="21"/>
  <c r="E13" i="4"/>
  <c r="E20" i="4"/>
  <c r="E11" i="21"/>
  <c r="H26" i="4"/>
  <c r="H23" i="4" s="1"/>
  <c r="H98" i="4"/>
  <c r="C85" i="4"/>
  <c r="E85" i="4"/>
  <c r="C14" i="3"/>
  <c r="E74" i="3"/>
  <c r="E60" i="3"/>
  <c r="C97" i="3"/>
  <c r="C109" i="3"/>
  <c r="E111" i="3"/>
  <c r="E109" i="3" s="1"/>
  <c r="E20" i="3"/>
  <c r="F24" i="16"/>
  <c r="F22" i="16"/>
  <c r="D22" i="16"/>
  <c r="E26" i="3"/>
  <c r="E23" i="3" s="1"/>
  <c r="C117" i="3"/>
  <c r="E118" i="3"/>
  <c r="E117" i="3" s="1"/>
  <c r="D16" i="16"/>
  <c r="C64" i="3"/>
  <c r="E10" i="21"/>
  <c r="E42" i="7"/>
  <c r="C70" i="3"/>
  <c r="E45" i="7"/>
  <c r="D20" i="16"/>
  <c r="D26" i="21"/>
  <c r="E22" i="21"/>
  <c r="F61" i="4"/>
  <c r="F59" i="4" s="1"/>
  <c r="E26" i="21"/>
  <c r="B32" i="10"/>
  <c r="B19" i="10"/>
  <c r="B22" i="10" s="1"/>
  <c r="D28" i="16"/>
  <c r="D42" i="10"/>
  <c r="C97" i="4"/>
  <c r="D24" i="16"/>
  <c r="D22" i="21"/>
  <c r="I135" i="14" l="1"/>
  <c r="H134" i="14"/>
  <c r="J134" i="14" s="1"/>
  <c r="L47" i="2"/>
  <c r="C15" i="57"/>
  <c r="B10" i="57"/>
  <c r="B31" i="7"/>
  <c r="B30" i="10"/>
  <c r="C10" i="57"/>
  <c r="C21" i="6" s="1"/>
  <c r="D10" i="57"/>
  <c r="F21" i="6" s="1"/>
  <c r="F20" i="6" s="1"/>
  <c r="F23" i="6" s="1"/>
  <c r="D30" i="10"/>
  <c r="E15" i="16"/>
  <c r="E38" i="16" s="1"/>
  <c r="F9" i="4"/>
  <c r="E30" i="21"/>
  <c r="E32" i="21" s="1"/>
  <c r="D11" i="21"/>
  <c r="E58" i="4"/>
  <c r="C58" i="4"/>
  <c r="F51" i="4"/>
  <c r="G11" i="21"/>
  <c r="H58" i="4"/>
  <c r="F58" i="4"/>
  <c r="F39" i="16"/>
  <c r="F31" i="21"/>
  <c r="H15" i="4"/>
  <c r="H9" i="4" s="1"/>
  <c r="F99" i="4"/>
  <c r="I18" i="21"/>
  <c r="E22" i="3"/>
  <c r="E9" i="3" s="1"/>
  <c r="C73" i="3"/>
  <c r="F10" i="21"/>
  <c r="E98" i="3"/>
  <c r="C22" i="3"/>
  <c r="C9" i="3" s="1"/>
  <c r="C48" i="3"/>
  <c r="C58" i="3"/>
  <c r="F16" i="16"/>
  <c r="G17" i="21"/>
  <c r="F18" i="21"/>
  <c r="F14" i="21"/>
  <c r="G13" i="21"/>
  <c r="E15" i="4"/>
  <c r="I10" i="21"/>
  <c r="G26" i="21"/>
  <c r="H78" i="4"/>
  <c r="F78" i="4"/>
  <c r="E115" i="4"/>
  <c r="E114" i="4" s="1"/>
  <c r="E111" i="4"/>
  <c r="E109" i="4" s="1"/>
  <c r="E26" i="4"/>
  <c r="E23" i="4" s="1"/>
  <c r="E118" i="4"/>
  <c r="E117" i="4" s="1"/>
  <c r="I14" i="21"/>
  <c r="F81" i="4"/>
  <c r="E22" i="4"/>
  <c r="E9" i="4" s="1"/>
  <c r="E105" i="3"/>
  <c r="E103" i="3" s="1"/>
  <c r="C105" i="3"/>
  <c r="C103" i="3" s="1"/>
  <c r="E55" i="3"/>
  <c r="C55" i="3"/>
  <c r="E54" i="3"/>
  <c r="C54" i="3"/>
  <c r="C80" i="3"/>
  <c r="F20" i="16"/>
  <c r="C23" i="4"/>
  <c r="C9" i="4"/>
  <c r="C78" i="4"/>
  <c r="F11" i="21"/>
  <c r="H61" i="4"/>
  <c r="H59" i="4" s="1"/>
  <c r="C61" i="4"/>
  <c r="C59" i="4" s="1"/>
  <c r="H97" i="4"/>
  <c r="C82" i="4"/>
  <c r="C81" i="4" s="1"/>
  <c r="F13" i="21"/>
  <c r="H99" i="4"/>
  <c r="H82" i="4"/>
  <c r="E72" i="4"/>
  <c r="C73" i="4"/>
  <c r="E73" i="4"/>
  <c r="D17" i="21"/>
  <c r="E78" i="4"/>
  <c r="H85" i="4"/>
  <c r="D19" i="16"/>
  <c r="C85" i="3"/>
  <c r="C99" i="3"/>
  <c r="C82" i="3"/>
  <c r="C65" i="3"/>
  <c r="E70" i="3"/>
  <c r="E65" i="3" s="1"/>
  <c r="E97" i="3"/>
  <c r="E61" i="3"/>
  <c r="E58" i="3"/>
  <c r="C102" i="3"/>
  <c r="D15" i="16"/>
  <c r="D10" i="16"/>
  <c r="E64" i="3"/>
  <c r="L66" i="1"/>
  <c r="D27" i="10"/>
  <c r="B44" i="10"/>
  <c r="C51" i="4"/>
  <c r="C72" i="4"/>
  <c r="C55" i="4"/>
  <c r="C21" i="57" l="1"/>
  <c r="C124" i="4" s="1"/>
  <c r="I134" i="14"/>
  <c r="H10" i="14"/>
  <c r="J10" i="14" s="1"/>
  <c r="E21" i="6"/>
  <c r="E20" i="6" s="1"/>
  <c r="E10" i="6" s="1"/>
  <c r="E23" i="6" s="1"/>
  <c r="C20" i="6"/>
  <c r="C23" i="6" s="1"/>
  <c r="E27" i="49"/>
  <c r="D38" i="16"/>
  <c r="D40" i="16" s="1"/>
  <c r="E40" i="16"/>
  <c r="D62" i="3"/>
  <c r="D59" i="3" s="1"/>
  <c r="D121" i="3" s="1"/>
  <c r="D30" i="21"/>
  <c r="D32" i="21" s="1"/>
  <c r="G30" i="21"/>
  <c r="H51" i="4"/>
  <c r="I11" i="21"/>
  <c r="D21" i="57"/>
  <c r="D124" i="4" s="1"/>
  <c r="D23" i="21"/>
  <c r="G23" i="21"/>
  <c r="H80" i="4"/>
  <c r="F100" i="4"/>
  <c r="F15" i="16"/>
  <c r="E48" i="3"/>
  <c r="C51" i="3"/>
  <c r="E80" i="3"/>
  <c r="I17" i="21"/>
  <c r="F17" i="21"/>
  <c r="F30" i="21" s="1"/>
  <c r="I13" i="21"/>
  <c r="H81" i="4"/>
  <c r="C100" i="3"/>
  <c r="H102" i="4"/>
  <c r="F102" i="4"/>
  <c r="E82" i="4"/>
  <c r="E81" i="4" s="1"/>
  <c r="E61" i="4"/>
  <c r="E59" i="4" s="1"/>
  <c r="H55" i="4"/>
  <c r="F55" i="4"/>
  <c r="F46" i="4" s="1"/>
  <c r="H72" i="4"/>
  <c r="F72" i="4"/>
  <c r="F71" i="4" s="1"/>
  <c r="E51" i="4"/>
  <c r="E46" i="4" s="1"/>
  <c r="C72" i="3"/>
  <c r="E78" i="3"/>
  <c r="C78" i="3"/>
  <c r="F19" i="16"/>
  <c r="F10" i="16"/>
  <c r="E99" i="4"/>
  <c r="C99" i="4"/>
  <c r="C100" i="4"/>
  <c r="C102" i="4"/>
  <c r="E102" i="4"/>
  <c r="C80" i="4"/>
  <c r="C71" i="4" s="1"/>
  <c r="E85" i="3"/>
  <c r="C59" i="3"/>
  <c r="E102" i="3"/>
  <c r="E99" i="3"/>
  <c r="E82" i="3"/>
  <c r="E81" i="3" s="1"/>
  <c r="E73" i="3"/>
  <c r="C46" i="4"/>
  <c r="C43" i="10"/>
  <c r="B41" i="10"/>
  <c r="C44" i="10"/>
  <c r="C42" i="10"/>
  <c r="I10" i="14" l="1"/>
  <c r="I193" i="14" s="1"/>
  <c r="E62" i="3"/>
  <c r="E59" i="3" s="1"/>
  <c r="B18" i="57"/>
  <c r="B16" i="57" s="1"/>
  <c r="H193" i="14"/>
  <c r="J193" i="14" s="1"/>
  <c r="D122" i="3"/>
  <c r="D22" i="5"/>
  <c r="D20" i="5" s="1"/>
  <c r="F27" i="49"/>
  <c r="E90" i="49"/>
  <c r="H71" i="4"/>
  <c r="F38" i="16"/>
  <c r="F40" i="16" s="1"/>
  <c r="G32" i="21"/>
  <c r="I30" i="21"/>
  <c r="I32" i="21" s="1"/>
  <c r="B21" i="57"/>
  <c r="C20" i="5"/>
  <c r="C23" i="5" s="1"/>
  <c r="F32" i="21"/>
  <c r="H46" i="4"/>
  <c r="C71" i="3"/>
  <c r="I23" i="21"/>
  <c r="F23" i="21"/>
  <c r="F96" i="4"/>
  <c r="H100" i="4"/>
  <c r="H96" i="4" s="1"/>
  <c r="E100" i="4"/>
  <c r="E96" i="4" s="1"/>
  <c r="E72" i="3"/>
  <c r="E71" i="3" s="1"/>
  <c r="E51" i="3"/>
  <c r="E46" i="3" s="1"/>
  <c r="E80" i="4"/>
  <c r="E71" i="4" s="1"/>
  <c r="E100" i="3"/>
  <c r="E96" i="3" s="1"/>
  <c r="C96" i="4"/>
  <c r="C121" i="4" s="1"/>
  <c r="C123" i="4" s="1"/>
  <c r="C81" i="3"/>
  <c r="C96" i="3"/>
  <c r="C46" i="3"/>
  <c r="C41" i="10"/>
  <c r="D41" i="10"/>
  <c r="F90" i="49" l="1"/>
  <c r="D90" i="49"/>
  <c r="D23" i="5"/>
  <c r="D19" i="5"/>
  <c r="E121" i="3"/>
  <c r="E22" i="5"/>
  <c r="E121" i="4"/>
  <c r="E123" i="4" s="1"/>
  <c r="F121" i="4"/>
  <c r="F123" i="4" s="1"/>
  <c r="G12" i="4"/>
  <c r="G9" i="4" s="1"/>
  <c r="G121" i="4" s="1"/>
  <c r="C121" i="3"/>
  <c r="D44" i="10"/>
  <c r="E41" i="10" s="1"/>
  <c r="G123" i="4" l="1"/>
  <c r="G22" i="6" s="1"/>
  <c r="H121" i="4"/>
  <c r="H123" i="4" s="1"/>
  <c r="E21" i="5"/>
  <c r="E44" i="10"/>
  <c r="E43" i="10"/>
  <c r="E42" i="10"/>
  <c r="E20" i="5" l="1"/>
  <c r="E23" i="5" s="1"/>
  <c r="H124" i="4"/>
  <c r="E19" i="5"/>
  <c r="F19" i="21" l="1"/>
  <c r="H21" i="6"/>
  <c r="H22" i="6"/>
  <c r="G20" i="6"/>
  <c r="G23" i="6" s="1"/>
  <c r="G19" i="6" s="1"/>
  <c r="H20" i="6" l="1"/>
  <c r="H23" i="6" s="1"/>
  <c r="H19" i="6"/>
  <c r="G18" i="6"/>
  <c r="H18" i="6" s="1"/>
</calcChain>
</file>

<file path=xl/sharedStrings.xml><?xml version="1.0" encoding="utf-8"?>
<sst xmlns="http://schemas.openxmlformats.org/spreadsheetml/2006/main" count="2191" uniqueCount="939">
  <si>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</si>
  <si>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</si>
  <si>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</si>
  <si>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</si>
  <si>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</si>
  <si>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</si>
  <si>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</si>
  <si>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</si>
  <si>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</si>
  <si>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</si>
  <si>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</si>
  <si>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</si>
  <si>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</si>
  <si>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</si>
  <si>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</si>
  <si>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</si>
  <si>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</si>
  <si>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</si>
  <si>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</si>
  <si>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</si>
  <si>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</si>
  <si>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</si>
  <si>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</si>
  <si>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</si>
  <si>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</si>
  <si>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</si>
  <si>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</si>
  <si>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</si>
  <si>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</si>
  <si>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</si>
  <si>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сельскохозяйственный налог</t>
  </si>
  <si>
    <t>09</t>
  </si>
  <si>
    <t>00000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</si>
  <si>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</si>
  <si>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</si>
  <si>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</si>
  <si>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050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</si>
  <si>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</si>
  <si>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</si>
  <si>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</si>
  <si>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12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</si>
  <si>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</si>
  <si>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</si>
  <si>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</si>
  <si>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</si>
  <si>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</si>
  <si>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14</t>
  </si>
  <si>
    <t>Доходы от продажи материальных и нематериальных активов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</si>
  <si>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</si>
  <si>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</si>
  <si>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</si>
  <si>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10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</si>
  <si>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</si>
  <si>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</si>
  <si>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</si>
  <si>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</si>
  <si>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</si>
  <si>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</si>
  <si>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</si>
  <si>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955</t>
  </si>
  <si>
    <t>001</t>
  </si>
  <si>
    <t xml:space="preserve">Межбюджетные трансферты на обеспечение мероприятий по строительству и реконструкции объектов теплоснабжения 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</si>
  <si>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</si>
  <si>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Межбюджетные трансферты на обеспечение мероприятий в сфере ипотечного жилищного кредитования</t>
  </si>
  <si>
    <t>Межбюджетные трансферты на обеспечение мероприятий по  предупреждению и ликвидации последствий чрезвычайных ситуаций в границах поселения</t>
  </si>
  <si>
    <t>Межбюджетные трансферты на обеспечение   первичных мер пожарной безопасности в границах населенных пунктов поселения</t>
  </si>
  <si>
    <t>Межбюджетные трансферты на обеспечение мероприятий по уличному освещению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</si>
  <si>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</si>
  <si>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Межбюджетные трансферты на обеспечение мероприятий для развития субъектов малого и среднего предпринимательства</t>
  </si>
  <si>
    <t>ИТОГО</t>
  </si>
  <si>
    <t>Приложение 2</t>
  </si>
  <si>
    <t>Статьи</t>
  </si>
  <si>
    <t>Подстатьи</t>
  </si>
  <si>
    <t>Элемента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</si>
  <si>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</si>
  <si>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</si>
  <si>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</si>
  <si>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</si>
  <si>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</si>
  <si>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</si>
  <si>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</si>
  <si>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</si>
  <si>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</si>
  <si>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</si>
  <si>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</si>
  <si>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</si>
  <si>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</si>
  <si>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</si>
  <si>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</si>
  <si>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</si>
  <si>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</si>
  <si>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</si>
  <si>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</si>
  <si>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</si>
  <si>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</si>
  <si>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</si>
  <si>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</si>
  <si>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</si>
  <si>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</si>
  <si>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</si>
  <si>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</si>
  <si>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</si>
  <si>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</si>
  <si>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</si>
  <si>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</si>
  <si>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</si>
  <si>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</si>
  <si>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</si>
  <si>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</si>
  <si>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</si>
  <si>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</si>
  <si>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</si>
  <si>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</si>
  <si>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</si>
  <si>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</si>
  <si>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</si>
  <si>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</si>
  <si>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</si>
  <si>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</si>
  <si>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</si>
  <si>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</si>
  <si>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</si>
  <si>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</si>
  <si>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</si>
  <si>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</si>
  <si>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</si>
  <si>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</si>
  <si>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</si>
  <si>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</si>
  <si>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</si>
  <si>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</si>
  <si>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</si>
  <si>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</si>
  <si>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</si>
  <si>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</si>
  <si>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</si>
  <si>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</si>
  <si>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</si>
  <si>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</si>
  <si>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</si>
  <si>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</si>
  <si>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</si>
  <si>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</si>
  <si>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</si>
  <si>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</si>
  <si>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</si>
  <si>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</si>
  <si>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</si>
  <si>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</si>
  <si>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</si>
  <si>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</si>
  <si>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</si>
  <si>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</si>
  <si>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</si>
  <si>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</si>
  <si>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</si>
  <si>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</si>
  <si>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</si>
  <si>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</si>
  <si>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</si>
  <si>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</si>
  <si>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</si>
  <si>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</si>
  <si>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</si>
  <si>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</si>
  <si>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</si>
  <si>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</si>
  <si>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</si>
  <si>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</si>
  <si>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</si>
  <si>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</si>
  <si>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</si>
  <si>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</si>
  <si>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</si>
  <si>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</si>
  <si>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</si>
  <si>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</si>
  <si>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</si>
  <si>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</si>
  <si>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</si>
  <si>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</si>
  <si>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</si>
  <si>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</si>
  <si>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Обслуживание внешнего государственного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</si>
  <si>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</si>
  <si>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</si>
  <si>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</si>
  <si>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</si>
  <si>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ПРОФИЦИТ/ДЕФИЦИТ</t>
  </si>
  <si>
    <t>Приложение 4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</si>
  <si>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</si>
  <si>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</si>
  <si>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</si>
  <si>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</si>
  <si>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</si>
  <si>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</si>
  <si>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</si>
  <si>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</si>
  <si>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Итого источников внутреннего финансирования</t>
  </si>
  <si>
    <t>Приложение 7</t>
  </si>
  <si>
    <t xml:space="preserve">                                                                                                                                                                                       руб.</t>
  </si>
  <si>
    <t>Виды заимствований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</si>
  <si>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</si>
  <si>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</si>
  <si>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</si>
  <si>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</si>
  <si>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          Получение кредитов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</si>
  <si>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</si>
  <si>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</si>
  <si>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</si>
  <si>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t>в том числе сумма, направляемая на покрытие дефицита бюджета</t>
  </si>
  <si>
    <t xml:space="preserve">                                                                                                                                                                                      руб.</t>
  </si>
  <si>
    <t>Предельный размер</t>
  </si>
  <si>
    <t>1. Верхний предел муниципального долга</t>
  </si>
  <si>
    <t xml:space="preserve">в том числе верхний предел долга по муниципальным гарантиям  </t>
  </si>
  <si>
    <t>2. Предельный объем муниципального долга</t>
  </si>
  <si>
    <t>3. Объем расходов на обслуживание муниципального долга</t>
  </si>
  <si>
    <t>4. Предельный объем муниципальных заимствований</t>
  </si>
  <si>
    <t>Обязательства</t>
  </si>
  <si>
    <t>Объем долга</t>
  </si>
  <si>
    <t>(прогноз)</t>
  </si>
  <si>
    <t>Сумма (руб.)</t>
  </si>
  <si>
    <t>%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</si>
  <si>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</si>
  <si>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</si>
  <si>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</si>
  <si>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</si>
  <si>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Приложение 9</t>
  </si>
  <si>
    <t>950 Администрация Тутаевского муниципального района</t>
  </si>
  <si>
    <t>955 Департамент финансов администрации Тутаевского муниципального района</t>
  </si>
  <si>
    <t>Приложение 8</t>
  </si>
  <si>
    <t>П Р О Г Р А М М А</t>
  </si>
  <si>
    <t>2019 год                                                                               Сумма, руб.</t>
  </si>
  <si>
    <t>5. Предельный объем предоставляемых муниципальных гарантий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</si>
  <si>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</si>
  <si>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</si>
  <si>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Прочие дотации бюджетам городских поселений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</si>
  <si>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</si>
  <si>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неналоговые доходы бюджетов городских поселений</t>
  </si>
  <si>
    <t>Приложение 11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</si>
  <si>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</si>
  <si>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</si>
  <si>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</si>
  <si>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</si>
  <si>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</si>
  <si>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</si>
  <si>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</si>
  <si>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</si>
  <si>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Иные бюджетные ассигнования</t>
  </si>
  <si>
    <t>Социальное обеспечение и иные выплаты населению</t>
  </si>
  <si>
    <t>Департамент муниципального имущества Администрации ТМР</t>
  </si>
  <si>
    <t>Департамент образования Администрации ТМР</t>
  </si>
  <si>
    <t>02.0.00</t>
  </si>
  <si>
    <t>Предоставление субсидий бюджетным, автономным учреждениям и иным некоммерческим организациям</t>
  </si>
  <si>
    <t>03.0.00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</si>
  <si>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</si>
  <si>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01.0.00</t>
  </si>
  <si>
    <t>Департамент труда и соц. развития Администрации ТМР</t>
  </si>
  <si>
    <t>Департамент финансов администрации ТМР</t>
  </si>
  <si>
    <t xml:space="preserve"> Межбюджетные трансферты</t>
  </si>
  <si>
    <t>Обслуживание государственного долга Российской Федерации</t>
  </si>
  <si>
    <t>Департамент культуры, туризма и молодежной политики Администрации ТМР</t>
  </si>
  <si>
    <t>04.0.00</t>
  </si>
  <si>
    <t>04.0.01</t>
  </si>
  <si>
    <t>Департамент ЖКХ и строительства Администрации ТМР</t>
  </si>
  <si>
    <t>05.0.00</t>
  </si>
  <si>
    <t>06.0.00</t>
  </si>
  <si>
    <t>06.0.01</t>
  </si>
  <si>
    <t>07.0.00</t>
  </si>
  <si>
    <t>МУ Контрольно-счетная палата ТМР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</si>
  <si>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</si>
  <si>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</si>
  <si>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</si>
  <si>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</si>
  <si>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</si>
  <si>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</si>
  <si>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4.1</t>
  </si>
  <si>
    <t>5</t>
  </si>
  <si>
    <t>5.1</t>
  </si>
  <si>
    <t>5.2</t>
  </si>
  <si>
    <t>5.3</t>
  </si>
  <si>
    <t>9.1</t>
  </si>
  <si>
    <t>11.1</t>
  </si>
  <si>
    <t>40.9</t>
  </si>
  <si>
    <t>Всего</t>
  </si>
  <si>
    <t>Изменения</t>
  </si>
  <si>
    <t>1.3</t>
  </si>
  <si>
    <t>15</t>
  </si>
  <si>
    <t>Наименование поселения</t>
  </si>
  <si>
    <t>Артемьевское сельское поселение</t>
  </si>
  <si>
    <t>Городское поселение Тутаев</t>
  </si>
  <si>
    <t>Чебаковское  сельское поселение</t>
  </si>
  <si>
    <t>Константиновское сельское поселение</t>
  </si>
  <si>
    <t>Левобережное  сельское поселение</t>
  </si>
  <si>
    <t>Приложение 19</t>
  </si>
  <si>
    <t>изменения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</si>
  <si>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</si>
  <si>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</si>
  <si>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</si>
  <si>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</si>
  <si>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</si>
  <si>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</si>
  <si>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</si>
  <si>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</si>
  <si>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</si>
  <si>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</si>
  <si>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</si>
  <si>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</si>
  <si>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</si>
  <si>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</si>
  <si>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</si>
  <si>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</si>
  <si>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</si>
  <si>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</si>
  <si>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</si>
  <si>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</si>
  <si>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</si>
  <si>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</si>
  <si>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</si>
  <si>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</si>
  <si>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</si>
  <si>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</si>
  <si>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</si>
  <si>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</si>
  <si>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</si>
  <si>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</si>
  <si>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</si>
  <si>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</si>
  <si>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</si>
  <si>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</si>
  <si>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</si>
  <si>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</si>
  <si>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</si>
  <si>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</si>
  <si>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</si>
  <si>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</si>
  <si>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</si>
  <si>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</si>
  <si>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</si>
  <si>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</si>
  <si>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</si>
  <si>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</si>
  <si>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</si>
  <si>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</si>
  <si>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</si>
  <si>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</si>
  <si>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</si>
  <si>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</si>
  <si>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</si>
  <si>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</si>
  <si>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</si>
  <si>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</si>
  <si>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</si>
  <si>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</si>
  <si>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</si>
  <si>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</si>
  <si>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</si>
  <si>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</si>
  <si>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</si>
  <si>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</si>
  <si>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</si>
  <si>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</si>
  <si>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</si>
  <si>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</si>
  <si>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</si>
  <si>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</si>
  <si>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</si>
  <si>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</si>
  <si>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</si>
  <si>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</si>
  <si>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</si>
  <si>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</si>
  <si>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</si>
  <si>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</si>
  <si>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</si>
  <si>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</si>
  <si>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</si>
  <si>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</si>
  <si>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</si>
  <si>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</si>
  <si>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</si>
  <si>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</si>
  <si>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</si>
  <si>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</si>
  <si>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</si>
  <si>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</si>
  <si>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</si>
  <si>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</si>
  <si>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</si>
  <si>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</si>
  <si>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</si>
  <si>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</si>
  <si>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</si>
  <si>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</si>
  <si>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</si>
  <si>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</si>
  <si>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</si>
  <si>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</si>
  <si>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</si>
  <si>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</si>
  <si>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</si>
  <si>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</si>
  <si>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</si>
  <si>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</si>
  <si>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</si>
  <si>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</si>
  <si>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</si>
  <si>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</si>
  <si>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</si>
  <si>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</si>
  <si>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</si>
  <si>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</si>
  <si>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</si>
  <si>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</si>
  <si>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</si>
  <si>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</si>
  <si>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</si>
  <si>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</si>
  <si>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</si>
  <si>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</si>
  <si>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</si>
  <si>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</si>
  <si>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</si>
  <si>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</si>
  <si>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</si>
  <si>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</si>
  <si>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</si>
  <si>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</si>
  <si>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</si>
  <si>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</si>
  <si>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</si>
  <si>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</si>
  <si>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</si>
  <si>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</si>
  <si>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</si>
  <si>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</si>
  <si>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</si>
  <si>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</si>
  <si>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</si>
  <si>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</si>
  <si>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</si>
  <si>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</si>
  <si>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</si>
  <si>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</si>
  <si>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</si>
  <si>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</si>
  <si>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</si>
  <si>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</si>
  <si>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</si>
  <si>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</si>
  <si>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</si>
  <si>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</si>
  <si>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</si>
  <si>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</si>
  <si>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</si>
  <si>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</si>
  <si>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</si>
  <si>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</si>
  <si>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</si>
  <si>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</si>
  <si>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</si>
  <si>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</si>
  <si>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</si>
  <si>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</si>
  <si>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</si>
  <si>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</si>
  <si>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</si>
  <si>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</si>
  <si>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</si>
  <si>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</si>
  <si>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</si>
  <si>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</si>
  <si>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</si>
  <si>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</si>
  <si>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</si>
  <si>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</si>
  <si>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</si>
  <si>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</si>
  <si>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</si>
  <si>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</si>
  <si>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</si>
  <si>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</si>
  <si>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</si>
  <si>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</si>
  <si>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</si>
  <si>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</si>
  <si>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</si>
  <si>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</si>
  <si>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</si>
  <si>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</si>
  <si>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</si>
  <si>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</si>
  <si>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</si>
  <si>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</si>
  <si>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</si>
  <si>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</si>
  <si>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</si>
  <si>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</si>
  <si>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</si>
  <si>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</si>
  <si>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</si>
  <si>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</si>
  <si>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</si>
  <si>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</si>
  <si>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</si>
  <si>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</si>
  <si>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</si>
  <si>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</si>
  <si>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</si>
  <si>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</si>
  <si>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</si>
  <si>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</si>
  <si>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</si>
  <si>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</si>
  <si>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</si>
  <si>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</si>
  <si>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</si>
  <si>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</si>
  <si>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</si>
  <si>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</si>
  <si>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</si>
  <si>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</si>
  <si>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</si>
  <si>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</si>
  <si>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</si>
  <si>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</si>
  <si>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</si>
  <si>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</si>
  <si>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</si>
  <si>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</si>
  <si>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</si>
  <si>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</si>
  <si>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</si>
  <si>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</si>
  <si>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</si>
  <si>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</si>
  <si>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</si>
  <si>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</si>
  <si>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</si>
  <si>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</si>
  <si>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</si>
  <si>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</si>
  <si>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</si>
  <si>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</si>
  <si>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</si>
  <si>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</si>
  <si>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</si>
  <si>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</si>
  <si>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</si>
  <si>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</si>
  <si>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</si>
  <si>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</si>
  <si>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</si>
  <si>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</si>
  <si>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</si>
  <si>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2018 год                                                                               Сумма, руб.</t>
  </si>
  <si>
    <t>Органы прокуратуры</t>
  </si>
  <si>
    <t>Органы внутренних дел</t>
  </si>
  <si>
    <t>Код направления</t>
  </si>
  <si>
    <t>Значение</t>
  </si>
  <si>
    <t>Дополнительное образование детей</t>
  </si>
  <si>
    <t>Молодежная политика</t>
  </si>
  <si>
    <t xml:space="preserve">Молодежная политика </t>
  </si>
  <si>
    <t>на 01.01.2020</t>
  </si>
  <si>
    <t>от "____"______________ 2017 г.№ ______</t>
  </si>
  <si>
    <t>2020 год                                                                               Сумма, руб.</t>
  </si>
  <si>
    <t xml:space="preserve">1. Субсидия на </t>
  </si>
  <si>
    <t>Распределение субсидий бюджетам поселений Тутаевского муниципального района на плановый период 2019-2020 годов</t>
  </si>
  <si>
    <t>2020 Сумма, руб.</t>
  </si>
  <si>
    <t>на 01.01.2021</t>
  </si>
  <si>
    <t>на 2020 год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</si>
  <si>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</si>
  <si>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</si>
  <si>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</si>
  <si>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</si>
  <si>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Повышение уровня благоустройства дворовых территорий</t>
  </si>
  <si>
    <t>2021 Сумма, руб.</t>
  </si>
  <si>
    <t>2. Предельные размеры на 2019 год</t>
  </si>
  <si>
    <t xml:space="preserve">на 2019 год </t>
  </si>
  <si>
    <t>2021 год                                                                               Сумма, руб.</t>
  </si>
  <si>
    <t>на 2021 год</t>
  </si>
  <si>
    <t>на 01.01.2021 (пргноз)</t>
  </si>
  <si>
    <t>на 01.01.2022 (прогноз)</t>
  </si>
  <si>
    <t xml:space="preserve"> к решению Муниципального Совета</t>
  </si>
  <si>
    <t>городского поселения Тутаев</t>
  </si>
  <si>
    <t>Показатели</t>
  </si>
  <si>
    <t>Доходы всего</t>
  </si>
  <si>
    <t>в том числе:</t>
  </si>
  <si>
    <t>налоговые доходы бюджетов</t>
  </si>
  <si>
    <t>неналоговые доходы и прочие поступления</t>
  </si>
  <si>
    <t>Расходы всего</t>
  </si>
  <si>
    <t>Условно утверждённые расходы</t>
  </si>
  <si>
    <t xml:space="preserve">Результат исполнения бюджета </t>
  </si>
  <si>
    <t>(дефицит «-»,  профицит «+»)</t>
  </si>
  <si>
    <t>к решению Муниципального Совета</t>
  </si>
  <si>
    <t>Код направления расходов</t>
  </si>
  <si>
    <t>Наименование межбюджетного трансферта</t>
  </si>
  <si>
    <t>№ п/п</t>
  </si>
  <si>
    <t xml:space="preserve"> Прогнозируемые доходы бюджета городского поселения Тутаев  в соответствии с классификацией доходов бюджетов Российской Федерации на плановый период 2020-2021 годов</t>
  </si>
  <si>
    <t>Расходы бюджета  городского поселения Тутаев по разделам и подразделам классификации расходов бюджетов Российской Федерации на плановый период 2020-2021 годов</t>
  </si>
  <si>
    <t>Источники внутреннего финансирования дефицита  бюджета  городского поселения Тутаев на плановый период 2020-2021 годов</t>
  </si>
  <si>
    <t xml:space="preserve">Программа муниципальных внутренних заимствований  городского поселения Тутаев на 2019 год </t>
  </si>
  <si>
    <t>1. Муниципальные внутренние заимствования, осуществляемые  городским поселением Тутаев в 2019 году</t>
  </si>
  <si>
    <t>3. Информация об объеме и структуре муниципального долга городского поселения Тутаев</t>
  </si>
  <si>
    <t xml:space="preserve">муниципальных внутренних заимствований  городского поселения Тутаев на плановый период 2020-2021 годов </t>
  </si>
  <si>
    <t>Ведомственная структура расходов бюджета  городского поселения Тутаев на плановый период 2020-2021 годов</t>
  </si>
  <si>
    <t>Распределение бюджетных ассигнований по программам и непрограммным расходам бюджета  городского поселения Тутаев на плановый период 2020-2021 годов</t>
  </si>
  <si>
    <t>Благоустройство и озеленение  территории городского поселения Тутаев</t>
  </si>
  <si>
    <t xml:space="preserve"> Дорожная деятельность в отношении дорожной сети   городского поселения Тутаев </t>
  </si>
  <si>
    <t>Предоставление поддержки  субъектам малого и среднего предпринимательства городского поселения Тутаев</t>
  </si>
  <si>
    <t>01.0.01</t>
  </si>
  <si>
    <t>02.0.01</t>
  </si>
  <si>
    <t>01.0.02</t>
  </si>
  <si>
    <t>02.0.02</t>
  </si>
  <si>
    <t>Реализация мероприятий губернаторского проекта "Решаем вместе!" (инициативное бюджетирование)</t>
  </si>
  <si>
    <t>05.0.01</t>
  </si>
  <si>
    <t>03.0.01</t>
  </si>
  <si>
    <t>07.0.01</t>
  </si>
  <si>
    <t>40.0.00</t>
  </si>
  <si>
    <t>03.0.02</t>
  </si>
  <si>
    <t>L4976</t>
  </si>
  <si>
    <t>Обеспечение  мероприятий по поддержке молодых семей в приобретении (строительстве) жилья</t>
  </si>
  <si>
    <t>L5556</t>
  </si>
  <si>
    <t>L5606</t>
  </si>
  <si>
    <t>75876</t>
  </si>
  <si>
    <t>71236</t>
  </si>
  <si>
    <t>72446</t>
  </si>
  <si>
    <t>73266</t>
  </si>
  <si>
    <t>73906</t>
  </si>
  <si>
    <t>75356</t>
  </si>
  <si>
    <t>Расходы на реализацию мероприятий инициативного бюджетирования на территории Ярославской области</t>
  </si>
  <si>
    <t>75556</t>
  </si>
  <si>
    <t>Реализация мероприятий   по  формированию современной городской среды</t>
  </si>
  <si>
    <t>75626</t>
  </si>
  <si>
    <t>71756</t>
  </si>
  <si>
    <t xml:space="preserve">Обеспечение реализации мероприятий по созданию условий для развития инфраструктуры досуга и отдыха на территории муниципальных образований Ярославской области 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</si>
  <si>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</si>
  <si>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</si>
  <si>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Межбюджетные трансферты на обеспечение мероприятий,  связанные с выполнением полномочий ОМС МО  по тепло-, водоснабжению и водоотведению</t>
  </si>
  <si>
    <t xml:space="preserve">Межбюджетные трансферты на обеспечение мероприятий по строительству,  реконструкции и ремонту  объектов водоснабжения и водоотведения </t>
  </si>
  <si>
    <t>Межбюджетные трансферты на обеспечение   мероприятий в области  дорожного хозяйства  на строительство и  модернизацию автомобильных дорог</t>
  </si>
  <si>
    <t>Межбюджетные трансферты на обеспечение   мероприятий в области  дорожного хозяйства  на  ремонт и содержание автомобильных дорог</t>
  </si>
  <si>
    <t xml:space="preserve">Межбюджетные трансферты на обеспечение мероприятий в области дорожного хозяйства по строительству светофорных объектов </t>
  </si>
  <si>
    <t xml:space="preserve">Межбюджетные трансферты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</si>
  <si>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Межбюджетные трансферты на обеспечение мероприятий по переселению граждан из аварийного жилищного фонда за счет средств бюджета поселения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</si>
  <si>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</si>
  <si>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 обеспечение мероприятий по организации населению услуг бань  в общих отделениях</t>
  </si>
  <si>
    <t xml:space="preserve">Межбюджетные трансферты на обеспечение культурно-досуговых мероприятий </t>
  </si>
  <si>
    <t>Межбюджетные трансферты на обеспечение  физкультурно-спортивных мероприятий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</si>
  <si>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</si>
  <si>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</si>
  <si>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внесению изменений в документы территориального планирования</t>
  </si>
  <si>
    <t>Межбюджетные трансферты на обеспечение мероприятий по выдаче градостроительных документов</t>
  </si>
  <si>
    <t>Межбюджетные трансферты на обеспечение мероприятий по  содержанию мест захоронения</t>
  </si>
  <si>
    <t>Межбюджетные трансферты на обеспечение мероприятий  по работе с детьми и молодежью</t>
  </si>
  <si>
    <t>Межбюджетные трансферты на обеспечение мероприятий по поддержке СМИ</t>
  </si>
  <si>
    <t>Межбюджетные трансферты на обеспечение мероприятий по содержанию,  реконструкции и капитальному ремонту муниципального жилищного фонда</t>
  </si>
  <si>
    <t>Межбюджетные трансферты на обеспечение мероприятий по осуществлению внешнего муниципального контроля</t>
  </si>
  <si>
    <t>Межбюджетные трансферты на 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</si>
  <si>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Межбюджетные трансферты на 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</si>
  <si>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Межбюджетные трансферты на 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</si>
  <si>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Межбюджетные трансферты на обеспечение мероприятий по строительству  спортивных объектов</t>
  </si>
  <si>
    <t xml:space="preserve">Межбюджетные трансферты на обеспечение мероприятий по начислению и сбору платы за найм муниципального жилищного фонда </t>
  </si>
  <si>
    <t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t>
  </si>
  <si>
    <t>Межбюджетные трансферты на обеспечение мероприятий по защите от чрезвычайных ситуаций природного и техногенного характера</t>
  </si>
  <si>
    <t xml:space="preserve"> Межбюджетные трансферты на обеспечение мероприятий по строительству и реконструкции  памятников</t>
  </si>
  <si>
    <t>Межбюджетные трансферты на обеспечение деятельности народных дружин</t>
  </si>
  <si>
    <t xml:space="preserve">Межбюджетные трансферты на обеспечение мероприятий в области дорожного хозяйства по ремонту дворовых территорий </t>
  </si>
  <si>
    <t>Межбюджетные трансферты на обеспечение мероприятий по строительству, реконструкции и ремонту общественных туалетов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</si>
  <si>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</si>
  <si>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мероприятий по организации населению услуг торговли</t>
  </si>
  <si>
    <t>Межбюджетные трансферты на обеспечение участия  по  сбору   и  транспортированию ТКО и КГО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</si>
  <si>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</si>
  <si>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обеспечение мероприятий по оптимизации теплоснабжения с переводом объектов на индивидуальное отопление</t>
  </si>
  <si>
    <t>Межбюджетные трансферты на обеспечение мероприятий по строительству канатной дороги через р. Волга</t>
  </si>
  <si>
    <t>Межбюджетные трансферты на обеспечение мероприятий по переработке и утилизации ливневых стоков</t>
  </si>
  <si>
    <t>Межбюджетные трансферты на обеспечение мероприятий  по разработке программы транспортной инфраструктуры</t>
  </si>
  <si>
    <t>Межбюджетные трансферты на обеспечение мероприятий по актуализации схем водоснабжения и водоотведения</t>
  </si>
  <si>
    <t>Межбюджетные трансферты на обеспечение мероприятий по формированию современной городской среды в области дорожного хозяйства</t>
  </si>
  <si>
    <t>Межбюджетные трансферты на обеспечение мероприятий по актуализации  границ  особо охраняемых объектов -  памятников природы</t>
  </si>
  <si>
    <t>Межбюджетные трансферты на обеспечение содержания и организации деятельности в области  дорожного хозяйства</t>
  </si>
  <si>
    <t>Межбюджетные трансферты на обеспечение надежного теплоснабжения жилищного фонда городского поселения Тутаев</t>
  </si>
  <si>
    <t>Межбюджетные трансферты на обеспечение мероприятий  по разработке программы коммунальной  инфраструктуры</t>
  </si>
  <si>
    <t>Межбюджетные трансферты на обеспечение мероприятий по разработке схем организации дорожного движения в рамках агломерации "Ярославская"</t>
  </si>
  <si>
    <t>Межбюджетные трансферты на обеспечение мероприятий в области дорожного хозяйства по инициативному бюджетированию</t>
  </si>
  <si>
    <t>Межбюджетные трансферты на обеспечение мероприятий в области благоустройства  по инициативному  бюджетированию</t>
  </si>
  <si>
    <t>Обеспечение  софинансирования мероприятий по обустройству мест массового отдыха</t>
  </si>
  <si>
    <t xml:space="preserve">Обеспечение софинансирования мероприятий по  формированию современной городской среды </t>
  </si>
  <si>
    <t>Обеспечение софинансирования государственной поддержки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</si>
  <si>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02.0.03</t>
  </si>
  <si>
    <t>Содержание и благоустройство мест захоронений</t>
  </si>
  <si>
    <t>07.0.1</t>
  </si>
  <si>
    <t>Межбюджетные трансферты на обеспечение мероприятий в области сохранения и восстановления исторического облика населенных пунктов поселений, объектов культурного наследия</t>
  </si>
  <si>
    <t>Межбюджетные трансферты на обеспечение мероприятий в рамках реализации проекта "Сохранение и развитие малых исторических городов и поселений"</t>
  </si>
  <si>
    <t>Содержание Председателя Муниципального Совета городского поселения Тутаев</t>
  </si>
  <si>
    <t>Дополнительное пенсионное обеспечение муниципальных служащих городского поселения Тутаев</t>
  </si>
  <si>
    <t>Взнос на капитальный  ремонт  жилых помещений муниципального жилищного фонда</t>
  </si>
  <si>
    <t>Ежегодная премия лицам удостоившихся звания "Почетный гражданин города Тутаева"</t>
  </si>
  <si>
    <t>Выплаты по обязательствам муниципального образования</t>
  </si>
  <si>
    <t>Обеспечение мероприятий по землеустройству и землепользованию, определению кадастровой стоимости и приобретению прав собственности</t>
  </si>
  <si>
    <t>Обеспечение проведения выборов в представительный орган городского поселения Тутаев</t>
  </si>
  <si>
    <t>Обеспечение деятельности народных дружин</t>
  </si>
  <si>
    <t>Обеспечение  культурно-массовых мероприятий городского поселения Тутаев</t>
  </si>
  <si>
    <t xml:space="preserve">Поддержка  социально ориентированных некоммерческих организаций </t>
  </si>
  <si>
    <t>Обеспечение   первичных мер пожарной безопасности в границах городского поселения Тутаев</t>
  </si>
  <si>
    <t>Расходы на реализацию мероприятий по предоставлению молодым семьям, проживающим на территории городского поселения Тутаев, социальных выплат на приобретение (строительство) жилья</t>
  </si>
  <si>
    <t xml:space="preserve">Межбюджетные трансферты на строительство и реконструкцию  объектов  газификации 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</si>
  <si>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</si>
  <si>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Обеспечение мероприятий по  предупреждению и ликвидации последствий чрезвычайных ситуаций в границах поселения</t>
  </si>
  <si>
    <t xml:space="preserve">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</si>
  <si>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Расходы на реализацию мероприятий по поддержке граждан, проживающих на территории городского поселения Тутаев, в сфере ипотечного жилищного кредитования</t>
  </si>
  <si>
    <t>Обслуживание внутренних долговых обязательств</t>
  </si>
  <si>
    <t>Реализация задач по государственной поддержке граждан проживающих на территории ЯО, в сфере ипотечного кредитования</t>
  </si>
  <si>
    <t>Реализация мероприятий  предусмотренных НПА ЯО</t>
  </si>
  <si>
    <t>Комплексное развитие транспортной инфраструктуры городской агломерации «Ярославская»</t>
  </si>
  <si>
    <t>Обеспечение мероприятий по капитальному ремонту и ремонту дорожных объектов муниципальной собственности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</si>
  <si>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</si>
  <si>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Содержание имущества казны городского поселения Тутаев</t>
  </si>
  <si>
    <t>Межбюджетные трансферты на дополнительное пенсионное  обеспечение муниципальных служащих городского поселения Тутаев</t>
  </si>
  <si>
    <t xml:space="preserve"> Обеспечение благоустроенным  жильем граждан переселяемых из  непригодного для проживания жилищного фонда городского поселения Тутаев</t>
  </si>
  <si>
    <t xml:space="preserve">Обеспечение  жильем граждан  городского поселения Тутаев </t>
  </si>
  <si>
    <t>08.0.00</t>
  </si>
  <si>
    <t>08.0.01</t>
  </si>
  <si>
    <t>Обеспечение развития и доступности банных услуг для всех категорий граждан  городского поселения Тутаев</t>
  </si>
  <si>
    <t>Межбюджетные трансферты на обеспечение мероприятий  по землеустройству и землепользованию,   определению кадастровой стоимости и приобретению прав собственности на землю</t>
  </si>
  <si>
    <t>Муниципальный Совет городского поселения Тутаев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</si>
  <si>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</si>
  <si>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</si>
  <si>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</si>
  <si>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</si>
  <si>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</si>
  <si>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</si>
  <si>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</si>
  <si>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</si>
  <si>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</si>
  <si>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</si>
  <si>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</si>
  <si>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</t>
  </si>
  <si>
    <t>410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</si>
  <si>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</si>
  <si>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</si>
  <si>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</si>
  <si>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</si>
  <si>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180</t>
  </si>
  <si>
    <t>05013</t>
  </si>
  <si>
    <t>Дотации бюджетам бюджетной системы Российской Федерации</t>
  </si>
  <si>
    <t>150</t>
  </si>
  <si>
    <t>Дотации на выравнивание бюджетной обеспеченности</t>
  </si>
  <si>
    <t>Повышение  уровня благоустройства  мест массового отдыха  населения (городских парков)</t>
  </si>
  <si>
    <t>Межбюджетные трансферты на обеспечение  мероприятий программы "Улучшение условий проживания отдельных категорий граждан, нуждающихся в специальной социальной защите</t>
  </si>
  <si>
    <t xml:space="preserve">Межбюджетные трансферты на содержание органов местного самоуправления </t>
  </si>
  <si>
    <t>Обеспечение мероприятий по охране окружающей среды и природопользования на территории городского поселения Тутаев</t>
  </si>
  <si>
    <t xml:space="preserve">Поддержка граждан, проживающих на территории городского поселения Тутаев, в сфере ипотечного жилищного кредитования </t>
  </si>
  <si>
    <t>Обеспечение мероприятий по разработке и  внесению изменений в правила землепользования и застройки</t>
  </si>
  <si>
    <t>Межбюджетные трансферты на обеспечение мероприятий по  формированию современной городской среды  в области благоустройства</t>
  </si>
  <si>
    <t>Обеспечение мероприятий в области сохранения и восстановления исторического облика г. Тутаев, создание зон охраны объектов культурного наследия</t>
  </si>
  <si>
    <t>2 02 25497 13 0000 150</t>
  </si>
  <si>
    <t>Субсидия бюджетам городских поселений на реализацию мероприятий по обеспечению жильем молодых семей</t>
  </si>
  <si>
    <t>2 02 25527 13 0000 150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</si>
  <si>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</si>
  <si>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</si>
  <si>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</si>
  <si>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2 02 25560 13 0000 150</t>
  </si>
  <si>
    <t>Субсидии бюджетам городских поселений  на поддержку обустройства мест массового отдыха населения (городских парков)</t>
  </si>
  <si>
    <t>2 19 25497 13 0000 150</t>
  </si>
  <si>
    <t>Возврат остатков субсидий на реализацию мероприятий по обеспечению жильем молодых семей из бюджетов городских поселений</t>
  </si>
  <si>
    <t xml:space="preserve">2 19 25527 13 0000 150
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</si>
  <si>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городских поселений</t>
  </si>
  <si>
    <t>2 19 25555 13 0000 150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</si>
  <si>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</si>
  <si>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2 19 25560 13 0000 150</t>
  </si>
  <si>
    <t>Возврат остатков субсидий на поддержку обустройства мест массового отдыха населения (городских парков) из бюджетов городских поселений</t>
  </si>
  <si>
    <t xml:space="preserve">  1 17 01050 13 0000 180</t>
  </si>
  <si>
    <t xml:space="preserve">  2 02 15001 13 0000 150</t>
  </si>
  <si>
    <t xml:space="preserve">  2 02 19999 13 0000 150</t>
  </si>
  <si>
    <t xml:space="preserve">  2 08 05000 13 0000 150</t>
  </si>
  <si>
    <t>00.0.00</t>
  </si>
  <si>
    <t>Обеспечение мероприятий по организации населению услуг бань в общих отделениях</t>
  </si>
  <si>
    <t>000 01 02 00 00 00 0000 700</t>
  </si>
  <si>
    <t xml:space="preserve">Получение кредитов от кредитных организаций в валюте Российской Федерации
</t>
  </si>
  <si>
    <t>950 01 02 00 00 13 0000 710</t>
  </si>
  <si>
    <t>Получение кредитов от кредитных организаций бюджетами городских поселений в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</si>
  <si>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</si>
  <si>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</si>
  <si>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950 01 02 00 00 13 0000 810</t>
  </si>
  <si>
    <t xml:space="preserve">Погашение бюджетами  городских поселений кредитов от кредитных организаций в валюте Российской Федерации
</t>
  </si>
  <si>
    <t xml:space="preserve">Бюджетные кредиты от других бюджетов бюджетной системы Российской Федерации </t>
  </si>
  <si>
    <t>000 01 03 01 00 00 0000 700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</si>
  <si>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</si>
  <si>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000 01 03 01 00 13 4620 710</t>
  </si>
  <si>
    <t xml:space="preserve">Получение кредитов от других бюджетов бюджетной системы Российской Федерации бюджетами городских  поселений в валюте Российской Федерации
</t>
  </si>
  <si>
    <t>000 01 03 01 00 00 0000 800</t>
  </si>
  <si>
    <t>000 01 03 01 00 13 4620 810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</si>
  <si>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</si>
  <si>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Изменение остатков средств на счетах по учёту средств бюджетов
</t>
  </si>
  <si>
    <t>000  01 05 02 01 13 0000 510</t>
  </si>
  <si>
    <t xml:space="preserve">Увеличение прочих остатков денежных средств бюджетов  городских поселений
</t>
  </si>
  <si>
    <t>000  01 05 02 01 13 0000 610</t>
  </si>
  <si>
    <t>Уменьшение прочих остатков денежных средств бюджетов  городских поселений</t>
  </si>
  <si>
    <t>Всего расходов</t>
  </si>
  <si>
    <t>01 02 00 00 13 0000 710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</si>
  <si>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</si>
  <si>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</si>
  <si>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>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</si>
  <si>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</si>
  <si>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</si>
  <si>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</si>
  <si>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</si>
  <si>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</si>
  <si>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</si>
  <si>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</si>
  <si>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 xml:space="preserve">2. Предельные размеры </t>
  </si>
  <si>
    <t>на 01.01.2022</t>
  </si>
  <si>
    <t>Межбюджетные трансферты на обеспечение софинансирования мероприятий в сфере ипотечного кредитования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</si>
  <si>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</si>
  <si>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Межбюджетные трансферты на обеспечение  мероприятий по  разработке схем организации дорожного движения в рамках агломерации "Ярославская"</t>
  </si>
  <si>
    <t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t>
  </si>
  <si>
    <t>Межбюджетные трансферты на обеспечение  софинансирования мероприятий по капитальному ремонту и ремонту дорожных объектов муниципальной собственности</t>
  </si>
  <si>
    <t>Перечень главных администраторов доходов бюджета городского поселения Тутаев и закрепляемые за ними источники доходов бюджета городского поселения Тутаев</t>
  </si>
  <si>
    <t>2020 год  Сумма, руб.</t>
  </si>
  <si>
    <t>2021 год  Сумма, руб.</t>
  </si>
  <si>
    <t>2020 год Сумма, руб.</t>
  </si>
  <si>
    <t>3. Информация об объеме и структуре муниципального долга  городского поселения Тутаев</t>
  </si>
  <si>
    <t>2021 год Сумма, руб.</t>
  </si>
  <si>
    <t xml:space="preserve">1. Муниципальные внутренние заимствования, осуществляемые  городским поселением Тутаев  </t>
  </si>
  <si>
    <t>Перечень главных администраторов источников финансирования дефицита бюджета городского поселения Тутаев и закрепляемые за ними источники финансирования дефицита бюджета городского поселения Тутаев</t>
  </si>
  <si>
    <t xml:space="preserve">Межбюджетные трансферты на обеспечение мероприятий по  формированию современной городской среды </t>
  </si>
  <si>
    <t>09.0.00</t>
  </si>
  <si>
    <t>09.0.01</t>
  </si>
  <si>
    <t>09.0.02</t>
  </si>
  <si>
    <t>Проведение историко-культурной экспертизы объектов культурного наследия</t>
  </si>
  <si>
    <t>10.0.00</t>
  </si>
  <si>
    <t>10.0.01</t>
  </si>
  <si>
    <t>10.0.02</t>
  </si>
  <si>
    <t>Внесение изменений в документы территориального планирования и градостроительного зонирования городского поселения Тутаев</t>
  </si>
  <si>
    <t>Приложение 10</t>
  </si>
  <si>
    <t>L5270</t>
  </si>
  <si>
    <t>от "21" февраля 2019 г. № ____</t>
  </si>
  <si>
    <t>Налоговые и неналоговые доходы, из них: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</si>
  <si>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</si>
  <si>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950</t>
  </si>
  <si>
    <t>45</t>
  </si>
  <si>
    <t>393</t>
  </si>
  <si>
    <t>40</t>
  </si>
  <si>
    <t>Иные межбюджетные трансферты</t>
  </si>
  <si>
    <t>Реализация проектов создания комфортной городской среды в малых городах и исторических поселениях</t>
  </si>
  <si>
    <t>01.0.03</t>
  </si>
  <si>
    <t>01.0.F2</t>
  </si>
  <si>
    <t>Межбюджетные трансферты на создания комфортной городской среды в малых городах и исторических поселениях</t>
  </si>
  <si>
    <t xml:space="preserve">Межбюджетные трансферты на реализацию регионального проекта "Формирования современной городской среды" </t>
  </si>
  <si>
    <t>424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</si>
  <si>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</si>
  <si>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</t>
  </si>
  <si>
    <t>Субсидии бюджетам бюджетной системы Российской Федерации (межбюджетные субсидии)</t>
  </si>
  <si>
    <t>Межбюджетные трансферты на обеспечение  обязательств  по содержанию казны поселения</t>
  </si>
  <si>
    <t xml:space="preserve">на 01.01.2019 </t>
  </si>
  <si>
    <t xml:space="preserve">Финансирование дорожного хозяйства </t>
  </si>
  <si>
    <t>Реализация   проекта "Формирование комфортной городской среды"</t>
  </si>
  <si>
    <t>от "____" ______________ 2019 г. № _____</t>
  </si>
  <si>
    <t>002</t>
  </si>
  <si>
    <t>Дотации бюджетам на поддержку мер по обеспечению сбалансированности бюджетов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</si>
  <si>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</si>
  <si>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</si>
  <si>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</si>
  <si>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>497</t>
  </si>
  <si>
    <t>Субсидии бюджетам городских поселений на реализацию мероприятий по обеспечению жильем молодых семей</t>
  </si>
  <si>
    <t>07</t>
  </si>
  <si>
    <t>030</t>
  </si>
  <si>
    <t>0381</t>
  </si>
  <si>
    <t>0379</t>
  </si>
  <si>
    <t>0355</t>
  </si>
  <si>
    <t>Безвозмездные поступления на комплексное благоустройство дворовой территории многоквартирных домов г. Тутаев, ул. Моторостроителей, д. 64, 68, 70</t>
  </si>
  <si>
    <t>Безвозмездные поступления на комплексное благоустройство дворовой территории многоквартирных домов г. Тутаев, ул. Панина</t>
  </si>
  <si>
    <t>Безвозмездные поступления на комплексное благоустройство дворовой территории многоквартирных домов г. Тутаев, ул. Дементьева, д. 20, 22</t>
  </si>
  <si>
    <t>Прочие безвозмездные поступления</t>
  </si>
  <si>
    <t>Прочие безвозмездные поступления в бюджеты городских поселений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</si>
  <si>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</si>
  <si>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Приобретение объектов недвижимого имущества в муниципальную собственность</t>
  </si>
  <si>
    <t>Муниципальная программа "Благоустройство и озеленение территории городского поселения Тутаев"</t>
  </si>
  <si>
    <t>Муниципальная программа "Развитие субъектов малого и среднего предпринимательства городского поселения Тутаев"</t>
  </si>
  <si>
    <t>Муниципальная   программа "Переселение граждан из  жилищного фонда, признанного непригодным для проживания, и (или)  жилищного фонда с высоким уровнем износа на территории городского поселения Тутаев"</t>
  </si>
  <si>
    <t xml:space="preserve">Муниципальная программа "Предоставление молодым семьям социальных выплат на приобретение (строительство) жилья" </t>
  </si>
  <si>
    <t xml:space="preserve">Муниципальная программа "Обеспечение населения городского поселения Тутаев банными услугами" </t>
  </si>
  <si>
    <t xml:space="preserve">Муниципальная программа "Градостроительная деятельность на территории городского поселения Тутаев" </t>
  </si>
  <si>
    <t xml:space="preserve">Муниципальная программа "Сохранение, использование и популяризация объектов культурного наследия на территории городского поселения Тутаев" </t>
  </si>
  <si>
    <t xml:space="preserve">Муниципальная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t>
  </si>
  <si>
    <t>Разработка и актуализация схем инженерного обеспечения территории городского поселения Тутаев</t>
  </si>
  <si>
    <t>Разработка, согласование, утверждение проекта зон охраны объектов культурного наследия</t>
  </si>
  <si>
    <t>Программные расходы бюджета</t>
  </si>
  <si>
    <t xml:space="preserve">Муниципальная программа "Формирование современной городской среды на территории городского поселения Тутаев"
</t>
  </si>
  <si>
    <t>Поддержка молодых семей в приобретении (строительстве) жилья на территории городского поселения Тутаев</t>
  </si>
  <si>
    <t xml:space="preserve">Обеспечение мероприятий по разработке и  актуализации схем инженерного обеспечения  </t>
  </si>
  <si>
    <t>Обеспечение мероприятий по актуализации схем теплоснабжения и водоснабжения</t>
  </si>
  <si>
    <t>Обеспечение мероприятий по получению  технических паспортов  МКД, которые признаны аварийными и подлежащими сносу</t>
  </si>
  <si>
    <t>Межбюджетные трансферты на обеспечение мероприятий по улучшение жилищных условий молодых семей , проживающих и на территории Ярославской области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</si>
  <si>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</si>
  <si>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обеспечение мероприятий по обеспечению безопасности людей на водных объектах, охране их жизни и здоровья</t>
  </si>
  <si>
    <t>Межбюджетные трансферты на обеспечение мероприятий по актуализации схем теплоснабжения</t>
  </si>
  <si>
    <t>Межбюджетные трансферты на обеспечение мероприятий по содержанию  военно- мемориального комплекса пл. Юности</t>
  </si>
  <si>
    <t xml:space="preserve">Муниципальная программа "Развитие и содержание дорожного хозяйства на территории  городского поселения Тутаев"
</t>
  </si>
  <si>
    <t>от "18" апреля 2019 г. № 33</t>
  </si>
  <si>
    <t>Тутаевского муниципального района</t>
  </si>
  <si>
    <t xml:space="preserve"> Исполнение доходов бюджета городского поселения Тутаев за 1 полугодие 2019 года в соответствии с классификацией доходов бюджетов Российской Федерации</t>
  </si>
  <si>
    <t>Исполнение  расходной части бюджета  городского поселения Тутаев по разделам и подразделам классификации расходов бюджетов Российской Федерации за 1 полугодие  2019 года</t>
  </si>
  <si>
    <t>Приложение 6</t>
  </si>
  <si>
    <t>Исполнение бюджета городского поселения Тутаев по программам и непрограммным расходам бюджета за 1 полугодие 2019 года</t>
  </si>
  <si>
    <t>Исполнение общего объема иных межбюджетных трансфертов, предоставляемых из бюджета городского поселения Тутаев бюджету Тутаевского муниципального района по направлениям использования за 1 полугодие 2019 года</t>
  </si>
  <si>
    <t>Доходы от сдачи в аренду имущества, составляющего казну городских поселений (за исключением земельных участков)</t>
  </si>
  <si>
    <t>070</t>
  </si>
  <si>
    <t>041</t>
  </si>
  <si>
    <t>29</t>
  </si>
  <si>
    <t>999</t>
  </si>
  <si>
    <t>Прочие субсидии бюджетам городских поселений</t>
  </si>
  <si>
    <t>18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</si>
  <si>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</si>
  <si>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</si>
  <si>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</si>
  <si>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</si>
  <si>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19</t>
  </si>
  <si>
    <t>064</t>
  </si>
  <si>
    <t>527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</si>
  <si>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</si>
  <si>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</si>
  <si>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</si>
  <si>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 xml:space="preserve"> Плановая сумма, руб.</t>
  </si>
  <si>
    <t>Остаток, руб.</t>
  </si>
  <si>
    <t>Основные характеристики бюджета городского поселения Тутаев за 1 полугодие 2019 года</t>
  </si>
  <si>
    <t>Источники внутреннего финансирования дефицита бюджета городского поселения Тутаев за  1 полугодие 2019 года</t>
  </si>
  <si>
    <t>Исполнение ведомственной структуры расходной части  бюджета  городского поселения Тутаев                                                                                                                        за 1 полугодие 2019 года</t>
  </si>
  <si>
    <t>Фактическое исполнение  за  1 полугодие 2019 года, руб.</t>
  </si>
  <si>
    <t>к постановлению Администрации</t>
  </si>
  <si>
    <t>План на  2019 год, руб.</t>
  </si>
  <si>
    <t xml:space="preserve">к постановлению Администрации </t>
  </si>
  <si>
    <t xml:space="preserve">                                                                               Фактическое исполнение  за  1 полугодие 2019 года, руб.</t>
  </si>
  <si>
    <t>от "__29__" июля 2019 г. № 541-п___</t>
  </si>
  <si>
    <t>от "___29_" июля 2019 г. № 541-п___</t>
  </si>
  <si>
    <t>от "__29__" июля 2019 г. № _541-п__</t>
  </si>
  <si>
    <t>от "_29___" июля 2019 г. № 541-п___</t>
  </si>
  <si>
    <t>от "_29___" июля 2019 г. № _541-п__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</si>
</sst>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0000"/>
    <numFmt numFmtId="166" formatCode="0.0%"/>
    <numFmt numFmtId="167" formatCode="000"/>
    <numFmt numFmtId="168" formatCode=";;"/>
  </numFmts>
  <fonts count="72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0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 Cyr"/>
      <charset val="204"/>
    </font>
    <font>
      <sz val="10"/>
      <name val="Times New Roman"/>
      <family val="1"/>
      <charset val="204"/>
    </font>
    <font>
      <sz val="12"/>
      <name val="Arial Cyr"/>
    </font>
    <font>
      <b/>
      <sz val="12"/>
      <color rgb="FFFF0000"/>
      <name val="Times New Roman Cy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Arial Cyr"/>
    </font>
    <font>
      <b/>
      <i/>
      <sz val="12"/>
      <color theme="1"/>
      <name val="Times New Roman Cyr"/>
      <charset val="204"/>
    </font>
    <font>
      <i/>
      <sz val="12"/>
      <color theme="1"/>
      <name val="Times New Roman Cyr"/>
      <charset val="204"/>
    </font>
    <font>
      <b/>
      <i/>
      <sz val="12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 Cyr"/>
    </font>
    <font>
      <b/>
      <sz val="11"/>
      <color theme="1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 Cyr"/>
    </font>
    <font>
      <b/>
      <sz val="11"/>
      <color theme="1"/>
      <name val="Times New Roman Cyr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</font>
    <font>
      <i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/>
        <bgColor theme="0" tint="-0.34998626667073579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/>
        <bgColor theme="3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0" tint="-0.14999847407452621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theme="3" tint="0.5999938962981048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3" tint="0.59996337778862885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2" tint="-9.9978637043366805E-2"/>
        <bgColor theme="0" tint="-0.14999847407452621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164" fontId="28" fillId="0" borderId="0"/>
    <xf numFmtId="0" fontId="1" fillId="0" borderId="0"/>
    <xf numFmtId="0" fontId="2" fillId="0" borderId="0"/>
    <xf numFmtId="0" fontId="3" fillId="0" borderId="0"/>
    <xf numFmtId="0" fontId="43" fillId="0" borderId="0"/>
    <xf numFmtId="0" fontId="28" fillId="0" borderId="0"/>
  </cellStyleXfs>
  <cellXfs count="733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49" fontId="7" fillId="0" borderId="0" xfId="0" applyNumberFormat="1" applyFont="1" applyAlignment="1">
      <alignment horizontal="center" vertical="justify"/>
    </xf>
    <xf numFmtId="49" fontId="9" fillId="0" borderId="0" xfId="0" applyNumberFormat="1" applyFont="1" applyAlignment="1">
      <alignment horizontal="center" vertical="justify" wrapText="1"/>
    </xf>
    <xf numFmtId="0" fontId="10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/>
    <xf numFmtId="0" fontId="12" fillId="0" borderId="3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3" fillId="0" borderId="9" xfId="0" applyFont="1" applyBorder="1" applyAlignment="1">
      <alignment horizontal="left" vertical="top" wrapText="1" indent="3"/>
    </xf>
    <xf numFmtId="0" fontId="3" fillId="0" borderId="9" xfId="0" applyFont="1" applyBorder="1" applyAlignment="1">
      <alignment horizontal="right" vertical="center" wrapText="1"/>
    </xf>
    <xf numFmtId="0" fontId="10" fillId="0" borderId="9" xfId="0" applyFont="1" applyBorder="1" applyAlignment="1">
      <alignment vertical="top" wrapText="1"/>
    </xf>
    <xf numFmtId="0" fontId="12" fillId="0" borderId="9" xfId="0" applyFont="1" applyBorder="1" applyAlignment="1">
      <alignment horizontal="left" vertical="top" wrapText="1" indent="1"/>
    </xf>
    <xf numFmtId="0" fontId="10" fillId="0" borderId="9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wrapText="1"/>
    </xf>
    <xf numFmtId="0" fontId="12" fillId="0" borderId="9" xfId="0" applyFont="1" applyBorder="1" applyAlignment="1">
      <alignment wrapText="1"/>
    </xf>
    <xf numFmtId="3" fontId="12" fillId="0" borderId="20" xfId="0" applyNumberFormat="1" applyFont="1" applyBorder="1" applyAlignment="1">
      <alignment horizontal="right" wrapText="1"/>
    </xf>
    <xf numFmtId="166" fontId="12" fillId="0" borderId="20" xfId="0" applyNumberFormat="1" applyFont="1" applyBorder="1" applyAlignment="1">
      <alignment horizontal="right" wrapText="1"/>
    </xf>
    <xf numFmtId="3" fontId="3" fillId="0" borderId="20" xfId="0" applyNumberFormat="1" applyFont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13" fillId="3" borderId="0" xfId="0" applyFont="1" applyFill="1"/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167" fontId="21" fillId="0" borderId="1" xfId="0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3" fontId="22" fillId="2" borderId="1" xfId="0" applyNumberFormat="1" applyFont="1" applyFill="1" applyBorder="1" applyAlignment="1">
      <alignment horizontal="right" vertical="center"/>
    </xf>
    <xf numFmtId="0" fontId="18" fillId="3" borderId="0" xfId="0" applyFont="1" applyFill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18" fillId="6" borderId="0" xfId="0" applyFont="1" applyFill="1"/>
    <xf numFmtId="49" fontId="5" fillId="0" borderId="3" xfId="0" applyNumberFormat="1" applyFont="1" applyBorder="1" applyAlignment="1">
      <alignment horizontal="left" vertical="top" wrapText="1"/>
    </xf>
    <xf numFmtId="0" fontId="25" fillId="6" borderId="0" xfId="0" applyFont="1" applyFill="1"/>
    <xf numFmtId="49" fontId="14" fillId="0" borderId="3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horizontal="right" vertical="top" wrapText="1"/>
    </xf>
    <xf numFmtId="49" fontId="14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3" fontId="3" fillId="0" borderId="1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right" vertical="top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49" fontId="3" fillId="4" borderId="6" xfId="0" applyNumberFormat="1" applyFont="1" applyFill="1" applyBorder="1" applyAlignment="1">
      <alignment horizontal="right" vertical="top" wrapText="1"/>
    </xf>
    <xf numFmtId="49" fontId="24" fillId="0" borderId="29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14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27" fillId="0" borderId="0" xfId="0" applyNumberFormat="1" applyFont="1" applyAlignment="1">
      <alignment horizontal="center"/>
    </xf>
    <xf numFmtId="168" fontId="27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8" fillId="0" borderId="0" xfId="0" applyFont="1"/>
    <xf numFmtId="167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8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65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65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3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49" fontId="3" fillId="0" borderId="5" xfId="0" applyNumberFormat="1" applyFont="1" applyBorder="1" applyAlignment="1">
      <alignment horizontal="center" wrapText="1"/>
    </xf>
    <xf numFmtId="3" fontId="22" fillId="7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3" fontId="22" fillId="9" borderId="1" xfId="0" applyNumberFormat="1" applyFont="1" applyFill="1" applyBorder="1" applyAlignment="1">
      <alignment horizontal="right" vertical="center"/>
    </xf>
    <xf numFmtId="3" fontId="22" fillId="10" borderId="1" xfId="0" applyNumberFormat="1" applyFont="1" applyFill="1" applyBorder="1" applyAlignment="1">
      <alignment horizontal="right" vertical="center"/>
    </xf>
    <xf numFmtId="0" fontId="6" fillId="10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left" vertical="center" wrapText="1"/>
    </xf>
    <xf numFmtId="3" fontId="19" fillId="9" borderId="1" xfId="0" applyNumberFormat="1" applyFont="1" applyFill="1" applyBorder="1" applyAlignment="1">
      <alignment horizontal="right" vertical="center"/>
    </xf>
    <xf numFmtId="3" fontId="22" fillId="11" borderId="1" xfId="0" applyNumberFormat="1" applyFont="1" applyFill="1" applyBorder="1" applyAlignment="1">
      <alignment horizontal="right" vertical="center"/>
    </xf>
    <xf numFmtId="0" fontId="3" fillId="1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12" borderId="0" xfId="0" applyFill="1"/>
    <xf numFmtId="0" fontId="4" fillId="10" borderId="0" xfId="0" applyFont="1" applyFill="1" applyAlignment="1">
      <alignment horizontal="center"/>
    </xf>
    <xf numFmtId="0" fontId="3" fillId="10" borderId="0" xfId="0" applyFont="1" applyFill="1" applyAlignment="1">
      <alignment horizontal="left"/>
    </xf>
    <xf numFmtId="0" fontId="3" fillId="10" borderId="0" xfId="0" applyFont="1" applyFill="1" applyAlignment="1">
      <alignment horizontal="center"/>
    </xf>
    <xf numFmtId="49" fontId="13" fillId="10" borderId="1" xfId="0" applyNumberFormat="1" applyFont="1" applyFill="1" applyBorder="1" applyAlignment="1">
      <alignment horizontal="center" vertical="center" textRotation="90"/>
    </xf>
    <xf numFmtId="49" fontId="13" fillId="10" borderId="1" xfId="0" applyNumberFormat="1" applyFont="1" applyFill="1" applyBorder="1" applyAlignment="1">
      <alignment horizontal="center" vertical="center" textRotation="90" wrapText="1"/>
    </xf>
    <xf numFmtId="49" fontId="13" fillId="10" borderId="1" xfId="0" applyNumberFormat="1" applyFont="1" applyFill="1" applyBorder="1" applyAlignment="1">
      <alignment horizontal="left" vertical="center" textRotation="90"/>
    </xf>
    <xf numFmtId="0" fontId="5" fillId="10" borderId="1" xfId="0" applyFont="1" applyFill="1" applyBorder="1" applyAlignment="1">
      <alignment horizontal="left" vertical="top" wrapText="1"/>
    </xf>
    <xf numFmtId="3" fontId="5" fillId="10" borderId="1" xfId="1" applyNumberFormat="1" applyFont="1" applyFill="1" applyBorder="1" applyAlignment="1">
      <alignment horizontal="right" vertical="center" wrapText="1"/>
    </xf>
    <xf numFmtId="3" fontId="3" fillId="10" borderId="1" xfId="1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/>
    </xf>
    <xf numFmtId="3" fontId="14" fillId="10" borderId="1" xfId="0" applyNumberFormat="1" applyFont="1" applyFill="1" applyBorder="1" applyAlignment="1">
      <alignment horizontal="right" vertical="center"/>
    </xf>
    <xf numFmtId="3" fontId="14" fillId="10" borderId="1" xfId="1" applyNumberFormat="1" applyFont="1" applyFill="1" applyBorder="1" applyAlignment="1">
      <alignment horizontal="right" vertical="center" wrapText="1"/>
    </xf>
    <xf numFmtId="3" fontId="3" fillId="10" borderId="1" xfId="0" applyNumberFormat="1" applyFont="1" applyFill="1" applyBorder="1" applyAlignment="1">
      <alignment horizontal="right" vertical="center"/>
    </xf>
    <xf numFmtId="3" fontId="15" fillId="10" borderId="1" xfId="0" applyNumberFormat="1" applyFont="1" applyFill="1" applyBorder="1" applyAlignment="1">
      <alignment horizontal="right" vertical="center"/>
    </xf>
    <xf numFmtId="3" fontId="19" fillId="10" borderId="1" xfId="0" applyNumberFormat="1" applyFont="1" applyFill="1" applyBorder="1" applyAlignment="1">
      <alignment horizontal="right" vertical="center"/>
    </xf>
    <xf numFmtId="3" fontId="19" fillId="13" borderId="1" xfId="0" applyNumberFormat="1" applyFont="1" applyFill="1" applyBorder="1" applyAlignment="1">
      <alignment horizontal="right" vertical="center"/>
    </xf>
    <xf numFmtId="3" fontId="22" fillId="14" borderId="1" xfId="0" applyNumberFormat="1" applyFont="1" applyFill="1" applyBorder="1" applyAlignment="1">
      <alignment horizontal="right" vertical="center"/>
    </xf>
    <xf numFmtId="0" fontId="0" fillId="16" borderId="0" xfId="0" applyFill="1"/>
    <xf numFmtId="0" fontId="3" fillId="15" borderId="0" xfId="0" applyFont="1" applyFill="1" applyAlignment="1" applyProtection="1">
      <alignment wrapText="1"/>
      <protection locked="0"/>
    </xf>
    <xf numFmtId="0" fontId="3" fillId="15" borderId="0" xfId="0" applyFont="1" applyFill="1" applyAlignment="1" applyProtection="1">
      <alignment horizontal="center" wrapText="1"/>
      <protection locked="0"/>
    </xf>
    <xf numFmtId="3" fontId="32" fillId="10" borderId="1" xfId="0" applyNumberFormat="1" applyFont="1" applyFill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horizontal="left" vertical="top" wrapText="1"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 wrapText="1"/>
    </xf>
    <xf numFmtId="3" fontId="38" fillId="0" borderId="1" xfId="0" applyNumberFormat="1" applyFont="1" applyFill="1" applyBorder="1" applyAlignment="1">
      <alignment horizontal="center" vertical="center" wrapText="1"/>
    </xf>
    <xf numFmtId="3" fontId="38" fillId="0" borderId="36" xfId="0" applyNumberFormat="1" applyFont="1" applyFill="1" applyBorder="1" applyAlignment="1">
      <alignment horizontal="center" vertical="center" wrapText="1"/>
    </xf>
    <xf numFmtId="0" fontId="3" fillId="10" borderId="4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7" fillId="0" borderId="28" xfId="0" applyFont="1" applyFill="1" applyBorder="1" applyAlignment="1">
      <alignment horizontal="center" vertical="center" wrapText="1"/>
    </xf>
    <xf numFmtId="3" fontId="36" fillId="0" borderId="1" xfId="0" applyNumberFormat="1" applyFont="1" applyFill="1" applyBorder="1" applyAlignment="1">
      <alignment horizontal="center" vertical="center"/>
    </xf>
    <xf numFmtId="3" fontId="36" fillId="0" borderId="36" xfId="0" applyNumberFormat="1" applyFont="1" applyFill="1" applyBorder="1" applyAlignment="1">
      <alignment horizontal="center" vertical="center"/>
    </xf>
    <xf numFmtId="3" fontId="37" fillId="0" borderId="31" xfId="0" applyNumberFormat="1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40" fillId="10" borderId="5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0" fillId="10" borderId="36" xfId="0" applyFont="1" applyFill="1" applyBorder="1" applyAlignment="1">
      <alignment horizontal="center" vertical="top" wrapText="1"/>
    </xf>
    <xf numFmtId="0" fontId="31" fillId="10" borderId="36" xfId="0" applyFont="1" applyFill="1" applyBorder="1" applyAlignment="1">
      <alignment horizontal="center" vertical="center" wrapText="1"/>
    </xf>
    <xf numFmtId="0" fontId="40" fillId="10" borderId="3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42" fillId="10" borderId="5" xfId="0" applyFont="1" applyFill="1" applyBorder="1" applyAlignment="1">
      <alignment horizontal="center" vertical="center" wrapText="1"/>
    </xf>
    <xf numFmtId="0" fontId="42" fillId="10" borderId="36" xfId="0" applyFont="1" applyFill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49" fontId="3" fillId="10" borderId="36" xfId="0" applyNumberFormat="1" applyFont="1" applyFill="1" applyBorder="1" applyAlignment="1">
      <alignment horizontal="left" vertical="top" wrapText="1"/>
    </xf>
    <xf numFmtId="0" fontId="41" fillId="10" borderId="36" xfId="0" applyFont="1" applyFill="1" applyBorder="1" applyAlignment="1">
      <alignment horizontal="left" vertical="center" wrapText="1"/>
    </xf>
    <xf numFmtId="49" fontId="41" fillId="10" borderId="36" xfId="0" applyNumberFormat="1" applyFont="1" applyFill="1" applyBorder="1" applyAlignment="1">
      <alignment horizontal="left" vertical="center" wrapText="1"/>
    </xf>
    <xf numFmtId="49" fontId="29" fillId="10" borderId="36" xfId="0" applyNumberFormat="1" applyFont="1" applyFill="1" applyBorder="1" applyAlignment="1">
      <alignment horizontal="left" vertical="center" wrapText="1"/>
    </xf>
    <xf numFmtId="1" fontId="19" fillId="10" borderId="1" xfId="0" applyNumberFormat="1" applyFont="1" applyFill="1" applyBorder="1" applyAlignment="1">
      <alignment horizontal="center" vertical="center"/>
    </xf>
    <xf numFmtId="165" fontId="19" fillId="10" borderId="1" xfId="0" applyNumberFormat="1" applyFont="1" applyFill="1" applyBorder="1" applyAlignment="1">
      <alignment horizontal="center" vertical="center"/>
    </xf>
    <xf numFmtId="49" fontId="19" fillId="10" borderId="1" xfId="0" applyNumberFormat="1" applyFont="1" applyFill="1" applyBorder="1" applyAlignment="1">
      <alignment horizontal="center" vertical="center"/>
    </xf>
    <xf numFmtId="167" fontId="19" fillId="10" borderId="1" xfId="0" applyNumberFormat="1" applyFont="1" applyFill="1" applyBorder="1" applyAlignment="1">
      <alignment horizontal="center" vertical="center"/>
    </xf>
    <xf numFmtId="1" fontId="32" fillId="10" borderId="1" xfId="0" applyNumberFormat="1" applyFont="1" applyFill="1" applyBorder="1" applyAlignment="1">
      <alignment horizontal="center" vertical="center"/>
    </xf>
    <xf numFmtId="165" fontId="32" fillId="10" borderId="1" xfId="0" applyNumberFormat="1" applyFont="1" applyFill="1" applyBorder="1" applyAlignment="1">
      <alignment horizontal="center" vertical="center"/>
    </xf>
    <xf numFmtId="49" fontId="32" fillId="10" borderId="1" xfId="0" applyNumberFormat="1" applyFont="1" applyFill="1" applyBorder="1" applyAlignment="1">
      <alignment horizontal="center" vertical="center"/>
    </xf>
    <xf numFmtId="167" fontId="32" fillId="10" borderId="1" xfId="0" applyNumberFormat="1" applyFont="1" applyFill="1" applyBorder="1" applyAlignment="1">
      <alignment horizontal="center" vertical="center"/>
    </xf>
    <xf numFmtId="3" fontId="32" fillId="9" borderId="1" xfId="0" applyNumberFormat="1" applyFont="1" applyFill="1" applyBorder="1" applyAlignment="1">
      <alignment horizontal="right" vertical="center"/>
    </xf>
    <xf numFmtId="0" fontId="3" fillId="10" borderId="1" xfId="0" applyFont="1" applyFill="1" applyBorder="1" applyAlignment="1">
      <alignment horizontal="center" vertical="center" wrapText="1"/>
    </xf>
    <xf numFmtId="0" fontId="29" fillId="0" borderId="36" xfId="0" applyFont="1" applyBorder="1" applyAlignment="1">
      <alignment horizontal="left" vertical="top" wrapText="1"/>
    </xf>
    <xf numFmtId="0" fontId="3" fillId="10" borderId="36" xfId="0" applyFont="1" applyFill="1" applyBorder="1" applyAlignment="1">
      <alignment horizontal="left" vertical="top" wrapText="1"/>
    </xf>
    <xf numFmtId="0" fontId="3" fillId="10" borderId="31" xfId="0" applyFont="1" applyFill="1" applyBorder="1" applyAlignment="1">
      <alignment horizontal="left" vertical="top" wrapText="1"/>
    </xf>
    <xf numFmtId="0" fontId="3" fillId="10" borderId="42" xfId="0" applyFont="1" applyFill="1" applyBorder="1" applyAlignment="1">
      <alignment horizontal="left" vertical="top" wrapText="1"/>
    </xf>
    <xf numFmtId="0" fontId="3" fillId="10" borderId="36" xfId="5" applyFont="1" applyFill="1" applyBorder="1" applyAlignment="1" applyProtection="1">
      <alignment horizontal="left" vertical="top" wrapText="1"/>
      <protection hidden="1"/>
    </xf>
    <xf numFmtId="0" fontId="3" fillId="10" borderId="42" xfId="5" applyFont="1" applyFill="1" applyBorder="1" applyAlignment="1" applyProtection="1">
      <alignment horizontal="left" vertical="top" wrapText="1"/>
      <protection hidden="1"/>
    </xf>
    <xf numFmtId="0" fontId="5" fillId="2" borderId="26" xfId="0" applyFont="1" applyFill="1" applyBorder="1" applyAlignment="1">
      <alignment horizontal="left" vertical="top"/>
    </xf>
    <xf numFmtId="0" fontId="5" fillId="2" borderId="34" xfId="0" applyFont="1" applyFill="1" applyBorder="1" applyAlignment="1">
      <alignment horizontal="left" vertical="top"/>
    </xf>
    <xf numFmtId="0" fontId="3" fillId="6" borderId="0" xfId="0" applyFont="1" applyFill="1" applyAlignment="1">
      <alignment horizontal="left" vertical="top"/>
    </xf>
    <xf numFmtId="0" fontId="3" fillId="0" borderId="38" xfId="0" applyFont="1" applyBorder="1" applyAlignment="1">
      <alignment horizontal="left" vertical="top" wrapText="1"/>
    </xf>
    <xf numFmtId="0" fontId="29" fillId="0" borderId="31" xfId="0" applyFont="1" applyBorder="1" applyAlignment="1">
      <alignment horizontal="left" vertical="top" wrapText="1"/>
    </xf>
    <xf numFmtId="0" fontId="29" fillId="10" borderId="31" xfId="0" applyFont="1" applyFill="1" applyBorder="1" applyAlignment="1">
      <alignment horizontal="left" vertical="top" wrapText="1"/>
    </xf>
    <xf numFmtId="0" fontId="5" fillId="10" borderId="28" xfId="0" applyFont="1" applyFill="1" applyBorder="1" applyAlignment="1">
      <alignment horizontal="center" vertical="top" wrapText="1"/>
    </xf>
    <xf numFmtId="0" fontId="5" fillId="10" borderId="5" xfId="0" applyFont="1" applyFill="1" applyBorder="1" applyAlignment="1">
      <alignment horizontal="center" vertical="top" wrapText="1"/>
    </xf>
    <xf numFmtId="0" fontId="5" fillId="10" borderId="40" xfId="0" applyFont="1" applyFill="1" applyBorder="1" applyAlignment="1">
      <alignment horizontal="center" vertical="top" wrapText="1"/>
    </xf>
    <xf numFmtId="49" fontId="5" fillId="10" borderId="5" xfId="0" applyNumberFormat="1" applyFont="1" applyFill="1" applyBorder="1" applyAlignment="1">
      <alignment horizontal="center" vertical="top" wrapText="1"/>
    </xf>
    <xf numFmtId="49" fontId="5" fillId="10" borderId="40" xfId="0" applyNumberFormat="1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30" fillId="10" borderId="28" xfId="0" applyFont="1" applyFill="1" applyBorder="1" applyAlignment="1">
      <alignment horizontal="center" vertical="top" wrapText="1"/>
    </xf>
    <xf numFmtId="1" fontId="44" fillId="10" borderId="1" xfId="0" applyNumberFormat="1" applyFont="1" applyFill="1" applyBorder="1" applyAlignment="1">
      <alignment horizontal="center" vertical="center"/>
    </xf>
    <xf numFmtId="165" fontId="44" fillId="10" borderId="1" xfId="0" applyNumberFormat="1" applyFont="1" applyFill="1" applyBorder="1" applyAlignment="1">
      <alignment horizontal="center" vertical="center"/>
    </xf>
    <xf numFmtId="167" fontId="44" fillId="10" borderId="1" xfId="0" applyNumberFormat="1" applyFont="1" applyFill="1" applyBorder="1" applyAlignment="1">
      <alignment horizontal="center" vertical="center"/>
    </xf>
    <xf numFmtId="3" fontId="44" fillId="10" borderId="1" xfId="0" applyNumberFormat="1" applyFont="1" applyFill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0" fontId="3" fillId="5" borderId="0" xfId="0" applyFont="1" applyFill="1"/>
    <xf numFmtId="0" fontId="3" fillId="8" borderId="0" xfId="0" applyFont="1" applyFill="1"/>
    <xf numFmtId="0" fontId="5" fillId="10" borderId="0" xfId="0" applyFont="1" applyFill="1" applyAlignment="1">
      <alignment horizontal="left" vertical="center" wrapText="1"/>
    </xf>
    <xf numFmtId="0" fontId="5" fillId="10" borderId="47" xfId="0" applyFont="1" applyFill="1" applyBorder="1" applyAlignment="1">
      <alignment horizontal="center" vertical="top" wrapText="1"/>
    </xf>
    <xf numFmtId="0" fontId="3" fillId="10" borderId="38" xfId="0" applyFont="1" applyFill="1" applyBorder="1" applyAlignment="1">
      <alignment horizontal="left" vertical="top" wrapText="1"/>
    </xf>
    <xf numFmtId="0" fontId="34" fillId="0" borderId="0" xfId="0" applyFont="1" applyAlignment="1">
      <alignment horizontal="center" vertical="center"/>
    </xf>
    <xf numFmtId="0" fontId="34" fillId="0" borderId="0" xfId="0" applyFont="1"/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49" fontId="46" fillId="0" borderId="1" xfId="0" applyNumberFormat="1" applyFont="1" applyBorder="1" applyAlignment="1">
      <alignment horizontal="center" vertical="center" textRotation="90"/>
    </xf>
    <xf numFmtId="49" fontId="46" fillId="0" borderId="1" xfId="0" applyNumberFormat="1" applyFont="1" applyBorder="1" applyAlignment="1">
      <alignment horizontal="center" vertical="center" textRotation="90" wrapText="1"/>
    </xf>
    <xf numFmtId="49" fontId="46" fillId="0" borderId="1" xfId="0" applyNumberFormat="1" applyFont="1" applyBorder="1" applyAlignment="1">
      <alignment horizontal="left" vertical="center" textRotation="90"/>
    </xf>
    <xf numFmtId="49" fontId="47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3" fontId="30" fillId="0" borderId="1" xfId="1" applyNumberFormat="1" applyFont="1" applyBorder="1" applyAlignment="1">
      <alignment horizontal="right" vertical="center"/>
    </xf>
    <xf numFmtId="0" fontId="34" fillId="0" borderId="0" xfId="0" applyFont="1" applyAlignment="1">
      <alignment vertical="distributed"/>
    </xf>
    <xf numFmtId="3" fontId="30" fillId="0" borderId="1" xfId="1" applyNumberFormat="1" applyFont="1" applyBorder="1" applyAlignment="1">
      <alignment horizontal="right" vertical="center" wrapText="1"/>
    </xf>
    <xf numFmtId="49" fontId="33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3" fontId="29" fillId="0" borderId="1" xfId="0" applyNumberFormat="1" applyFont="1" applyBorder="1" applyAlignment="1">
      <alignment horizontal="right" vertical="center"/>
    </xf>
    <xf numFmtId="3" fontId="29" fillId="0" borderId="1" xfId="1" applyNumberFormat="1" applyFont="1" applyBorder="1" applyAlignment="1">
      <alignment horizontal="right" vertical="center"/>
    </xf>
    <xf numFmtId="49" fontId="47" fillId="0" borderId="1" xfId="0" applyNumberFormat="1" applyFont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right" vertical="center"/>
    </xf>
    <xf numFmtId="49" fontId="33" fillId="0" borderId="1" xfId="0" applyNumberFormat="1" applyFont="1" applyBorder="1" applyAlignment="1">
      <alignment horizontal="center" vertical="center" wrapText="1"/>
    </xf>
    <xf numFmtId="49" fontId="48" fillId="0" borderId="1" xfId="0" applyNumberFormat="1" applyFont="1" applyBorder="1" applyAlignment="1">
      <alignment horizontal="center" vertical="center"/>
    </xf>
    <xf numFmtId="49" fontId="48" fillId="0" borderId="1" xfId="0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center" wrapText="1"/>
    </xf>
    <xf numFmtId="3" fontId="49" fillId="0" borderId="1" xfId="1" applyNumberFormat="1" applyFont="1" applyBorder="1" applyAlignment="1">
      <alignment horizontal="right" vertical="center" wrapText="1"/>
    </xf>
    <xf numFmtId="3" fontId="49" fillId="0" borderId="1" xfId="1" applyNumberFormat="1" applyFont="1" applyBorder="1" applyAlignment="1">
      <alignment horizontal="right" vertical="center"/>
    </xf>
    <xf numFmtId="0" fontId="50" fillId="0" borderId="0" xfId="0" applyFont="1"/>
    <xf numFmtId="3" fontId="29" fillId="0" borderId="1" xfId="1" applyNumberFormat="1" applyFont="1" applyBorder="1" applyAlignment="1">
      <alignment horizontal="right" vertical="center" wrapText="1"/>
    </xf>
    <xf numFmtId="3" fontId="49" fillId="0" borderId="1" xfId="0" applyNumberFormat="1" applyFont="1" applyBorder="1" applyAlignment="1">
      <alignment horizontal="right" vertical="center"/>
    </xf>
    <xf numFmtId="0" fontId="29" fillId="0" borderId="0" xfId="0" applyFont="1"/>
    <xf numFmtId="0" fontId="34" fillId="0" borderId="0" xfId="0" applyFont="1" applyAlignment="1">
      <alignment horizontal="left" vertical="center"/>
    </xf>
    <xf numFmtId="1" fontId="51" fillId="17" borderId="1" xfId="0" applyNumberFormat="1" applyFont="1" applyFill="1" applyBorder="1" applyAlignment="1">
      <alignment horizontal="center" vertical="center"/>
    </xf>
    <xf numFmtId="165" fontId="52" fillId="17" borderId="1" xfId="0" applyNumberFormat="1" applyFont="1" applyFill="1" applyBorder="1" applyAlignment="1">
      <alignment horizontal="center" vertical="center"/>
    </xf>
    <xf numFmtId="49" fontId="52" fillId="17" borderId="1" xfId="0" applyNumberFormat="1" applyFont="1" applyFill="1" applyBorder="1" applyAlignment="1">
      <alignment horizontal="center" vertical="center"/>
    </xf>
    <xf numFmtId="167" fontId="52" fillId="17" borderId="1" xfId="0" applyNumberFormat="1" applyFont="1" applyFill="1" applyBorder="1" applyAlignment="1">
      <alignment horizontal="center" vertical="center"/>
    </xf>
    <xf numFmtId="3" fontId="51" fillId="17" borderId="1" xfId="0" applyNumberFormat="1" applyFont="1" applyFill="1" applyBorder="1" applyAlignment="1">
      <alignment horizontal="right" vertical="center"/>
    </xf>
    <xf numFmtId="165" fontId="51" fillId="17" borderId="1" xfId="0" applyNumberFormat="1" applyFont="1" applyFill="1" applyBorder="1" applyAlignment="1">
      <alignment horizontal="center" vertical="center"/>
    </xf>
    <xf numFmtId="167" fontId="51" fillId="17" borderId="1" xfId="0" applyNumberFormat="1" applyFont="1" applyFill="1" applyBorder="1" applyAlignment="1">
      <alignment horizontal="center" vertical="center"/>
    </xf>
    <xf numFmtId="49" fontId="19" fillId="19" borderId="1" xfId="0" applyNumberFormat="1" applyFont="1" applyFill="1" applyBorder="1" applyAlignment="1">
      <alignment horizontal="center" vertical="center"/>
    </xf>
    <xf numFmtId="167" fontId="19" fillId="19" borderId="1" xfId="0" applyNumberFormat="1" applyFont="1" applyFill="1" applyBorder="1" applyAlignment="1">
      <alignment horizontal="center" vertical="center"/>
    </xf>
    <xf numFmtId="165" fontId="19" fillId="19" borderId="1" xfId="0" applyNumberFormat="1" applyFont="1" applyFill="1" applyBorder="1" applyAlignment="1">
      <alignment horizontal="center" vertical="center"/>
    </xf>
    <xf numFmtId="3" fontId="15" fillId="19" borderId="1" xfId="0" applyNumberFormat="1" applyFont="1" applyFill="1" applyBorder="1" applyAlignment="1">
      <alignment horizontal="right" vertical="center"/>
    </xf>
    <xf numFmtId="1" fontId="54" fillId="10" borderId="1" xfId="0" applyNumberFormat="1" applyFont="1" applyFill="1" applyBorder="1" applyAlignment="1">
      <alignment horizontal="center" vertical="center"/>
    </xf>
    <xf numFmtId="165" fontId="54" fillId="10" borderId="1" xfId="0" applyNumberFormat="1" applyFont="1" applyFill="1" applyBorder="1" applyAlignment="1">
      <alignment horizontal="center" vertical="center"/>
    </xf>
    <xf numFmtId="167" fontId="54" fillId="10" borderId="1" xfId="0" applyNumberFormat="1" applyFont="1" applyFill="1" applyBorder="1" applyAlignment="1">
      <alignment horizontal="center" vertical="center"/>
    </xf>
    <xf numFmtId="49" fontId="44" fillId="10" borderId="1" xfId="0" applyNumberFormat="1" applyFont="1" applyFill="1" applyBorder="1" applyAlignment="1">
      <alignment horizontal="center" vertical="center"/>
    </xf>
    <xf numFmtId="3" fontId="32" fillId="13" borderId="1" xfId="0" applyNumberFormat="1" applyFont="1" applyFill="1" applyBorder="1" applyAlignment="1">
      <alignment horizontal="right" vertical="center"/>
    </xf>
    <xf numFmtId="0" fontId="5" fillId="10" borderId="5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49" fontId="7" fillId="10" borderId="1" xfId="0" applyNumberFormat="1" applyFont="1" applyFill="1" applyBorder="1" applyAlignment="1">
      <alignment horizontal="center" vertical="center"/>
    </xf>
    <xf numFmtId="49" fontId="7" fillId="10" borderId="1" xfId="0" applyNumberFormat="1" applyFont="1" applyFill="1" applyBorder="1" applyAlignment="1">
      <alignment horizontal="center" vertical="center" wrapText="1"/>
    </xf>
    <xf numFmtId="49" fontId="8" fillId="10" borderId="1" xfId="0" applyNumberFormat="1" applyFont="1" applyFill="1" applyBorder="1" applyAlignment="1">
      <alignment horizontal="center" vertical="center"/>
    </xf>
    <xf numFmtId="49" fontId="8" fillId="10" borderId="1" xfId="0" applyNumberFormat="1" applyFont="1" applyFill="1" applyBorder="1" applyAlignment="1">
      <alignment horizontal="center" vertical="center" wrapText="1"/>
    </xf>
    <xf numFmtId="49" fontId="11" fillId="10" borderId="1" xfId="0" applyNumberFormat="1" applyFont="1" applyFill="1" applyBorder="1" applyAlignment="1">
      <alignment horizontal="center" vertical="center" wrapText="1"/>
    </xf>
    <xf numFmtId="3" fontId="32" fillId="17" borderId="1" xfId="0" applyNumberFormat="1" applyFont="1" applyFill="1" applyBorder="1" applyAlignment="1">
      <alignment horizontal="right" vertical="center"/>
    </xf>
    <xf numFmtId="49" fontId="51" fillId="17" borderId="1" xfId="0" applyNumberFormat="1" applyFont="1" applyFill="1" applyBorder="1" applyAlignment="1">
      <alignment horizontal="center" vertical="center"/>
    </xf>
    <xf numFmtId="3" fontId="32" fillId="7" borderId="1" xfId="0" applyNumberFormat="1" applyFont="1" applyFill="1" applyBorder="1" applyAlignment="1">
      <alignment horizontal="right" vertical="center"/>
    </xf>
    <xf numFmtId="49" fontId="5" fillId="0" borderId="5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5" fillId="10" borderId="0" xfId="0" applyFont="1" applyFill="1" applyAlignment="1">
      <alignment horizontal="center" vertical="center" wrapText="1"/>
    </xf>
    <xf numFmtId="3" fontId="22" fillId="20" borderId="1" xfId="0" applyNumberFormat="1" applyFont="1" applyFill="1" applyBorder="1" applyAlignment="1">
      <alignment horizontal="right" vertical="center"/>
    </xf>
    <xf numFmtId="3" fontId="22" fillId="21" borderId="1" xfId="0" applyNumberFormat="1" applyFont="1" applyFill="1" applyBorder="1" applyAlignment="1">
      <alignment horizontal="right" vertical="center"/>
    </xf>
    <xf numFmtId="3" fontId="22" fillId="22" borderId="1" xfId="0" applyNumberFormat="1" applyFont="1" applyFill="1" applyBorder="1" applyAlignment="1">
      <alignment horizontal="right" vertical="center"/>
    </xf>
    <xf numFmtId="3" fontId="22" fillId="23" borderId="1" xfId="0" applyNumberFormat="1" applyFont="1" applyFill="1" applyBorder="1" applyAlignment="1">
      <alignment horizontal="right" vertical="center"/>
    </xf>
    <xf numFmtId="3" fontId="37" fillId="21" borderId="1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1" fontId="52" fillId="10" borderId="1" xfId="0" applyNumberFormat="1" applyFont="1" applyFill="1" applyBorder="1" applyAlignment="1">
      <alignment horizontal="center" vertical="center"/>
    </xf>
    <xf numFmtId="165" fontId="52" fillId="10" borderId="1" xfId="0" applyNumberFormat="1" applyFont="1" applyFill="1" applyBorder="1" applyAlignment="1">
      <alignment horizontal="center" vertical="center"/>
    </xf>
    <xf numFmtId="49" fontId="52" fillId="10" borderId="1" xfId="0" applyNumberFormat="1" applyFont="1" applyFill="1" applyBorder="1" applyAlignment="1">
      <alignment horizontal="center" vertical="center"/>
    </xf>
    <xf numFmtId="167" fontId="52" fillId="10" borderId="1" xfId="0" applyNumberFormat="1" applyFont="1" applyFill="1" applyBorder="1" applyAlignment="1">
      <alignment horizontal="center" vertical="center"/>
    </xf>
    <xf numFmtId="0" fontId="51" fillId="0" borderId="0" xfId="0" applyFont="1"/>
    <xf numFmtId="0" fontId="52" fillId="0" borderId="0" xfId="0" applyFont="1"/>
    <xf numFmtId="1" fontId="51" fillId="10" borderId="1" xfId="0" applyNumberFormat="1" applyFont="1" applyFill="1" applyBorder="1" applyAlignment="1">
      <alignment horizontal="center" vertical="center"/>
    </xf>
    <xf numFmtId="165" fontId="51" fillId="10" borderId="1" xfId="0" applyNumberFormat="1" applyFont="1" applyFill="1" applyBorder="1" applyAlignment="1">
      <alignment horizontal="center" vertical="center"/>
    </xf>
    <xf numFmtId="167" fontId="51" fillId="10" borderId="1" xfId="0" applyNumberFormat="1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top" wrapText="1"/>
    </xf>
    <xf numFmtId="0" fontId="3" fillId="10" borderId="35" xfId="0" applyFont="1" applyFill="1" applyBorder="1" applyAlignment="1">
      <alignment horizontal="left" vertical="top" wrapText="1"/>
    </xf>
    <xf numFmtId="1" fontId="55" fillId="10" borderId="1" xfId="0" applyNumberFormat="1" applyFont="1" applyFill="1" applyBorder="1" applyAlignment="1">
      <alignment horizontal="center" vertical="center"/>
    </xf>
    <xf numFmtId="165" fontId="55" fillId="10" borderId="1" xfId="0" applyNumberFormat="1" applyFont="1" applyFill="1" applyBorder="1" applyAlignment="1">
      <alignment horizontal="center" vertical="center"/>
    </xf>
    <xf numFmtId="167" fontId="55" fillId="1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0" fontId="37" fillId="21" borderId="5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10" borderId="5" xfId="0" applyFont="1" applyFill="1" applyBorder="1" applyAlignment="1">
      <alignment horizontal="left" vertical="center" wrapText="1"/>
    </xf>
    <xf numFmtId="0" fontId="38" fillId="0" borderId="5" xfId="0" applyFont="1" applyFill="1" applyBorder="1" applyAlignment="1">
      <alignment horizontal="left" vertical="center" wrapText="1"/>
    </xf>
    <xf numFmtId="0" fontId="39" fillId="21" borderId="5" xfId="0" applyFont="1" applyFill="1" applyBorder="1" applyAlignment="1">
      <alignment horizontal="left" vertical="center" wrapText="1"/>
    </xf>
    <xf numFmtId="0" fontId="39" fillId="21" borderId="40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51" fillId="17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54" fillId="0" borderId="1" xfId="0" applyFont="1" applyBorder="1" applyAlignment="1">
      <alignment horizontal="left" vertical="center" wrapText="1"/>
    </xf>
    <xf numFmtId="0" fontId="55" fillId="0" borderId="1" xfId="0" applyFont="1" applyBorder="1" applyAlignment="1">
      <alignment horizontal="left" vertical="center" wrapText="1"/>
    </xf>
    <xf numFmtId="0" fontId="15" fillId="19" borderId="1" xfId="0" applyFont="1" applyFill="1" applyBorder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/>
    </xf>
    <xf numFmtId="167" fontId="19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5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12" borderId="0" xfId="0" applyFill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6" fillId="0" borderId="3" xfId="0" applyFont="1" applyBorder="1" applyAlignment="1">
      <alignment horizontal="left" vertical="center" wrapText="1"/>
    </xf>
    <xf numFmtId="0" fontId="0" fillId="6" borderId="0" xfId="0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 wrapText="1"/>
    </xf>
    <xf numFmtId="167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/>
    <xf numFmtId="0" fontId="3" fillId="15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26" fillId="0" borderId="27" xfId="0" applyFont="1" applyBorder="1" applyAlignment="1">
      <alignment wrapText="1"/>
    </xf>
    <xf numFmtId="0" fontId="10" fillId="0" borderId="50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48" xfId="0" applyFont="1" applyBorder="1" applyAlignment="1">
      <alignment wrapText="1"/>
    </xf>
    <xf numFmtId="0" fontId="26" fillId="0" borderId="24" xfId="0" applyFont="1" applyBorder="1" applyAlignment="1">
      <alignment wrapText="1"/>
    </xf>
    <xf numFmtId="0" fontId="26" fillId="0" borderId="5" xfId="0" applyFont="1" applyBorder="1" applyAlignment="1">
      <alignment wrapText="1"/>
    </xf>
    <xf numFmtId="0" fontId="26" fillId="0" borderId="25" xfId="0" applyFont="1" applyBorder="1" applyAlignment="1">
      <alignment wrapText="1"/>
    </xf>
    <xf numFmtId="49" fontId="14" fillId="0" borderId="14" xfId="0" applyNumberFormat="1" applyFont="1" applyBorder="1" applyAlignment="1">
      <alignment horizontal="center" vertical="center" wrapText="1"/>
    </xf>
    <xf numFmtId="0" fontId="3" fillId="10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10" borderId="0" xfId="0" applyFont="1" applyFill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5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57" fillId="25" borderId="5" xfId="0" applyFont="1" applyFill="1" applyBorder="1" applyAlignment="1">
      <alignment horizontal="center" vertical="center" wrapText="1"/>
    </xf>
    <xf numFmtId="0" fontId="33" fillId="10" borderId="5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vertical="top" wrapText="1"/>
    </xf>
    <xf numFmtId="0" fontId="58" fillId="0" borderId="5" xfId="0" applyFont="1" applyBorder="1" applyAlignment="1">
      <alignment horizontal="center" vertical="center" wrapText="1"/>
    </xf>
    <xf numFmtId="0" fontId="58" fillId="10" borderId="5" xfId="0" applyFont="1" applyFill="1" applyBorder="1" applyAlignment="1">
      <alignment horizontal="center" vertical="center" wrapText="1"/>
    </xf>
    <xf numFmtId="0" fontId="56" fillId="17" borderId="5" xfId="0" applyFont="1" applyFill="1" applyBorder="1" applyAlignment="1">
      <alignment horizontal="center" vertical="center" wrapText="1"/>
    </xf>
    <xf numFmtId="0" fontId="56" fillId="17" borderId="1" xfId="0" applyFont="1" applyFill="1" applyBorder="1" applyAlignment="1">
      <alignment horizontal="left" vertical="center" wrapText="1"/>
    </xf>
    <xf numFmtId="0" fontId="57" fillId="25" borderId="1" xfId="0" applyFont="1" applyFill="1" applyBorder="1" applyAlignment="1">
      <alignment horizontal="left" vertical="center" wrapText="1"/>
    </xf>
    <xf numFmtId="0" fontId="58" fillId="0" borderId="1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9" fillId="0" borderId="1" xfId="6" applyFont="1" applyBorder="1" applyAlignment="1">
      <alignment horizontal="center" vertical="top" wrapText="1"/>
    </xf>
    <xf numFmtId="0" fontId="29" fillId="0" borderId="1" xfId="6" applyFont="1" applyBorder="1" applyAlignment="1">
      <alignment vertical="top" wrapText="1"/>
    </xf>
    <xf numFmtId="3" fontId="52" fillId="10" borderId="1" xfId="0" applyNumberFormat="1" applyFont="1" applyFill="1" applyBorder="1" applyAlignment="1">
      <alignment horizontal="right" vertical="center"/>
    </xf>
    <xf numFmtId="3" fontId="44" fillId="21" borderId="1" xfId="0" applyNumberFormat="1" applyFont="1" applyFill="1" applyBorder="1" applyAlignment="1">
      <alignment horizontal="right" vertical="center"/>
    </xf>
    <xf numFmtId="3" fontId="52" fillId="9" borderId="1" xfId="0" applyNumberFormat="1" applyFont="1" applyFill="1" applyBorder="1" applyAlignment="1">
      <alignment horizontal="right" vertical="center"/>
    </xf>
    <xf numFmtId="3" fontId="19" fillId="21" borderId="1" xfId="0" applyNumberFormat="1" applyFont="1" applyFill="1" applyBorder="1" applyAlignment="1">
      <alignment horizontal="right" vertical="center"/>
    </xf>
    <xf numFmtId="3" fontId="22" fillId="24" borderId="1" xfId="0" applyNumberFormat="1" applyFont="1" applyFill="1" applyBorder="1" applyAlignment="1">
      <alignment horizontal="right" vertical="center"/>
    </xf>
    <xf numFmtId="3" fontId="44" fillId="9" borderId="1" xfId="0" applyNumberFormat="1" applyFont="1" applyFill="1" applyBorder="1" applyAlignment="1">
      <alignment horizontal="right" vertical="center"/>
    </xf>
    <xf numFmtId="3" fontId="44" fillId="24" borderId="1" xfId="0" applyNumberFormat="1" applyFont="1" applyFill="1" applyBorder="1" applyAlignment="1">
      <alignment horizontal="right" vertical="center"/>
    </xf>
    <xf numFmtId="3" fontId="19" fillId="24" borderId="1" xfId="0" applyNumberFormat="1" applyFont="1" applyFill="1" applyBorder="1" applyAlignment="1">
      <alignment horizontal="right" vertical="center"/>
    </xf>
    <xf numFmtId="3" fontId="54" fillId="10" borderId="1" xfId="0" applyNumberFormat="1" applyFont="1" applyFill="1" applyBorder="1" applyAlignment="1">
      <alignment horizontal="right" vertical="center"/>
    </xf>
    <xf numFmtId="3" fontId="55" fillId="10" borderId="1" xfId="0" applyNumberFormat="1" applyFont="1" applyFill="1" applyBorder="1" applyAlignment="1">
      <alignment horizontal="right" vertical="center"/>
    </xf>
    <xf numFmtId="3" fontId="53" fillId="18" borderId="1" xfId="0" applyNumberFormat="1" applyFont="1" applyFill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 wrapText="1"/>
    </xf>
    <xf numFmtId="3" fontId="14" fillId="0" borderId="29" xfId="0" applyNumberFormat="1" applyFont="1" applyBorder="1" applyAlignment="1">
      <alignment horizontal="right" vertical="center" wrapText="1"/>
    </xf>
    <xf numFmtId="3" fontId="14" fillId="0" borderId="35" xfId="0" applyNumberFormat="1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36" xfId="0" applyNumberFormat="1" applyFont="1" applyBorder="1" applyAlignment="1">
      <alignment horizontal="right" vertical="center" wrapText="1"/>
    </xf>
    <xf numFmtId="3" fontId="14" fillId="0" borderId="14" xfId="0" applyNumberFormat="1" applyFont="1" applyBorder="1" applyAlignment="1">
      <alignment horizontal="right" vertical="center" wrapText="1"/>
    </xf>
    <xf numFmtId="3" fontId="14" fillId="0" borderId="3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14" fillId="0" borderId="37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14" fillId="0" borderId="38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3" fillId="10" borderId="1" xfId="0" applyNumberFormat="1" applyFont="1" applyFill="1" applyBorder="1" applyAlignment="1">
      <alignment horizontal="right" vertical="center" wrapText="1"/>
    </xf>
    <xf numFmtId="3" fontId="3" fillId="10" borderId="36" xfId="0" applyNumberFormat="1" applyFont="1" applyFill="1" applyBorder="1" applyAlignment="1">
      <alignment horizontal="right" vertical="center" wrapText="1"/>
    </xf>
    <xf numFmtId="3" fontId="3" fillId="10" borderId="32" xfId="0" applyNumberFormat="1" applyFont="1" applyFill="1" applyBorder="1" applyAlignment="1">
      <alignment horizontal="right" vertical="center" wrapText="1"/>
    </xf>
    <xf numFmtId="3" fontId="5" fillId="8" borderId="34" xfId="0" applyNumberFormat="1" applyFont="1" applyFill="1" applyBorder="1" applyAlignment="1">
      <alignment horizontal="right" vertical="center"/>
    </xf>
    <xf numFmtId="3" fontId="56" fillId="17" borderId="1" xfId="0" applyNumberFormat="1" applyFont="1" applyFill="1" applyBorder="1" applyAlignment="1">
      <alignment horizontal="right" vertical="center" wrapText="1"/>
    </xf>
    <xf numFmtId="3" fontId="57" fillId="25" borderId="1" xfId="0" applyNumberFormat="1" applyFont="1" applyFill="1" applyBorder="1" applyAlignment="1">
      <alignment horizontal="right" vertical="center" wrapText="1"/>
    </xf>
    <xf numFmtId="3" fontId="58" fillId="0" borderId="1" xfId="0" applyNumberFormat="1" applyFont="1" applyFill="1" applyBorder="1" applyAlignment="1">
      <alignment horizontal="right" vertical="center"/>
    </xf>
    <xf numFmtId="3" fontId="56" fillId="17" borderId="1" xfId="0" applyNumberFormat="1" applyFont="1" applyFill="1" applyBorder="1" applyAlignment="1">
      <alignment horizontal="right" vertical="center"/>
    </xf>
    <xf numFmtId="3" fontId="57" fillId="25" borderId="1" xfId="0" applyNumberFormat="1" applyFont="1" applyFill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Border="1" applyAlignment="1">
      <alignment vertical="center" wrapText="1"/>
    </xf>
    <xf numFmtId="3" fontId="14" fillId="0" borderId="3" xfId="0" applyNumberFormat="1" applyFont="1" applyBorder="1" applyAlignment="1">
      <alignment vertical="center" wrapText="1"/>
    </xf>
    <xf numFmtId="3" fontId="51" fillId="10" borderId="1" xfId="0" applyNumberFormat="1" applyFont="1" applyFill="1" applyBorder="1" applyAlignment="1">
      <alignment horizontal="right" vertical="center"/>
    </xf>
    <xf numFmtId="3" fontId="32" fillId="11" borderId="1" xfId="0" applyNumberFormat="1" applyFont="1" applyFill="1" applyBorder="1" applyAlignment="1">
      <alignment horizontal="right" vertical="center"/>
    </xf>
    <xf numFmtId="3" fontId="52" fillId="11" borderId="1" xfId="0" applyNumberFormat="1" applyFont="1" applyFill="1" applyBorder="1" applyAlignment="1">
      <alignment horizontal="right" vertical="center"/>
    </xf>
    <xf numFmtId="3" fontId="35" fillId="10" borderId="1" xfId="0" applyNumberFormat="1" applyFont="1" applyFill="1" applyBorder="1" applyAlignment="1">
      <alignment horizontal="right" vertical="center"/>
    </xf>
    <xf numFmtId="0" fontId="32" fillId="19" borderId="1" xfId="0" applyFont="1" applyFill="1" applyBorder="1" applyAlignment="1">
      <alignment horizontal="left" vertical="center" wrapText="1"/>
    </xf>
    <xf numFmtId="49" fontId="32" fillId="19" borderId="1" xfId="0" applyNumberFormat="1" applyFont="1" applyFill="1" applyBorder="1" applyAlignment="1">
      <alignment horizontal="center" vertical="center"/>
    </xf>
    <xf numFmtId="167" fontId="32" fillId="19" borderId="1" xfId="0" applyNumberFormat="1" applyFont="1" applyFill="1" applyBorder="1" applyAlignment="1">
      <alignment horizontal="center" vertical="center"/>
    </xf>
    <xf numFmtId="165" fontId="32" fillId="19" borderId="1" xfId="0" applyNumberFormat="1" applyFont="1" applyFill="1" applyBorder="1" applyAlignment="1">
      <alignment horizontal="center" vertical="center"/>
    </xf>
    <xf numFmtId="3" fontId="32" fillId="19" borderId="1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3" fontId="56" fillId="17" borderId="1" xfId="0" applyNumberFormat="1" applyFont="1" applyFill="1" applyBorder="1" applyAlignment="1">
      <alignment horizontal="center" vertical="center" wrapText="1"/>
    </xf>
    <xf numFmtId="3" fontId="57" fillId="25" borderId="1" xfId="0" applyNumberFormat="1" applyFont="1" applyFill="1" applyBorder="1" applyAlignment="1">
      <alignment horizontal="center" vertical="center" wrapText="1"/>
    </xf>
    <xf numFmtId="3" fontId="58" fillId="0" borderId="1" xfId="0" applyNumberFormat="1" applyFont="1" applyFill="1" applyBorder="1" applyAlignment="1">
      <alignment horizontal="center" vertical="center"/>
    </xf>
    <xf numFmtId="3" fontId="56" fillId="17" borderId="1" xfId="0" applyNumberFormat="1" applyFont="1" applyFill="1" applyBorder="1" applyAlignment="1">
      <alignment horizontal="center" vertical="center"/>
    </xf>
    <xf numFmtId="3" fontId="57" fillId="25" borderId="1" xfId="0" applyNumberFormat="1" applyFont="1" applyFill="1" applyBorder="1" applyAlignment="1">
      <alignment horizontal="center" vertical="center"/>
    </xf>
    <xf numFmtId="3" fontId="58" fillId="0" borderId="1" xfId="0" applyNumberFormat="1" applyFont="1" applyFill="1" applyBorder="1" applyAlignment="1">
      <alignment horizontal="center" vertical="center" wrapText="1"/>
    </xf>
    <xf numFmtId="0" fontId="10" fillId="21" borderId="3" xfId="0" applyFont="1" applyFill="1" applyBorder="1" applyAlignment="1">
      <alignment horizontal="left" vertical="center" wrapText="1"/>
    </xf>
    <xf numFmtId="3" fontId="5" fillId="21" borderId="3" xfId="0" applyNumberFormat="1" applyFont="1" applyFill="1" applyBorder="1" applyAlignment="1">
      <alignment vertical="center" wrapText="1"/>
    </xf>
    <xf numFmtId="0" fontId="10" fillId="21" borderId="26" xfId="0" applyFont="1" applyFill="1" applyBorder="1" applyAlignment="1">
      <alignment wrapText="1"/>
    </xf>
    <xf numFmtId="167" fontId="5" fillId="21" borderId="33" xfId="0" applyNumberFormat="1" applyFont="1" applyFill="1" applyBorder="1" applyAlignment="1">
      <alignment horizontal="center" vertical="center" wrapText="1"/>
    </xf>
    <xf numFmtId="3" fontId="5" fillId="23" borderId="33" xfId="0" applyNumberFormat="1" applyFont="1" applyFill="1" applyBorder="1" applyAlignment="1">
      <alignment horizontal="right" vertical="center"/>
    </xf>
    <xf numFmtId="3" fontId="5" fillId="23" borderId="34" xfId="0" applyNumberFormat="1" applyFont="1" applyFill="1" applyBorder="1" applyAlignment="1">
      <alignment horizontal="right" vertical="center"/>
    </xf>
    <xf numFmtId="3" fontId="5" fillId="23" borderId="46" xfId="0" applyNumberFormat="1" applyFont="1" applyFill="1" applyBorder="1"/>
    <xf numFmtId="3" fontId="5" fillId="23" borderId="39" xfId="0" applyNumberFormat="1" applyFont="1" applyFill="1" applyBorder="1"/>
    <xf numFmtId="0" fontId="10" fillId="10" borderId="3" xfId="0" applyFont="1" applyFill="1" applyBorder="1" applyAlignment="1">
      <alignment horizontal="left" vertical="center" wrapText="1"/>
    </xf>
    <xf numFmtId="49" fontId="5" fillId="10" borderId="3" xfId="0" applyNumberFormat="1" applyFont="1" applyFill="1" applyBorder="1" applyAlignment="1">
      <alignment horizontal="center" vertical="center" wrapText="1"/>
    </xf>
    <xf numFmtId="3" fontId="5" fillId="10" borderId="3" xfId="0" applyNumberFormat="1" applyFont="1" applyFill="1" applyBorder="1" applyAlignment="1">
      <alignment vertical="center" wrapText="1"/>
    </xf>
    <xf numFmtId="167" fontId="5" fillId="21" borderId="3" xfId="0" applyNumberFormat="1" applyFont="1" applyFill="1" applyBorder="1" applyAlignment="1">
      <alignment horizontal="center" vertical="center" wrapText="1"/>
    </xf>
    <xf numFmtId="49" fontId="41" fillId="10" borderId="32" xfId="0" applyNumberFormat="1" applyFont="1" applyFill="1" applyBorder="1" applyAlignment="1">
      <alignment horizontal="left" vertical="center" wrapText="1"/>
    </xf>
    <xf numFmtId="0" fontId="34" fillId="0" borderId="1" xfId="0" applyFont="1" applyBorder="1"/>
    <xf numFmtId="0" fontId="34" fillId="0" borderId="1" xfId="0" applyFont="1" applyBorder="1" applyAlignment="1">
      <alignment vertical="center"/>
    </xf>
    <xf numFmtId="3" fontId="59" fillId="0" borderId="1" xfId="0" applyNumberFormat="1" applyFont="1" applyBorder="1" applyAlignment="1">
      <alignment vertical="center"/>
    </xf>
    <xf numFmtId="3" fontId="34" fillId="0" borderId="1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34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/>
    </xf>
    <xf numFmtId="3" fontId="7" fillId="0" borderId="3" xfId="1" applyNumberFormat="1" applyFont="1" applyBorder="1" applyAlignment="1">
      <alignment vertical="center" wrapText="1"/>
    </xf>
    <xf numFmtId="3" fontId="8" fillId="0" borderId="3" xfId="1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horizontal="right" vertical="center"/>
    </xf>
    <xf numFmtId="3" fontId="8" fillId="0" borderId="3" xfId="1" applyNumberFormat="1" applyFont="1" applyBorder="1" applyAlignment="1">
      <alignment horizontal="center" vertical="center" wrapText="1"/>
    </xf>
    <xf numFmtId="3" fontId="7" fillId="0" borderId="3" xfId="1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49" fontId="5" fillId="10" borderId="24" xfId="0" applyNumberFormat="1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/>
    </xf>
    <xf numFmtId="0" fontId="29" fillId="0" borderId="3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vertical="center" wrapText="1"/>
    </xf>
    <xf numFmtId="3" fontId="44" fillId="0" borderId="1" xfId="0" applyNumberFormat="1" applyFont="1" applyFill="1" applyBorder="1" applyAlignment="1">
      <alignment horizontal="right" vertical="center"/>
    </xf>
    <xf numFmtId="2" fontId="5" fillId="10" borderId="5" xfId="0" applyNumberFormat="1" applyFont="1" applyFill="1" applyBorder="1" applyAlignment="1">
      <alignment horizontal="center" vertical="top" wrapText="1"/>
    </xf>
    <xf numFmtId="49" fontId="3" fillId="10" borderId="36" xfId="5" applyNumberFormat="1" applyFont="1" applyFill="1" applyBorder="1" applyAlignment="1" applyProtection="1">
      <alignment horizontal="left" vertical="top" wrapText="1"/>
      <protection hidden="1"/>
    </xf>
    <xf numFmtId="49" fontId="44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167" fontId="19" fillId="0" borderId="1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3" fontId="60" fillId="10" borderId="1" xfId="0" applyNumberFormat="1" applyFont="1" applyFill="1" applyBorder="1" applyAlignment="1">
      <alignment horizontal="right" vertical="center"/>
    </xf>
    <xf numFmtId="3" fontId="60" fillId="0" borderId="1" xfId="0" applyNumberFormat="1" applyFont="1" applyBorder="1" applyAlignment="1">
      <alignment horizontal="right" vertical="center"/>
    </xf>
    <xf numFmtId="3" fontId="8" fillId="2" borderId="3" xfId="1" applyNumberFormat="1" applyFont="1" applyFill="1" applyBorder="1" applyAlignment="1">
      <alignment horizontal="center" vertical="center" wrapText="1"/>
    </xf>
    <xf numFmtId="3" fontId="7" fillId="2" borderId="3" xfId="1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3" fontId="3" fillId="10" borderId="38" xfId="0" applyNumberFormat="1" applyFont="1" applyFill="1" applyBorder="1" applyAlignment="1">
      <alignment horizontal="right" vertical="center" wrapText="1"/>
    </xf>
    <xf numFmtId="3" fontId="3" fillId="10" borderId="45" xfId="0" applyNumberFormat="1" applyFont="1" applyFill="1" applyBorder="1" applyAlignment="1">
      <alignment horizontal="right" vertical="center" wrapText="1"/>
    </xf>
    <xf numFmtId="3" fontId="3" fillId="10" borderId="53" xfId="0" applyNumberFormat="1" applyFont="1" applyFill="1" applyBorder="1" applyAlignment="1">
      <alignment horizontal="right" vertical="center" wrapText="1"/>
    </xf>
    <xf numFmtId="0" fontId="3" fillId="8" borderId="6" xfId="0" applyFont="1" applyFill="1" applyBorder="1" applyAlignment="1">
      <alignment horizontal="center"/>
    </xf>
    <xf numFmtId="0" fontId="3" fillId="8" borderId="54" xfId="0" applyFont="1" applyFill="1" applyBorder="1" applyAlignment="1">
      <alignment horizontal="center"/>
    </xf>
    <xf numFmtId="0" fontId="5" fillId="8" borderId="48" xfId="0" applyFont="1" applyFill="1" applyBorder="1" applyAlignment="1">
      <alignment horizontal="left" vertical="center"/>
    </xf>
    <xf numFmtId="0" fontId="5" fillId="8" borderId="39" xfId="0" applyFont="1" applyFill="1" applyBorder="1" applyAlignment="1">
      <alignment horizontal="center" vertical="center"/>
    </xf>
    <xf numFmtId="3" fontId="5" fillId="8" borderId="49" xfId="0" applyNumberFormat="1" applyFont="1" applyFill="1" applyBorder="1" applyAlignment="1">
      <alignment horizontal="right" vertical="center"/>
    </xf>
    <xf numFmtId="49" fontId="3" fillId="10" borderId="1" xfId="0" applyNumberFormat="1" applyFont="1" applyFill="1" applyBorder="1" applyAlignment="1">
      <alignment horizontal="left" vertical="center" wrapText="1"/>
    </xf>
    <xf numFmtId="49" fontId="5" fillId="10" borderId="1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wrapText="1"/>
    </xf>
    <xf numFmtId="49" fontId="17" fillId="0" borderId="0" xfId="0" applyNumberFormat="1" applyFont="1" applyAlignment="1">
      <alignment horizontal="justify" wrapText="1"/>
    </xf>
    <xf numFmtId="49" fontId="61" fillId="0" borderId="3" xfId="0" applyNumberFormat="1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165" fontId="61" fillId="25" borderId="3" xfId="0" applyNumberFormat="1" applyFont="1" applyFill="1" applyBorder="1" applyAlignment="1">
      <alignment horizontal="left" vertical="center" wrapText="1"/>
    </xf>
    <xf numFmtId="0" fontId="61" fillId="25" borderId="3" xfId="0" applyFont="1" applyFill="1" applyBorder="1" applyAlignment="1">
      <alignment vertical="top" wrapText="1"/>
    </xf>
    <xf numFmtId="3" fontId="61" fillId="25" borderId="3" xfId="0" applyNumberFormat="1" applyFont="1" applyFill="1" applyBorder="1"/>
    <xf numFmtId="165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/>
    </xf>
    <xf numFmtId="3" fontId="17" fillId="0" borderId="3" xfId="0" applyNumberFormat="1" applyFont="1" applyBorder="1"/>
    <xf numFmtId="0" fontId="17" fillId="0" borderId="3" xfId="0" applyFont="1" applyBorder="1" applyAlignment="1">
      <alignment horizontal="left" vertical="top" wrapText="1"/>
    </xf>
    <xf numFmtId="165" fontId="61" fillId="0" borderId="3" xfId="0" applyNumberFormat="1" applyFont="1" applyBorder="1" applyAlignment="1">
      <alignment horizontal="left" vertical="center" wrapText="1"/>
    </xf>
    <xf numFmtId="0" fontId="62" fillId="0" borderId="3" xfId="0" applyFont="1" applyBorder="1" applyAlignment="1">
      <alignment horizontal="left" vertical="top" wrapText="1"/>
    </xf>
    <xf numFmtId="3" fontId="61" fillId="0" borderId="3" xfId="0" applyNumberFormat="1" applyFont="1" applyBorder="1"/>
    <xf numFmtId="0" fontId="62" fillId="25" borderId="3" xfId="0" applyFont="1" applyFill="1" applyBorder="1" applyAlignment="1">
      <alignment horizontal="left" vertical="top" wrapText="1"/>
    </xf>
    <xf numFmtId="0" fontId="63" fillId="0" borderId="3" xfId="0" applyFont="1" applyBorder="1" applyAlignment="1">
      <alignment horizontal="left" vertical="top" wrapText="1"/>
    </xf>
    <xf numFmtId="0" fontId="61" fillId="25" borderId="3" xfId="0" applyFont="1" applyFill="1" applyBorder="1" applyAlignment="1">
      <alignment horizontal="left" vertical="top" wrapText="1"/>
    </xf>
    <xf numFmtId="0" fontId="61" fillId="0" borderId="3" xfId="0" applyFont="1" applyBorder="1" applyAlignment="1">
      <alignment horizontal="left" vertical="top" wrapText="1"/>
    </xf>
    <xf numFmtId="3" fontId="64" fillId="0" borderId="3" xfId="0" applyNumberFormat="1" applyFont="1" applyBorder="1"/>
    <xf numFmtId="165" fontId="63" fillId="0" borderId="3" xfId="0" applyNumberFormat="1" applyFont="1" applyBorder="1" applyAlignment="1">
      <alignment horizontal="center" vertical="center" wrapText="1"/>
    </xf>
    <xf numFmtId="0" fontId="63" fillId="0" borderId="3" xfId="0" applyFont="1" applyBorder="1" applyAlignment="1">
      <alignment vertical="top" wrapText="1"/>
    </xf>
    <xf numFmtId="0" fontId="17" fillId="0" borderId="3" xfId="0" applyFont="1" applyBorder="1" applyAlignment="1">
      <alignment horizontal="justify" vertical="top" wrapText="1"/>
    </xf>
    <xf numFmtId="3" fontId="61" fillId="21" borderId="3" xfId="0" applyNumberFormat="1" applyFont="1" applyFill="1" applyBorder="1"/>
    <xf numFmtId="3" fontId="61" fillId="10" borderId="3" xfId="0" applyNumberFormat="1" applyFont="1" applyFill="1" applyBorder="1"/>
    <xf numFmtId="0" fontId="65" fillId="3" borderId="0" xfId="0" applyFont="1" applyFill="1"/>
    <xf numFmtId="49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61" fillId="0" borderId="3" xfId="0" applyFont="1" applyBorder="1" applyAlignment="1">
      <alignment horizontal="left" vertical="center" wrapText="1"/>
    </xf>
    <xf numFmtId="0" fontId="61" fillId="0" borderId="3" xfId="0" applyFont="1" applyBorder="1" applyAlignment="1">
      <alignment horizontal="center" wrapText="1"/>
    </xf>
    <xf numFmtId="165" fontId="61" fillId="25" borderId="3" xfId="0" applyNumberFormat="1" applyFont="1" applyFill="1" applyBorder="1" applyAlignment="1">
      <alignment horizontal="center" vertical="center" wrapText="1"/>
    </xf>
    <xf numFmtId="0" fontId="61" fillId="25" borderId="3" xfId="0" applyFont="1" applyFill="1" applyBorder="1" applyAlignment="1">
      <alignment horizontal="left" vertical="center" wrapText="1"/>
    </xf>
    <xf numFmtId="3" fontId="61" fillId="25" borderId="3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left" vertical="center" wrapText="1"/>
    </xf>
    <xf numFmtId="3" fontId="17" fillId="0" borderId="3" xfId="0" applyNumberFormat="1" applyFont="1" applyBorder="1" applyAlignment="1">
      <alignment horizontal="center"/>
    </xf>
    <xf numFmtId="165" fontId="61" fillId="0" borderId="3" xfId="0" applyNumberFormat="1" applyFont="1" applyBorder="1" applyAlignment="1">
      <alignment horizontal="center" vertical="center" wrapText="1"/>
    </xf>
    <xf numFmtId="0" fontId="62" fillId="0" borderId="3" xfId="0" applyFont="1" applyBorder="1" applyAlignment="1">
      <alignment horizontal="left" vertical="center" wrapText="1"/>
    </xf>
    <xf numFmtId="3" fontId="61" fillId="0" borderId="3" xfId="0" applyNumberFormat="1" applyFont="1" applyBorder="1" applyAlignment="1">
      <alignment horizontal="center"/>
    </xf>
    <xf numFmtId="0" fontId="62" fillId="25" borderId="3" xfId="0" applyFont="1" applyFill="1" applyBorder="1" applyAlignment="1">
      <alignment horizontal="left" vertical="center" wrapText="1"/>
    </xf>
    <xf numFmtId="0" fontId="63" fillId="0" borderId="3" xfId="0" applyFont="1" applyBorder="1" applyAlignment="1">
      <alignment horizontal="left" vertical="center" wrapText="1"/>
    </xf>
    <xf numFmtId="3" fontId="17" fillId="0" borderId="3" xfId="0" applyNumberFormat="1" applyFont="1" applyFill="1" applyBorder="1" applyAlignment="1">
      <alignment horizontal="center"/>
    </xf>
    <xf numFmtId="3" fontId="66" fillId="0" borderId="3" xfId="0" applyNumberFormat="1" applyFont="1" applyBorder="1" applyAlignment="1">
      <alignment horizontal="center"/>
    </xf>
    <xf numFmtId="3" fontId="66" fillId="0" borderId="3" xfId="0" applyNumberFormat="1" applyFont="1" applyBorder="1" applyAlignment="1">
      <alignment horizontal="right" vertical="center"/>
    </xf>
    <xf numFmtId="3" fontId="66" fillId="21" borderId="3" xfId="0" applyNumberFormat="1" applyFont="1" applyFill="1" applyBorder="1" applyAlignment="1">
      <alignment horizontal="center"/>
    </xf>
    <xf numFmtId="3" fontId="61" fillId="10" borderId="3" xfId="0" applyNumberFormat="1" applyFont="1" applyFill="1" applyBorder="1" applyAlignment="1">
      <alignment horizontal="center"/>
    </xf>
    <xf numFmtId="0" fontId="65" fillId="3" borderId="0" xfId="0" applyFont="1" applyFill="1" applyAlignment="1">
      <alignment horizontal="center" vertical="center"/>
    </xf>
    <xf numFmtId="0" fontId="65" fillId="3" borderId="0" xfId="0" applyFont="1" applyFill="1" applyAlignment="1">
      <alignment horizontal="left" vertical="center"/>
    </xf>
    <xf numFmtId="0" fontId="65" fillId="3" borderId="0" xfId="0" applyFont="1" applyFill="1" applyAlignment="1">
      <alignment horizontal="center"/>
    </xf>
    <xf numFmtId="49" fontId="67" fillId="0" borderId="1" xfId="0" applyNumberFormat="1" applyFont="1" applyBorder="1" applyAlignment="1">
      <alignment horizontal="center" vertical="center"/>
    </xf>
    <xf numFmtId="49" fontId="67" fillId="0" borderId="1" xfId="0" applyNumberFormat="1" applyFont="1" applyBorder="1" applyAlignment="1">
      <alignment horizontal="center" vertical="center" wrapText="1"/>
    </xf>
    <xf numFmtId="0" fontId="68" fillId="0" borderId="1" xfId="0" applyFont="1" applyBorder="1" applyAlignment="1">
      <alignment horizontal="left" vertical="center" wrapText="1"/>
    </xf>
    <xf numFmtId="3" fontId="68" fillId="0" borderId="1" xfId="0" applyNumberFormat="1" applyFont="1" applyBorder="1" applyAlignment="1">
      <alignment horizontal="right" vertical="center"/>
    </xf>
    <xf numFmtId="0" fontId="69" fillId="0" borderId="0" xfId="0" applyFont="1"/>
    <xf numFmtId="3" fontId="70" fillId="0" borderId="1" xfId="1" applyNumberFormat="1" applyFont="1" applyBorder="1" applyAlignment="1">
      <alignment horizontal="right" vertical="center"/>
    </xf>
    <xf numFmtId="0" fontId="71" fillId="0" borderId="0" xfId="0" applyFont="1" applyAlignment="1">
      <alignment horizontal="center" vertical="center"/>
    </xf>
    <xf numFmtId="4" fontId="19" fillId="0" borderId="0" xfId="0" applyNumberFormat="1" applyFont="1"/>
    <xf numFmtId="4" fontId="19" fillId="0" borderId="0" xfId="0" applyNumberFormat="1" applyFont="1" applyAlignment="1">
      <alignment horizontal="center" vertical="center" wrapText="1"/>
    </xf>
    <xf numFmtId="4" fontId="23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5" fillId="10" borderId="52" xfId="0" applyFont="1" applyFill="1" applyBorder="1" applyAlignment="1">
      <alignment horizontal="center" vertical="top" wrapText="1"/>
    </xf>
    <xf numFmtId="3" fontId="39" fillId="21" borderId="1" xfId="0" applyNumberFormat="1" applyFont="1" applyFill="1" applyBorder="1" applyAlignment="1">
      <alignment horizontal="center" vertical="center" wrapText="1"/>
    </xf>
    <xf numFmtId="3" fontId="39" fillId="21" borderId="41" xfId="0" applyNumberFormat="1" applyFont="1" applyFill="1" applyBorder="1" applyAlignment="1">
      <alignment horizontal="center" vertical="center" wrapText="1"/>
    </xf>
    <xf numFmtId="3" fontId="39" fillId="21" borderId="36" xfId="0" applyNumberFormat="1" applyFont="1" applyFill="1" applyBorder="1" applyAlignment="1">
      <alignment horizontal="center" vertical="center" wrapText="1"/>
    </xf>
    <xf numFmtId="3" fontId="39" fillId="21" borderId="42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4" fillId="10" borderId="0" xfId="0" applyFont="1" applyFill="1" applyAlignment="1">
      <alignment horizontal="center"/>
    </xf>
    <xf numFmtId="0" fontId="3" fillId="10" borderId="0" xfId="0" applyFont="1" applyFill="1" applyAlignment="1">
      <alignment horizontal="right"/>
    </xf>
    <xf numFmtId="0" fontId="3" fillId="10" borderId="1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wrapText="1"/>
    </xf>
    <xf numFmtId="0" fontId="61" fillId="21" borderId="3" xfId="0" applyFont="1" applyFill="1" applyBorder="1" applyAlignment="1">
      <alignment horizontal="left"/>
    </xf>
    <xf numFmtId="0" fontId="61" fillId="10" borderId="3" xfId="0" applyFont="1" applyFill="1" applyBorder="1" applyAlignment="1">
      <alignment horizontal="left"/>
    </xf>
    <xf numFmtId="0" fontId="1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1" fillId="0" borderId="0" xfId="0" applyFont="1" applyAlignment="1">
      <alignment horizontal="center" wrapText="1"/>
    </xf>
    <xf numFmtId="0" fontId="61" fillId="0" borderId="3" xfId="0" applyFont="1" applyBorder="1" applyAlignment="1">
      <alignment horizontal="left"/>
    </xf>
    <xf numFmtId="0" fontId="65" fillId="2" borderId="0" xfId="0" applyFont="1" applyFill="1" applyBorder="1" applyAlignment="1">
      <alignment horizontal="center"/>
    </xf>
    <xf numFmtId="0" fontId="61" fillId="21" borderId="6" xfId="0" applyFont="1" applyFill="1" applyBorder="1" applyAlignment="1">
      <alignment horizontal="left"/>
    </xf>
    <xf numFmtId="0" fontId="61" fillId="21" borderId="8" xfId="0" applyFont="1" applyFill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justify"/>
    </xf>
    <xf numFmtId="0" fontId="3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4" fillId="0" borderId="7" xfId="0" applyFont="1" applyBorder="1"/>
    <xf numFmtId="0" fontId="4" fillId="0" borderId="8" xfId="0" applyFont="1" applyBorder="1"/>
    <xf numFmtId="3" fontId="5" fillId="0" borderId="6" xfId="0" applyNumberFormat="1" applyFont="1" applyBorder="1" applyAlignment="1">
      <alignment horizontal="right" wrapText="1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 wrapText="1"/>
    </xf>
    <xf numFmtId="3" fontId="12" fillId="0" borderId="6" xfId="0" applyNumberFormat="1" applyFont="1" applyBorder="1" applyAlignment="1">
      <alignment horizontal="right" wrapText="1"/>
    </xf>
    <xf numFmtId="3" fontId="10" fillId="0" borderId="6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3" fillId="0" borderId="6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29" fillId="0" borderId="3" xfId="0" applyNumberFormat="1" applyFont="1" applyBorder="1" applyAlignment="1">
      <alignment horizontal="right" vertical="center" wrapText="1"/>
    </xf>
    <xf numFmtId="3" fontId="34" fillId="0" borderId="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justify" shrinkToFit="1"/>
    </xf>
    <xf numFmtId="0" fontId="4" fillId="0" borderId="12" xfId="0" applyFont="1" applyBorder="1" applyAlignment="1">
      <alignment shrinkToFit="1"/>
    </xf>
    <xf numFmtId="0" fontId="12" fillId="0" borderId="1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/>
    </xf>
    <xf numFmtId="0" fontId="29" fillId="0" borderId="1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 wrapText="1"/>
    </xf>
    <xf numFmtId="3" fontId="12" fillId="0" borderId="3" xfId="0" applyNumberFormat="1" applyFont="1" applyBorder="1" applyAlignment="1">
      <alignment horizontal="right" wrapText="1"/>
    </xf>
    <xf numFmtId="3" fontId="10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0" fontId="12" fillId="0" borderId="18" xfId="0" applyFont="1" applyBorder="1" applyAlignment="1">
      <alignment horizontal="right" wrapText="1"/>
    </xf>
    <xf numFmtId="0" fontId="4" fillId="0" borderId="18" xfId="0" applyFont="1" applyBorder="1" applyAlignment="1">
      <alignment horizontal="right"/>
    </xf>
    <xf numFmtId="0" fontId="5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3" fontId="29" fillId="0" borderId="9" xfId="0" applyNumberFormat="1" applyFont="1" applyBorder="1" applyAlignment="1">
      <alignment horizontal="right" wrapText="1"/>
    </xf>
    <xf numFmtId="3" fontId="34" fillId="0" borderId="9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justify"/>
    </xf>
    <xf numFmtId="0" fontId="4" fillId="0" borderId="4" xfId="0" applyFont="1" applyBorder="1" applyAlignment="1">
      <alignment horizontal="center" vertical="justify"/>
    </xf>
    <xf numFmtId="0" fontId="12" fillId="0" borderId="11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30" fillId="0" borderId="1" xfId="6" applyFont="1" applyBorder="1" applyAlignment="1">
      <alignment horizontal="center" vertical="top" wrapText="1"/>
    </xf>
    <xf numFmtId="0" fontId="29" fillId="0" borderId="0" xfId="6" applyFont="1" applyAlignment="1">
      <alignment horizontal="right"/>
    </xf>
    <xf numFmtId="0" fontId="30" fillId="0" borderId="0" xfId="6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9" fillId="0" borderId="1" xfId="0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167" fontId="21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19" fillId="10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15" borderId="0" xfId="0" applyFont="1" applyFill="1" applyAlignment="1" applyProtection="1">
      <alignment horizontal="right" wrapText="1"/>
      <protection locked="0"/>
    </xf>
    <xf numFmtId="0" fontId="5" fillId="10" borderId="0" xfId="0" applyFont="1" applyFill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8" fontId="3" fillId="0" borderId="21" xfId="0" applyNumberFormat="1" applyFont="1" applyBorder="1" applyAlignment="1">
      <alignment horizontal="left" wrapText="1"/>
    </xf>
    <xf numFmtId="168" fontId="3" fillId="0" borderId="23" xfId="0" applyNumberFormat="1" applyFont="1" applyBorder="1" applyAlignment="1">
      <alignment horizontal="left" wrapText="1"/>
    </xf>
    <xf numFmtId="168" fontId="5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</cellXfs>
  <cellStyles count="7">
    <cellStyle name="Денежный" xfId="1" builtinId="4"/>
    <cellStyle name="Обычный" xfId="0" builtinId="0"/>
    <cellStyle name="Обычный 11" xfId="2"/>
    <cellStyle name="Обычный 2" xfId="3"/>
    <cellStyle name="Обычный 3" xfId="6"/>
    <cellStyle name="Обычный_Пр_1" xfId="4"/>
    <cellStyle name="Обычный_Расх." xfId="5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zoomScaleSheetLayoutView="100" workbookViewId="0">
      <selection activeCell="A4" sqref="A4:D4"/>
    </sheetView>
  </sheetViews>
  <sheetFormatPr defaultColWidth="9.140625" defaultRowHeight="15" x14ac:dyDescent="0.2"/>
  <cols>
    <col min="1" max="1" width="61" style="148" customWidth="1"/>
    <col min="2" max="2" width="25.140625" style="149" customWidth="1"/>
    <col min="3" max="3" width="15" style="149" hidden="1" customWidth="1"/>
    <col min="4" max="4" width="15.85546875" style="149" hidden="1" customWidth="1"/>
    <col min="5" max="16384" width="9.140625" style="148"/>
  </cols>
  <sheetData>
    <row r="1" spans="1:7" ht="15.75" x14ac:dyDescent="0.25">
      <c r="A1" s="589" t="s">
        <v>0</v>
      </c>
      <c r="B1" s="589"/>
      <c r="C1" s="589"/>
      <c r="D1" s="589"/>
    </row>
    <row r="2" spans="1:7" ht="15.75" x14ac:dyDescent="0.25">
      <c r="A2" s="589" t="s">
        <v>930</v>
      </c>
      <c r="B2" s="589"/>
      <c r="C2" s="589"/>
      <c r="D2" s="589"/>
    </row>
    <row r="3" spans="1:7" ht="15.75" x14ac:dyDescent="0.25">
      <c r="A3" s="589" t="s">
        <v>901</v>
      </c>
      <c r="B3" s="589"/>
      <c r="C3" s="589"/>
      <c r="D3" s="589"/>
    </row>
    <row r="4" spans="1:7" ht="15.75" x14ac:dyDescent="0.25">
      <c r="A4" s="589" t="s">
        <v>934</v>
      </c>
      <c r="B4" s="589"/>
      <c r="C4" s="589"/>
      <c r="D4" s="589"/>
    </row>
    <row r="5" spans="1:7" x14ac:dyDescent="0.2">
      <c r="A5" s="155"/>
      <c r="B5" s="156"/>
      <c r="C5" s="156"/>
      <c r="D5" s="156"/>
    </row>
    <row r="6" spans="1:7" x14ac:dyDescent="0.2">
      <c r="A6" s="590" t="s">
        <v>926</v>
      </c>
      <c r="B6" s="590"/>
      <c r="C6" s="590"/>
      <c r="D6" s="590"/>
    </row>
    <row r="7" spans="1:7" x14ac:dyDescent="0.2">
      <c r="A7" s="591"/>
      <c r="B7" s="591"/>
      <c r="C7" s="591"/>
      <c r="D7" s="591"/>
    </row>
    <row r="8" spans="1:7" ht="15.75" thickBot="1" x14ac:dyDescent="0.25">
      <c r="A8" s="157"/>
      <c r="B8" s="158"/>
      <c r="C8" s="156"/>
      <c r="D8" s="156"/>
    </row>
    <row r="9" spans="1:7" ht="66" customHeight="1" x14ac:dyDescent="0.2">
      <c r="A9" s="159" t="s">
        <v>585</v>
      </c>
      <c r="B9" s="162" t="s">
        <v>929</v>
      </c>
      <c r="C9" s="162" t="s">
        <v>819</v>
      </c>
      <c r="D9" s="162" t="s">
        <v>820</v>
      </c>
    </row>
    <row r="10" spans="1:7" x14ac:dyDescent="0.2">
      <c r="A10" s="314" t="s">
        <v>586</v>
      </c>
      <c r="B10" s="295">
        <f>B12+B15</f>
        <v>60394942.729999997</v>
      </c>
      <c r="C10" s="295">
        <f>C12+C15</f>
        <v>145087000</v>
      </c>
      <c r="D10" s="295">
        <f>D12+D15</f>
        <v>147109000</v>
      </c>
    </row>
    <row r="11" spans="1:7" x14ac:dyDescent="0.2">
      <c r="A11" s="315" t="s">
        <v>587</v>
      </c>
      <c r="B11" s="150"/>
      <c r="C11" s="160"/>
      <c r="D11" s="161"/>
    </row>
    <row r="12" spans="1:7" x14ac:dyDescent="0.2">
      <c r="A12" s="315" t="s">
        <v>838</v>
      </c>
      <c r="B12" s="150">
        <f>B14+B13</f>
        <v>45158906.879999995</v>
      </c>
      <c r="C12" s="150">
        <f>C14+C13</f>
        <v>110087000</v>
      </c>
      <c r="D12" s="150">
        <f>D14+D13</f>
        <v>116309000</v>
      </c>
    </row>
    <row r="13" spans="1:7" x14ac:dyDescent="0.2">
      <c r="A13" s="315" t="s">
        <v>588</v>
      </c>
      <c r="B13" s="150">
        <f>Пр2!K12+Пр2!K14+Пр2!K16+Пр2!K18</f>
        <v>38275880.959999993</v>
      </c>
      <c r="C13" s="150">
        <f>Пр3!L12+Пр3!L14+Пр3!L16+Пр3!L18</f>
        <v>98321000</v>
      </c>
      <c r="D13" s="150">
        <f>Пр3!O12+Пр3!O14+Пр3!O16+Пр3!O18</f>
        <v>104620000</v>
      </c>
      <c r="F13" s="149"/>
    </row>
    <row r="14" spans="1:7" x14ac:dyDescent="0.2">
      <c r="A14" s="315" t="s">
        <v>589</v>
      </c>
      <c r="B14" s="150">
        <f>Пр2!K21+Пр2!K28+Пр2!K30+Пр2!K36+Пр2!K38</f>
        <v>6883025.9200000009</v>
      </c>
      <c r="C14" s="150">
        <f>Пр3!L21+Пр3!L28+Пр3!L30+Пр3!L36+Пр3!L38</f>
        <v>11766000</v>
      </c>
      <c r="D14" s="150">
        <f>Пр3!O21+Пр3!O28+Пр3!O30+Пр3!O36+Пр3!O38</f>
        <v>11689000</v>
      </c>
    </row>
    <row r="15" spans="1:7" x14ac:dyDescent="0.2">
      <c r="A15" s="315" t="s">
        <v>57</v>
      </c>
      <c r="B15" s="150">
        <f>Пр2!K41</f>
        <v>15236035.85</v>
      </c>
      <c r="C15" s="150">
        <f>Пр3!L41</f>
        <v>35000000</v>
      </c>
      <c r="D15" s="150">
        <f>Пр3!O41</f>
        <v>30800000</v>
      </c>
    </row>
    <row r="16" spans="1:7" x14ac:dyDescent="0.2">
      <c r="A16" s="314" t="s">
        <v>590</v>
      </c>
      <c r="B16" s="295">
        <f>B18+B20+B19</f>
        <v>59114471.110000014</v>
      </c>
      <c r="C16" s="295">
        <f t="shared" ref="C16:D16" si="0">C18+C20+C19</f>
        <v>145087000</v>
      </c>
      <c r="D16" s="295">
        <f t="shared" si="0"/>
        <v>147109000</v>
      </c>
      <c r="G16" s="149"/>
    </row>
    <row r="17" spans="1:4" x14ac:dyDescent="0.2">
      <c r="A17" s="315" t="s">
        <v>587</v>
      </c>
      <c r="B17" s="150"/>
      <c r="C17" s="160"/>
      <c r="D17" s="161"/>
    </row>
    <row r="18" spans="1:4" x14ac:dyDescent="0.2">
      <c r="A18" s="316" t="str">
        <f>Пр12!A10</f>
        <v>Администрация Тутаевского муниципального района</v>
      </c>
      <c r="B18" s="150">
        <f>Пр12!H10</f>
        <v>58533407.660000011</v>
      </c>
      <c r="C18" s="150">
        <f>Пр13!I10</f>
        <v>141349069</v>
      </c>
      <c r="D18" s="150">
        <f>Пр13!L10</f>
        <v>140307794</v>
      </c>
    </row>
    <row r="19" spans="1:4" x14ac:dyDescent="0.2">
      <c r="A19" s="316" t="str">
        <f>Пр12!A188</f>
        <v>Муниципальный Совет городского поселения Тутаев</v>
      </c>
      <c r="B19" s="150">
        <f>Пр12!H188</f>
        <v>581063.44999999995</v>
      </c>
      <c r="C19" s="150">
        <f>Пр13!G116</f>
        <v>985756</v>
      </c>
      <c r="D19" s="150">
        <f>Пр13!J116</f>
        <v>985756</v>
      </c>
    </row>
    <row r="20" spans="1:4" x14ac:dyDescent="0.2">
      <c r="A20" s="317" t="s">
        <v>591</v>
      </c>
      <c r="B20" s="151"/>
      <c r="C20" s="151">
        <f>Пр13!I122</f>
        <v>2752175</v>
      </c>
      <c r="D20" s="152">
        <f>Пр13!L122</f>
        <v>5815450</v>
      </c>
    </row>
    <row r="21" spans="1:4" x14ac:dyDescent="0.2">
      <c r="A21" s="318" t="s">
        <v>592</v>
      </c>
      <c r="B21" s="585">
        <f>B10-B16</f>
        <v>1280471.6199999824</v>
      </c>
      <c r="C21" s="585">
        <f>C10-C16</f>
        <v>0</v>
      </c>
      <c r="D21" s="587">
        <f>D10-D16</f>
        <v>0</v>
      </c>
    </row>
    <row r="22" spans="1:4" ht="15.75" thickBot="1" x14ac:dyDescent="0.25">
      <c r="A22" s="319" t="s">
        <v>593</v>
      </c>
      <c r="B22" s="586"/>
      <c r="C22" s="586"/>
      <c r="D22" s="588"/>
    </row>
  </sheetData>
  <mergeCells count="8">
    <mergeCell ref="B21:B22"/>
    <mergeCell ref="C21:C22"/>
    <mergeCell ref="D21:D22"/>
    <mergeCell ref="A1:D1"/>
    <mergeCell ref="A2:D2"/>
    <mergeCell ref="A3:D3"/>
    <mergeCell ref="A4:D4"/>
    <mergeCell ref="A6:D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view="pageBreakPreview" zoomScaleSheetLayoutView="100" workbookViewId="0">
      <selection activeCell="A4" sqref="A4:C4"/>
    </sheetView>
  </sheetViews>
  <sheetFormatPr defaultColWidth="9.140625" defaultRowHeight="12.75" x14ac:dyDescent="0.2"/>
  <cols>
    <col min="1" max="1" width="5.140625" style="289" bestFit="1" customWidth="1"/>
    <col min="2" max="2" width="24.42578125" style="289" customWidth="1"/>
    <col min="3" max="3" width="59.140625" style="289" customWidth="1"/>
    <col min="4" max="16384" width="9.140625" style="51"/>
  </cols>
  <sheetData>
    <row r="1" spans="1:3" ht="15.75" customHeight="1" x14ac:dyDescent="0.2">
      <c r="A1" s="690" t="s">
        <v>835</v>
      </c>
      <c r="B1" s="690"/>
      <c r="C1" s="690"/>
    </row>
    <row r="2" spans="1:3" ht="15.75" x14ac:dyDescent="0.2">
      <c r="A2" s="690" t="s">
        <v>594</v>
      </c>
      <c r="B2" s="690"/>
      <c r="C2" s="690"/>
    </row>
    <row r="3" spans="1:3" ht="15.75" x14ac:dyDescent="0.2">
      <c r="A3" s="690" t="s">
        <v>584</v>
      </c>
      <c r="B3" s="690"/>
      <c r="C3" s="690"/>
    </row>
    <row r="4" spans="1:3" ht="15.75" x14ac:dyDescent="0.2">
      <c r="A4" s="690" t="s">
        <v>837</v>
      </c>
      <c r="B4" s="690"/>
      <c r="C4" s="690"/>
    </row>
    <row r="5" spans="1:3" ht="14.25" customHeight="1" x14ac:dyDescent="0.2">
      <c r="A5" s="283"/>
      <c r="B5" s="283"/>
      <c r="C5" s="283"/>
    </row>
    <row r="6" spans="1:3" ht="45.75" customHeight="1" x14ac:dyDescent="0.2">
      <c r="A6" s="612" t="s">
        <v>818</v>
      </c>
      <c r="B6" s="612"/>
      <c r="C6" s="612"/>
    </row>
    <row r="7" spans="1:3" ht="15.75" hidden="1" customHeight="1" x14ac:dyDescent="0.2">
      <c r="A7" s="284"/>
      <c r="B7" s="288"/>
      <c r="C7" s="288"/>
    </row>
    <row r="8" spans="1:3" ht="22.5" customHeight="1" x14ac:dyDescent="0.2">
      <c r="A8" s="687" t="s">
        <v>228</v>
      </c>
      <c r="B8" s="688"/>
      <c r="C8" s="689"/>
    </row>
    <row r="9" spans="1:3" ht="33.75" customHeight="1" x14ac:dyDescent="0.2">
      <c r="A9" s="285">
        <v>950</v>
      </c>
      <c r="B9" s="285" t="s">
        <v>756</v>
      </c>
      <c r="C9" s="286" t="s">
        <v>757</v>
      </c>
    </row>
    <row r="10" spans="1:3" ht="66.75" customHeight="1" x14ac:dyDescent="0.2">
      <c r="A10" s="285">
        <v>950</v>
      </c>
      <c r="B10" s="285" t="s">
        <v>758</v>
      </c>
      <c r="C10" s="286" t="s">
        <v>759</v>
      </c>
    </row>
    <row r="11" spans="1:3" ht="60" x14ac:dyDescent="0.2">
      <c r="A11" s="285">
        <v>950</v>
      </c>
      <c r="B11" s="285" t="s">
        <v>760</v>
      </c>
      <c r="C11" s="286" t="s">
        <v>761</v>
      </c>
    </row>
    <row r="12" spans="1:3" ht="47.25" customHeight="1" x14ac:dyDescent="0.2">
      <c r="A12" s="285">
        <v>950</v>
      </c>
      <c r="B12" s="285" t="s">
        <v>762</v>
      </c>
      <c r="C12" s="286" t="s">
        <v>763</v>
      </c>
    </row>
    <row r="13" spans="1:3" ht="45" customHeight="1" x14ac:dyDescent="0.2">
      <c r="A13" s="285">
        <v>950</v>
      </c>
      <c r="B13" s="287" t="s">
        <v>764</v>
      </c>
      <c r="C13" s="286" t="s">
        <v>765</v>
      </c>
    </row>
    <row r="14" spans="1:3" ht="76.5" customHeight="1" x14ac:dyDescent="0.2">
      <c r="A14" s="285">
        <v>950</v>
      </c>
      <c r="B14" s="287" t="s">
        <v>766</v>
      </c>
      <c r="C14" s="286" t="s">
        <v>767</v>
      </c>
    </row>
    <row r="15" spans="1:3" ht="61.5" customHeight="1" x14ac:dyDescent="0.2">
      <c r="A15" s="285">
        <v>950</v>
      </c>
      <c r="B15" s="287" t="s">
        <v>768</v>
      </c>
      <c r="C15" s="286" t="s">
        <v>769</v>
      </c>
    </row>
    <row r="16" spans="1:3" ht="47.25" customHeight="1" x14ac:dyDescent="0.2">
      <c r="A16" s="285">
        <v>950</v>
      </c>
      <c r="B16" s="285" t="s">
        <v>770</v>
      </c>
      <c r="C16" s="286" t="s">
        <v>771</v>
      </c>
    </row>
    <row r="17" spans="1:3" ht="22.5" customHeight="1" x14ac:dyDescent="0.2">
      <c r="A17" s="687" t="s">
        <v>229</v>
      </c>
      <c r="B17" s="688"/>
      <c r="C17" s="689"/>
    </row>
    <row r="18" spans="1:3" ht="30" customHeight="1" x14ac:dyDescent="0.2">
      <c r="A18" s="285">
        <v>955</v>
      </c>
      <c r="B18" s="285" t="s">
        <v>772</v>
      </c>
      <c r="C18" s="286" t="s">
        <v>234</v>
      </c>
    </row>
    <row r="19" spans="1:3" ht="32.25" customHeight="1" x14ac:dyDescent="0.2">
      <c r="A19" s="285">
        <v>955</v>
      </c>
      <c r="B19" s="285" t="s">
        <v>773</v>
      </c>
      <c r="C19" s="286" t="s">
        <v>235</v>
      </c>
    </row>
    <row r="20" spans="1:3" ht="21.75" customHeight="1" x14ac:dyDescent="0.2">
      <c r="A20" s="285">
        <v>955</v>
      </c>
      <c r="B20" s="285" t="s">
        <v>774</v>
      </c>
      <c r="C20" s="286" t="s">
        <v>236</v>
      </c>
    </row>
    <row r="21" spans="1:3" ht="90" x14ac:dyDescent="0.2">
      <c r="A21" s="285">
        <v>955</v>
      </c>
      <c r="B21" s="285" t="s">
        <v>775</v>
      </c>
      <c r="C21" s="286" t="s">
        <v>237</v>
      </c>
    </row>
  </sheetData>
  <mergeCells count="7">
    <mergeCell ref="A8:C8"/>
    <mergeCell ref="A17:C17"/>
    <mergeCell ref="A1:C1"/>
    <mergeCell ref="A2:C2"/>
    <mergeCell ref="A3:C3"/>
    <mergeCell ref="A4:C4"/>
    <mergeCell ref="A6:C6"/>
  </mergeCells>
  <printOptions gridLinesSet="0"/>
  <pageMargins left="0.70866141732283472" right="0.70866141732283472" top="0.74803149606299213" bottom="0.74803149606299213" header="0.51181102362204722" footer="0.51181102362204722"/>
  <pageSetup paperSize="9" scale="97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showGridLines="0" view="pageBreakPreview" zoomScaleSheetLayoutView="100" workbookViewId="0">
      <selection activeCell="A4" sqref="A4:C4"/>
    </sheetView>
  </sheetViews>
  <sheetFormatPr defaultColWidth="9.140625" defaultRowHeight="12.75" x14ac:dyDescent="0.2"/>
  <cols>
    <col min="1" max="1" width="9.140625" style="51"/>
    <col min="2" max="2" width="28.5703125" style="51" customWidth="1"/>
    <col min="3" max="3" width="47.5703125" style="51" customWidth="1"/>
    <col min="4" max="16384" width="9.140625" style="51"/>
  </cols>
  <sheetData>
    <row r="1" spans="1:3" ht="15.75" x14ac:dyDescent="0.25">
      <c r="A1" s="693" t="s">
        <v>239</v>
      </c>
      <c r="B1" s="693"/>
      <c r="C1" s="693"/>
    </row>
    <row r="2" spans="1:3" ht="15.75" x14ac:dyDescent="0.25">
      <c r="A2" s="693" t="s">
        <v>594</v>
      </c>
      <c r="B2" s="693"/>
      <c r="C2" s="693"/>
    </row>
    <row r="3" spans="1:3" ht="15.75" x14ac:dyDescent="0.25">
      <c r="A3" s="693" t="s">
        <v>584</v>
      </c>
      <c r="B3" s="693"/>
      <c r="C3" s="693"/>
    </row>
    <row r="4" spans="1:3" ht="15.75" x14ac:dyDescent="0.25">
      <c r="A4" s="693" t="s">
        <v>837</v>
      </c>
      <c r="B4" s="693"/>
      <c r="C4" s="693"/>
    </row>
    <row r="5" spans="1:3" ht="15.75" x14ac:dyDescent="0.25">
      <c r="A5" s="6"/>
      <c r="B5" s="1"/>
      <c r="C5" s="1"/>
    </row>
    <row r="6" spans="1:3" ht="48" customHeight="1" x14ac:dyDescent="0.2">
      <c r="A6" s="694" t="s">
        <v>825</v>
      </c>
      <c r="B6" s="694"/>
      <c r="C6" s="694"/>
    </row>
    <row r="7" spans="1:3" ht="18.75" x14ac:dyDescent="0.3">
      <c r="A7" s="691"/>
      <c r="B7" s="691"/>
      <c r="C7" s="691"/>
    </row>
    <row r="8" spans="1:3" ht="15.75" customHeight="1" x14ac:dyDescent="0.2">
      <c r="A8" s="692" t="s">
        <v>246</v>
      </c>
      <c r="B8" s="692"/>
      <c r="C8" s="692"/>
    </row>
    <row r="9" spans="1:3" ht="47.25" x14ac:dyDescent="0.2">
      <c r="A9" s="405">
        <v>950</v>
      </c>
      <c r="B9" s="405" t="s">
        <v>800</v>
      </c>
      <c r="C9" s="406" t="s">
        <v>781</v>
      </c>
    </row>
    <row r="10" spans="1:3" ht="47.25" x14ac:dyDescent="0.2">
      <c r="A10" s="405">
        <v>950</v>
      </c>
      <c r="B10" s="405" t="s">
        <v>801</v>
      </c>
      <c r="C10" s="406" t="s">
        <v>802</v>
      </c>
    </row>
    <row r="11" spans="1:3" ht="63" x14ac:dyDescent="0.2">
      <c r="A11" s="405">
        <v>950</v>
      </c>
      <c r="B11" s="405" t="s">
        <v>803</v>
      </c>
      <c r="C11" s="406" t="s">
        <v>804</v>
      </c>
    </row>
    <row r="12" spans="1:3" ht="63" x14ac:dyDescent="0.2">
      <c r="A12" s="405">
        <v>950</v>
      </c>
      <c r="B12" s="405" t="s">
        <v>805</v>
      </c>
      <c r="C12" s="406" t="s">
        <v>806</v>
      </c>
    </row>
    <row r="13" spans="1:3" ht="31.5" x14ac:dyDescent="0.2">
      <c r="A13" s="405">
        <v>950</v>
      </c>
      <c r="B13" s="405" t="s">
        <v>807</v>
      </c>
      <c r="C13" s="406" t="s">
        <v>808</v>
      </c>
    </row>
    <row r="14" spans="1:3" ht="31.5" x14ac:dyDescent="0.2">
      <c r="A14" s="405">
        <v>950</v>
      </c>
      <c r="B14" s="405" t="s">
        <v>809</v>
      </c>
      <c r="C14" s="406" t="s">
        <v>810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97"/>
  <sheetViews>
    <sheetView showGridLines="0" view="pageBreakPreview" zoomScaleSheetLayoutView="100" workbookViewId="0">
      <selection activeCell="H7" sqref="H7"/>
    </sheetView>
  </sheetViews>
  <sheetFormatPr defaultColWidth="9.140625" defaultRowHeight="15.75" x14ac:dyDescent="0.25"/>
  <cols>
    <col min="1" max="1" width="41" style="324" customWidth="1"/>
    <col min="2" max="2" width="9.5703125" style="334" customWidth="1"/>
    <col min="3" max="3" width="7.28515625" style="334" customWidth="1"/>
    <col min="4" max="4" width="10.140625" style="335" customWidth="1"/>
    <col min="5" max="5" width="10.28515625" style="336" customWidth="1"/>
    <col min="6" max="6" width="10.28515625" style="334" customWidth="1"/>
    <col min="7" max="7" width="17.5703125" style="337" hidden="1" customWidth="1"/>
    <col min="8" max="8" width="14.28515625" style="53" customWidth="1"/>
    <col min="9" max="9" width="14.28515625" style="53" hidden="1" customWidth="1"/>
    <col min="10" max="10" width="11.5703125" style="580" hidden="1" customWidth="1"/>
    <col min="11" max="16384" width="9.140625" style="53"/>
  </cols>
  <sheetData>
    <row r="1" spans="1:10" x14ac:dyDescent="0.25">
      <c r="A1" s="605" t="s">
        <v>191</v>
      </c>
      <c r="B1" s="605"/>
      <c r="C1" s="605"/>
      <c r="D1" s="605"/>
      <c r="E1" s="605"/>
      <c r="F1" s="605"/>
      <c r="G1" s="605"/>
      <c r="H1" s="605"/>
      <c r="I1" s="605"/>
    </row>
    <row r="2" spans="1:10" x14ac:dyDescent="0.25">
      <c r="A2" s="605" t="s">
        <v>932</v>
      </c>
      <c r="B2" s="605"/>
      <c r="C2" s="605"/>
      <c r="D2" s="605"/>
      <c r="E2" s="605"/>
      <c r="F2" s="605"/>
      <c r="G2" s="605"/>
      <c r="H2" s="605"/>
      <c r="I2" s="605"/>
    </row>
    <row r="3" spans="1:10" x14ac:dyDescent="0.25">
      <c r="A3" s="605" t="s">
        <v>901</v>
      </c>
      <c r="B3" s="605"/>
      <c r="C3" s="605"/>
      <c r="D3" s="605"/>
      <c r="E3" s="605"/>
      <c r="F3" s="605"/>
      <c r="G3" s="605"/>
      <c r="H3" s="605"/>
      <c r="I3" s="605"/>
    </row>
    <row r="4" spans="1:10" x14ac:dyDescent="0.25">
      <c r="A4" s="605" t="s">
        <v>937</v>
      </c>
      <c r="B4" s="605"/>
      <c r="C4" s="605"/>
      <c r="D4" s="605"/>
      <c r="E4" s="605"/>
      <c r="F4" s="605"/>
      <c r="G4" s="605"/>
      <c r="H4" s="605"/>
      <c r="I4" s="605"/>
    </row>
    <row r="6" spans="1:10" ht="37.5" customHeight="1" x14ac:dyDescent="0.25">
      <c r="A6" s="697" t="s">
        <v>928</v>
      </c>
      <c r="B6" s="697"/>
      <c r="C6" s="697"/>
      <c r="D6" s="697"/>
      <c r="E6" s="697"/>
      <c r="F6" s="697"/>
      <c r="G6" s="697"/>
      <c r="H6" s="697"/>
      <c r="I6" s="697"/>
    </row>
    <row r="7" spans="1:10" ht="18.75" x14ac:dyDescent="0.25">
      <c r="A7" s="325"/>
      <c r="B7" s="338"/>
      <c r="C7" s="338"/>
      <c r="D7" s="338"/>
      <c r="E7" s="338"/>
      <c r="F7" s="338"/>
    </row>
    <row r="8" spans="1:10" ht="26.25" customHeight="1" x14ac:dyDescent="0.25">
      <c r="A8" s="698" t="s">
        <v>76</v>
      </c>
      <c r="B8" s="699" t="s">
        <v>240</v>
      </c>
      <c r="C8" s="699" t="s">
        <v>241</v>
      </c>
      <c r="D8" s="700" t="s">
        <v>242</v>
      </c>
      <c r="E8" s="700"/>
      <c r="F8" s="699" t="s">
        <v>243</v>
      </c>
      <c r="G8" s="695" t="s">
        <v>924</v>
      </c>
      <c r="H8" s="695" t="s">
        <v>929</v>
      </c>
      <c r="I8" s="695" t="s">
        <v>925</v>
      </c>
    </row>
    <row r="9" spans="1:10" s="54" customFormat="1" ht="75" customHeight="1" x14ac:dyDescent="0.2">
      <c r="A9" s="698"/>
      <c r="B9" s="699"/>
      <c r="C9" s="699"/>
      <c r="D9" s="55" t="s">
        <v>244</v>
      </c>
      <c r="E9" s="56" t="s">
        <v>245</v>
      </c>
      <c r="F9" s="699"/>
      <c r="G9" s="696"/>
      <c r="H9" s="696"/>
      <c r="I9" s="696"/>
      <c r="J9" s="581"/>
    </row>
    <row r="10" spans="1:10" s="57" customFormat="1" ht="31.5" x14ac:dyDescent="0.25">
      <c r="A10" s="326" t="str">
        <f>IF(B10&gt;0,VLOOKUP(B10,КВСР!A1:B1166,2),IF(C10&gt;0,VLOOKUP(C10,КФСР!A1:B1513,2),IF(D10&gt;0,VLOOKUP(D10,Программа!A$3:B$4973,2),IF(F10&gt;0,VLOOKUP(F10,КВР!A$1:B$5001,2),IF(E10&gt;0,VLOOKUP(E10,Направление!A$1:B$4591,2))))))</f>
        <v>Администрация Тутаевского муниципального района</v>
      </c>
      <c r="B10" s="255">
        <v>950</v>
      </c>
      <c r="C10" s="256"/>
      <c r="D10" s="257"/>
      <c r="E10" s="256"/>
      <c r="F10" s="258"/>
      <c r="G10" s="259">
        <f>G48+G54+G82+G102+G119+G134+G11+G15+G40+G44+G162+G166+G170+G174+G184</f>
        <v>252806822</v>
      </c>
      <c r="H10" s="259">
        <f>H48+H54+H82+H102+H119+H134+H11+H15+H40+H44+H162+H166+H170+H174+H184</f>
        <v>58533407.660000011</v>
      </c>
      <c r="I10" s="259">
        <f>I48+I54+I82+I102+I119+I134+I11+I15+I40+I44+I162+I166+I170+I174+I184</f>
        <v>194273414.34</v>
      </c>
      <c r="J10" s="582">
        <f>H10/G10*100</f>
        <v>23.153413027754453</v>
      </c>
    </row>
    <row r="11" spans="1:10" s="57" customFormat="1" ht="78.75" x14ac:dyDescent="0.25">
      <c r="A11" s="327" t="str">
        <f>IF(B11&gt;0,VLOOKUP(B11,КВСР!A2:B1167,2),IF(C11&gt;0,VLOOKUP(C11,КФСР!A2:B1514,2),IF(D11&gt;0,VLOOKUP(D11,Программа!A$3:B$4973,2),IF(F11&gt;0,VLOOKUP(F11,КВР!A$1:B$5001,2),IF(E11&gt;0,VLOOKUP(E11,Направление!A$1:B$4591,2))))))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" s="183"/>
      <c r="C11" s="184">
        <v>106</v>
      </c>
      <c r="D11" s="185"/>
      <c r="E11" s="184"/>
      <c r="F11" s="186"/>
      <c r="G11" s="145">
        <f t="shared" ref="G11:H13" si="0">G12</f>
        <v>53095</v>
      </c>
      <c r="H11" s="145">
        <f t="shared" si="0"/>
        <v>26547.5</v>
      </c>
      <c r="I11" s="145">
        <f>G11-H11</f>
        <v>26547.5</v>
      </c>
      <c r="J11" s="582">
        <f>H11/G11*100</f>
        <v>50</v>
      </c>
    </row>
    <row r="12" spans="1:10" s="57" customFormat="1" ht="29.25" hidden="1" customHeight="1" x14ac:dyDescent="0.25">
      <c r="A12" s="328" t="str">
        <f>IF(B12&gt;0,VLOOKUP(B12,КВСР!A3:B1168,2),IF(C12&gt;0,VLOOKUP(C12,КФСР!A3:B1515,2),IF(D12&gt;0,VLOOKUP(D12,Программа!A$3:B$4973,2),IF(F12&gt;0,VLOOKUP(F12,КВР!A$1:B$5001,2),IF(E12&gt;0,VLOOKUP(E12,Направление!A$1:B$4591,2))))))</f>
        <v>Непрограммные расходы бюджета</v>
      </c>
      <c r="B12" s="298"/>
      <c r="C12" s="299"/>
      <c r="D12" s="300" t="s">
        <v>618</v>
      </c>
      <c r="E12" s="299"/>
      <c r="F12" s="301"/>
      <c r="G12" s="407">
        <f t="shared" si="0"/>
        <v>53095</v>
      </c>
      <c r="H12" s="407">
        <f t="shared" si="0"/>
        <v>26547.5</v>
      </c>
      <c r="I12" s="407">
        <f>G12-H12</f>
        <v>26547.5</v>
      </c>
    </row>
    <row r="13" spans="1:10" s="57" customFormat="1" ht="63" x14ac:dyDescent="0.25">
      <c r="A13" s="329" t="str">
        <f>IF(B13&gt;0,VLOOKUP(B13,КВСР!A4:B1169,2),IF(C13&gt;0,VLOOKUP(C13,КФСР!A4:B1516,2),IF(D13&gt;0,VLOOKUP(D13,Программа!A$3:B$4973,2),IF(F13&gt;0,VLOOKUP(F13,КВР!A$1:B$5001,2),IF(E13&gt;0,VLOOKUP(E13,Направление!A$1:B$4591,2))))))</f>
        <v>Межбюджетные трансферты на обеспечение мероприятий по осуществлению внешнего муниципального контроля</v>
      </c>
      <c r="B13" s="210"/>
      <c r="C13" s="211"/>
      <c r="D13" s="269"/>
      <c r="E13" s="211">
        <v>29386</v>
      </c>
      <c r="F13" s="212"/>
      <c r="G13" s="213">
        <f t="shared" si="0"/>
        <v>53095</v>
      </c>
      <c r="H13" s="213">
        <f t="shared" si="0"/>
        <v>26547.5</v>
      </c>
      <c r="I13" s="213">
        <f>G13-H13</f>
        <v>26547.5</v>
      </c>
      <c r="J13" s="582">
        <f t="shared" ref="J13:J15" si="1">H13/G13*100</f>
        <v>50</v>
      </c>
    </row>
    <row r="14" spans="1:10" s="57" customFormat="1" x14ac:dyDescent="0.25">
      <c r="A14" s="329" t="str">
        <f>IF(B14&gt;0,VLOOKUP(B14,КВСР!A5:B1170,2),IF(C14&gt;0,VLOOKUP(C14,КФСР!A5:B1517,2),IF(D14&gt;0,VLOOKUP(D14,Программа!A$3:B$4973,2),IF(F14&gt;0,VLOOKUP(F14,КВР!A$1:B$5001,2),IF(E14&gt;0,VLOOKUP(E14,Направление!A$1:B$4591,2))))))</f>
        <v xml:space="preserve"> Межбюджетные трансферты</v>
      </c>
      <c r="B14" s="210"/>
      <c r="C14" s="211"/>
      <c r="D14" s="269"/>
      <c r="E14" s="211"/>
      <c r="F14" s="212">
        <v>500</v>
      </c>
      <c r="G14" s="408">
        <v>53095</v>
      </c>
      <c r="H14" s="292">
        <v>26547.5</v>
      </c>
      <c r="I14" s="410">
        <f>G14-H14</f>
        <v>26547.5</v>
      </c>
      <c r="J14" s="582">
        <f t="shared" si="1"/>
        <v>50</v>
      </c>
    </row>
    <row r="15" spans="1:10" s="57" customFormat="1" ht="31.5" x14ac:dyDescent="0.25">
      <c r="A15" s="330" t="str">
        <f>IF(B15&gt;0,VLOOKUP(B15,КВСР!A6:B1171,2),IF(C15&gt;0,VLOOKUP(C15,КФСР!A6:B1518,2),IF(D15&gt;0,VLOOKUP(D15,Программа!A$3:B$4973,2),IF(F15&gt;0,VLOOKUP(F15,КВР!A$1:B$5001,2),IF(E15&gt;0,VLOOKUP(E15,Направление!A$1:B$4591,2))))))</f>
        <v>Другие общегосударственные вопросы</v>
      </c>
      <c r="B15" s="183"/>
      <c r="C15" s="184">
        <v>113</v>
      </c>
      <c r="D15" s="185"/>
      <c r="E15" s="184"/>
      <c r="F15" s="186"/>
      <c r="G15" s="145">
        <f>G21+G16</f>
        <v>23026831</v>
      </c>
      <c r="H15" s="145">
        <f t="shared" ref="H15" si="2">H21+H16</f>
        <v>11242863.07</v>
      </c>
      <c r="I15" s="145">
        <f>G15-H15</f>
        <v>11783967.93</v>
      </c>
      <c r="J15" s="582">
        <f t="shared" si="1"/>
        <v>48.825055736067199</v>
      </c>
    </row>
    <row r="16" spans="1:10" s="57" customFormat="1" hidden="1" x14ac:dyDescent="0.25">
      <c r="A16" s="328" t="str">
        <f>IF(B16&gt;0,VLOOKUP(B16,КВСР!#REF!,2),IF(C16&gt;0,VLOOKUP(C16,КФСР!#REF!,2),IF(D16&gt;0,VLOOKUP(D16,Программа!A$3:B$4973,2),IF(F16&gt;0,VLOOKUP(F16,КВР!A$1:B$5001,2),IF(E16&gt;0,VLOOKUP(E16,Направление!A$1:B$4591,2))))))</f>
        <v>Программные расходы бюджета</v>
      </c>
      <c r="B16" s="298"/>
      <c r="C16" s="299"/>
      <c r="D16" s="300" t="s">
        <v>776</v>
      </c>
      <c r="E16" s="299"/>
      <c r="F16" s="301"/>
      <c r="G16" s="407">
        <f>G17</f>
        <v>150000</v>
      </c>
      <c r="H16" s="407">
        <f t="shared" ref="H16" si="3">H17</f>
        <v>0</v>
      </c>
      <c r="I16" s="407">
        <f t="shared" ref="I16:I27" si="4">G16-H16</f>
        <v>150000</v>
      </c>
    </row>
    <row r="17" spans="1:10" s="57" customFormat="1" ht="78.75" hidden="1" x14ac:dyDescent="0.25">
      <c r="A17" s="329" t="str">
        <f>IF(B17&gt;0,VLOOKUP(B17,КВСР!#REF!,2),IF(C17&gt;0,VLOOKUP(C17,КФСР!#REF!,2),IF(D17&gt;0,VLOOKUP(D17,Программа!A$3:B$4973,2),IF(F17&gt;0,VLOOKUP(F17,КВР!A$1:B$5001,2),IF(E17&gt;0,VLOOKUP(E17,Направление!A$1:B$4591,2))))))</f>
        <v xml:space="preserve">Муниципальная программа "Сохранение, использование и популяризация объектов культурного наследия на территории городского поселения Тутаев" </v>
      </c>
      <c r="B17" s="210"/>
      <c r="C17" s="211"/>
      <c r="D17" s="212" t="s">
        <v>831</v>
      </c>
      <c r="E17" s="211"/>
      <c r="F17" s="212"/>
      <c r="G17" s="412">
        <f>G18</f>
        <v>150000</v>
      </c>
      <c r="H17" s="412">
        <f t="shared" ref="H17:H19" si="5">H18</f>
        <v>0</v>
      </c>
      <c r="I17" s="412">
        <f t="shared" si="4"/>
        <v>150000</v>
      </c>
    </row>
    <row r="18" spans="1:10" s="57" customFormat="1" ht="47.25" hidden="1" x14ac:dyDescent="0.25">
      <c r="A18" s="329" t="str">
        <f>IF(B18&gt;0,VLOOKUP(B18,КВСР!#REF!,2),IF(C18&gt;0,VLOOKUP(C18,КФСР!#REF!,2),IF(D18&gt;0,VLOOKUP(D18,Программа!A$3:B$4973,2),IF(F18&gt;0,VLOOKUP(F18,КВР!A$1:B$5001,2),IF(E18&gt;0,VLOOKUP(E18,Направление!A$1:B$4591,2))))))</f>
        <v>Проведение историко-культурной экспертизы объектов культурного наследия</v>
      </c>
      <c r="B18" s="179"/>
      <c r="C18" s="180"/>
      <c r="D18" s="182" t="s">
        <v>833</v>
      </c>
      <c r="E18" s="180"/>
      <c r="F18" s="182"/>
      <c r="G18" s="116">
        <f>G19</f>
        <v>150000</v>
      </c>
      <c r="H18" s="116">
        <f t="shared" si="5"/>
        <v>0</v>
      </c>
      <c r="I18" s="116">
        <f t="shared" si="4"/>
        <v>150000</v>
      </c>
    </row>
    <row r="19" spans="1:10" s="57" customFormat="1" ht="31.5" hidden="1" x14ac:dyDescent="0.25">
      <c r="A19" s="329" t="str">
        <f>IF(B19&gt;0,VLOOKUP(B19,КВСР!#REF!,2),IF(C19&gt;0,VLOOKUP(C19,КФСР!#REF!,2),IF(D19&gt;0,VLOOKUP(D19,Программа!A$3:B$4973,2),IF(F19&gt;0,VLOOKUP(F19,КВР!A$1:B$5001,2),IF(E19&gt;0,VLOOKUP(E19,Направление!A$1:B$4591,2))))))</f>
        <v>Содержание имущества казны городского поселения Тутаев</v>
      </c>
      <c r="B19" s="179"/>
      <c r="C19" s="180"/>
      <c r="D19" s="182"/>
      <c r="E19" s="180">
        <v>20030</v>
      </c>
      <c r="F19" s="182"/>
      <c r="G19" s="116">
        <f>G20</f>
        <v>150000</v>
      </c>
      <c r="H19" s="116">
        <f t="shared" si="5"/>
        <v>0</v>
      </c>
      <c r="I19" s="116">
        <f t="shared" si="4"/>
        <v>150000</v>
      </c>
    </row>
    <row r="20" spans="1:10" s="57" customFormat="1" ht="47.25" hidden="1" x14ac:dyDescent="0.25">
      <c r="A20" s="329" t="str">
        <f>IF(B20&gt;0,VLOOKUP(B20,КВСР!#REF!,2),IF(C20&gt;0,VLOOKUP(C20,КФСР!#REF!,2),IF(D20&gt;0,VLOOKUP(D20,Программа!A$3:B$4973,2),IF(F20&gt;0,VLOOKUP(F20,КВР!A$1:B$5001,2),IF(E20&gt;0,VLOOKUP(E20,Направление!A$1:B$4591,2))))))</f>
        <v xml:space="preserve">Закупка товаров, работ и услуг для обеспечения государственных (муниципальных) нужд
</v>
      </c>
      <c r="B20" s="179"/>
      <c r="C20" s="180"/>
      <c r="D20" s="182"/>
      <c r="E20" s="180"/>
      <c r="F20" s="182">
        <v>200</v>
      </c>
      <c r="G20" s="410">
        <v>150000</v>
      </c>
      <c r="H20" s="411">
        <v>0</v>
      </c>
      <c r="I20" s="410">
        <f t="shared" si="4"/>
        <v>150000</v>
      </c>
    </row>
    <row r="21" spans="1:10" s="57" customFormat="1" hidden="1" x14ac:dyDescent="0.25">
      <c r="A21" s="328" t="str">
        <f>IF(B21&gt;0,VLOOKUP(B21,КВСР!A7:B1172,2),IF(C21&gt;0,VLOOKUP(C21,КФСР!A7:B1519,2),IF(D21&gt;0,VLOOKUP(D21,Программа!A$3:B$4973,2),IF(F21&gt;0,VLOOKUP(F21,КВР!A$1:B$5001,2),IF(E21&gt;0,VLOOKUP(E21,Направление!A$1:B$4591,2))))))</f>
        <v>Непрограммные расходы бюджета</v>
      </c>
      <c r="B21" s="298"/>
      <c r="C21" s="299"/>
      <c r="D21" s="300" t="s">
        <v>618</v>
      </c>
      <c r="E21" s="299"/>
      <c r="F21" s="301"/>
      <c r="G21" s="407">
        <f>G24+G26+G30+G32+G38+G22+G28+G34+G36</f>
        <v>22876831</v>
      </c>
      <c r="H21" s="407">
        <f t="shared" ref="H21" si="6">H24+H26+H30+H32+H38+H22+H28+H34+H36</f>
        <v>11242863.07</v>
      </c>
      <c r="I21" s="407">
        <f t="shared" si="4"/>
        <v>11633967.93</v>
      </c>
    </row>
    <row r="22" spans="1:10" s="57" customFormat="1" ht="31.5" hidden="1" customHeight="1" x14ac:dyDescent="0.25">
      <c r="A22" s="329" t="str">
        <f>IF(B22&gt;0,VLOOKUP(B22,КВСР!A8:B1173,2),IF(C22&gt;0,VLOOKUP(C22,КФСР!A8:B1520,2),IF(D22&gt;0,VLOOKUP(D22,Программа!A$3:B$4973,2),IF(F22&gt;0,VLOOKUP(F22,КВР!A$1:B$5001,2),IF(E22&gt;0,VLOOKUP(E22,Направление!A$1:B$4591,2))))))</f>
        <v>Приобретение объектов недвижимого имущества в муниципальную собственность</v>
      </c>
      <c r="B22" s="339"/>
      <c r="C22" s="339"/>
      <c r="D22" s="339"/>
      <c r="E22" s="339">
        <v>20040</v>
      </c>
      <c r="F22" s="339"/>
      <c r="G22" s="213">
        <f>G23</f>
        <v>400000</v>
      </c>
      <c r="H22" s="213">
        <f t="shared" ref="H22" si="7">H23</f>
        <v>0</v>
      </c>
      <c r="I22" s="213">
        <f t="shared" si="4"/>
        <v>400000</v>
      </c>
    </row>
    <row r="23" spans="1:10" s="57" customFormat="1" ht="60" hidden="1" customHeight="1" x14ac:dyDescent="0.25">
      <c r="A23" s="329" t="str">
        <f>IF(B23&gt;0,VLOOKUP(B23,КВСР!A9:B1174,2),IF(C23&gt;0,VLOOKUP(C23,КФСР!A9:B1521,2),IF(D23&gt;0,VLOOKUP(D23,Программа!A$3:B$4973,2),IF(F23&gt;0,VLOOKUP(F23,КВР!A$1:B$5001,2),IF(E23&gt;0,VLOOKUP(E23,Направление!A$1:B$4591,2))))))</f>
        <v>Капитальные вложения в объекты государственной (муниципальной) собственности</v>
      </c>
      <c r="B23" s="339"/>
      <c r="C23" s="339"/>
      <c r="D23" s="339"/>
      <c r="E23" s="339"/>
      <c r="F23" s="339">
        <v>400</v>
      </c>
      <c r="G23" s="408">
        <v>400000</v>
      </c>
      <c r="H23" s="292">
        <v>0</v>
      </c>
      <c r="I23" s="408">
        <f t="shared" si="4"/>
        <v>400000</v>
      </c>
    </row>
    <row r="24" spans="1:10" s="57" customFormat="1" ht="47.25" hidden="1" x14ac:dyDescent="0.25">
      <c r="A24" s="329" t="str">
        <f>IF(B24&gt;0,VLOOKUP(B24,КВСР!A8:B1173,2),IF(C24&gt;0,VLOOKUP(C24,КФСР!A8:B1520,2),IF(D24&gt;0,VLOOKUP(D24,Программа!A$3:B$4973,2),IF(F24&gt;0,VLOOKUP(F24,КВР!A$1:B$5001,2),IF(E24&gt;0,VLOOKUP(E24,Направление!A$1:B$4591,2))))))</f>
        <v>Ежегодная премия лицам удостоившихся звания "Почетный гражданин города Тутаева"</v>
      </c>
      <c r="B24" s="210"/>
      <c r="C24" s="211"/>
      <c r="D24" s="269"/>
      <c r="E24" s="211">
        <v>20120</v>
      </c>
      <c r="F24" s="212"/>
      <c r="G24" s="213">
        <f>G25</f>
        <v>96000</v>
      </c>
      <c r="H24" s="213">
        <f t="shared" ref="H24" si="8">H25</f>
        <v>0</v>
      </c>
      <c r="I24" s="213">
        <f t="shared" si="4"/>
        <v>96000</v>
      </c>
    </row>
    <row r="25" spans="1:10" s="57" customFormat="1" ht="31.5" hidden="1" x14ac:dyDescent="0.25">
      <c r="A25" s="329" t="str">
        <f>IF(B25&gt;0,VLOOKUP(B25,КВСР!A9:B1174,2),IF(C25&gt;0,VLOOKUP(C25,КФСР!A9:B1521,2),IF(D25&gt;0,VLOOKUP(D25,Программа!A$3:B$4973,2),IF(F25&gt;0,VLOOKUP(F25,КВР!A$1:B$5001,2),IF(E25&gt;0,VLOOKUP(E25,Направление!A$1:B$4591,2))))))</f>
        <v>Социальное обеспечение и иные выплаты населению</v>
      </c>
      <c r="B25" s="210"/>
      <c r="C25" s="211"/>
      <c r="D25" s="269"/>
      <c r="E25" s="211"/>
      <c r="F25" s="212">
        <v>300</v>
      </c>
      <c r="G25" s="408">
        <v>96000</v>
      </c>
      <c r="H25" s="292">
        <v>0</v>
      </c>
      <c r="I25" s="408">
        <f t="shared" si="4"/>
        <v>96000</v>
      </c>
    </row>
    <row r="26" spans="1:10" s="57" customFormat="1" ht="31.5" x14ac:dyDescent="0.25">
      <c r="A26" s="329" t="str">
        <f>IF(B26&gt;0,VLOOKUP(B26,КВСР!A10:B1175,2),IF(C26&gt;0,VLOOKUP(C26,КФСР!A10:B1522,2),IF(D26&gt;0,VLOOKUP(D26,Программа!A$3:B$4973,2),IF(F26&gt;0,VLOOKUP(F26,КВР!A$1:B$5001,2),IF(E26&gt;0,VLOOKUP(E26,Направление!A$1:B$4591,2))))))</f>
        <v>Выплаты по обязательствам муниципального образования</v>
      </c>
      <c r="B26" s="210"/>
      <c r="C26" s="211"/>
      <c r="D26" s="269"/>
      <c r="E26" s="211">
        <v>20130</v>
      </c>
      <c r="F26" s="212"/>
      <c r="G26" s="213">
        <f>G27</f>
        <v>2879000</v>
      </c>
      <c r="H26" s="213">
        <f>H27</f>
        <v>1509982.28</v>
      </c>
      <c r="I26" s="213">
        <f t="shared" si="4"/>
        <v>1369017.72</v>
      </c>
      <c r="J26" s="582">
        <f t="shared" ref="J26:J27" si="9">H26/G26*100</f>
        <v>52.448151441472731</v>
      </c>
    </row>
    <row r="27" spans="1:10" s="57" customFormat="1" x14ac:dyDescent="0.25">
      <c r="A27" s="329" t="str">
        <f>IF(B27&gt;0,VLOOKUP(B27,КВСР!A11:B1176,2),IF(C27&gt;0,VLOOKUP(C27,КФСР!A11:B1523,2),IF(D27&gt;0,VLOOKUP(D27,Программа!A$3:B$4973,2),IF(F27&gt;0,VLOOKUP(F27,КВР!A$1:B$5001,2),IF(E27&gt;0,VLOOKUP(E27,Направление!A$1:B$4591,2))))))</f>
        <v>Иные бюджетные ассигнования</v>
      </c>
      <c r="B27" s="210"/>
      <c r="C27" s="211"/>
      <c r="D27" s="269"/>
      <c r="E27" s="211"/>
      <c r="F27" s="212">
        <v>800</v>
      </c>
      <c r="G27" s="408">
        <v>2879000</v>
      </c>
      <c r="H27" s="292">
        <v>1509982.28</v>
      </c>
      <c r="I27" s="408">
        <f t="shared" si="4"/>
        <v>1369017.72</v>
      </c>
      <c r="J27" s="582">
        <f t="shared" si="9"/>
        <v>52.448151441472731</v>
      </c>
    </row>
    <row r="28" spans="1:10" s="57" customFormat="1" ht="53.25" hidden="1" customHeight="1" x14ac:dyDescent="0.25">
      <c r="A28" s="329" t="str">
        <f>IF(B28&gt;0,VLOOKUP(B28,КВСР!A12:B1177,2),IF(C28&gt;0,VLOOKUP(C28,КФСР!A12:B1524,2),IF(D28&gt;0,VLOOKUP(D28,Программа!A$3:B$4973,2),IF(F28&gt;0,VLOOKUP(F28,КВР!A$1:B$5001,2),IF(E28&gt;0,VLOOKUP(E28,Направление!A$1:B$4591,2))))))</f>
        <v xml:space="preserve">Поддержка  социально ориентированных некоммерческих организаций </v>
      </c>
      <c r="B28" s="210"/>
      <c r="C28" s="211"/>
      <c r="D28" s="269"/>
      <c r="E28" s="211">
        <v>20310</v>
      </c>
      <c r="F28" s="212"/>
      <c r="G28" s="213">
        <f>G29</f>
        <v>0</v>
      </c>
      <c r="H28" s="213">
        <f t="shared" ref="H28:I28" si="10">H29</f>
        <v>0</v>
      </c>
      <c r="I28" s="213">
        <f t="shared" si="10"/>
        <v>0</v>
      </c>
    </row>
    <row r="29" spans="1:10" s="57" customFormat="1" ht="64.5" hidden="1" customHeight="1" x14ac:dyDescent="0.25">
      <c r="A29" s="329" t="str">
        <f>IF(B29&gt;0,VLOOKUP(B29,КВСР!A13:B1178,2),IF(C29&gt;0,VLOOKUP(C29,КФСР!A13:B1525,2),IF(D29&gt;0,VLOOKUP(D29,Программа!A$3:B$4973,2),IF(F29&gt;0,VLOOKUP(F29,КВР!A$1:B$5001,2),IF(E29&gt;0,VLOOKUP(E29,Направление!A$1:B$4591,2))))))</f>
        <v>Предоставление субсидий бюджетным, автономным учреждениям и иным некоммерческим организациям</v>
      </c>
      <c r="B29" s="210"/>
      <c r="C29" s="211"/>
      <c r="D29" s="269"/>
      <c r="E29" s="211"/>
      <c r="F29" s="212">
        <v>600</v>
      </c>
      <c r="G29" s="408">
        <v>0</v>
      </c>
      <c r="H29" s="292">
        <v>0</v>
      </c>
      <c r="I29" s="408">
        <f t="shared" ref="I29" si="11">SUM(G29:H29)</f>
        <v>0</v>
      </c>
    </row>
    <row r="30" spans="1:10" s="57" customFormat="1" ht="47.25" x14ac:dyDescent="0.25">
      <c r="A30" s="329" t="str">
        <f>IF(B30&gt;0,VLOOKUP(B30,КВСР!A10:B1175,2),IF(C30&gt;0,VLOOKUP(C30,КФСР!A10:B1522,2),IF(D30&gt;0,VLOOKUP(D30,Программа!A$3:B$4973,2),IF(F30&gt;0,VLOOKUP(F30,КВР!A$1:B$5001,2),IF(E30&gt;0,VLOOKUP(E30,Направление!A$1:B$4591,2))))))</f>
        <v xml:space="preserve">Межбюджетные трансферты на содержание органов местного самоуправления </v>
      </c>
      <c r="B30" s="210"/>
      <c r="C30" s="211"/>
      <c r="D30" s="269"/>
      <c r="E30" s="211">
        <v>29016</v>
      </c>
      <c r="F30" s="212"/>
      <c r="G30" s="213">
        <f>G31</f>
        <v>16681081</v>
      </c>
      <c r="H30" s="213">
        <f t="shared" ref="H30" si="12">H31</f>
        <v>8340540</v>
      </c>
      <c r="I30" s="213">
        <f t="shared" ref="I30:I39" si="13">G30-H30</f>
        <v>8340541</v>
      </c>
      <c r="J30" s="582">
        <f t="shared" ref="J30:J40" si="14">H30/G30*100</f>
        <v>49.999997002592337</v>
      </c>
    </row>
    <row r="31" spans="1:10" s="57" customFormat="1" x14ac:dyDescent="0.25">
      <c r="A31" s="329" t="str">
        <f>IF(B31&gt;0,VLOOKUP(B31,КВСР!A11:B1176,2),IF(C31&gt;0,VLOOKUP(C31,КФСР!A11:B1523,2),IF(D31&gt;0,VLOOKUP(D31,Программа!A$3:B$4973,2),IF(F31&gt;0,VLOOKUP(F31,КВР!A$1:B$5001,2),IF(E31&gt;0,VLOOKUP(E31,Направление!A$1:B$4591,2))))))</f>
        <v xml:space="preserve"> Межбюджетные трансферты</v>
      </c>
      <c r="B31" s="210"/>
      <c r="C31" s="211"/>
      <c r="D31" s="269"/>
      <c r="E31" s="211"/>
      <c r="F31" s="212">
        <v>500</v>
      </c>
      <c r="G31" s="408">
        <v>16681081</v>
      </c>
      <c r="H31" s="292">
        <v>8340540</v>
      </c>
      <c r="I31" s="408">
        <f t="shared" si="13"/>
        <v>8340541</v>
      </c>
      <c r="J31" s="582">
        <f t="shared" si="14"/>
        <v>49.999997002592337</v>
      </c>
    </row>
    <row r="32" spans="1:10" s="57" customFormat="1" ht="110.25" x14ac:dyDescent="0.25">
      <c r="A32" s="329" t="str">
        <f>IF(B32&gt;0,VLOOKUP(B32,КВСР!A12:B1177,2),IF(C32&gt;0,VLOOKUP(C32,КФСР!A12:B1524,2),IF(D32&gt;0,VLOOKUP(D32,Программа!A$3:B$4973,2),IF(F32&gt;0,VLOOKUP(F32,КВР!A$1:B$5001,2),IF(E32&gt;0,VLOOKUP(E32,Направление!A$1:B$4591,2))))))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32" s="210"/>
      <c r="C32" s="211"/>
      <c r="D32" s="269"/>
      <c r="E32" s="211">
        <v>29026</v>
      </c>
      <c r="F32" s="212"/>
      <c r="G32" s="213">
        <f>G33</f>
        <v>520000</v>
      </c>
      <c r="H32" s="213">
        <f t="shared" ref="H32" si="15">H33</f>
        <v>42125</v>
      </c>
      <c r="I32" s="500">
        <f t="shared" si="13"/>
        <v>477875</v>
      </c>
      <c r="J32" s="582">
        <f t="shared" si="14"/>
        <v>8.1009615384615383</v>
      </c>
    </row>
    <row r="33" spans="1:10" s="57" customFormat="1" x14ac:dyDescent="0.25">
      <c r="A33" s="329" t="str">
        <f>IF(B33&gt;0,VLOOKUP(B33,КВСР!A13:B1178,2),IF(C33&gt;0,VLOOKUP(C33,КФСР!A13:B1525,2),IF(D33&gt;0,VLOOKUP(D33,Программа!A$3:B$4973,2),IF(F33&gt;0,VLOOKUP(F33,КВР!A$1:B$5001,2),IF(E33&gt;0,VLOOKUP(E33,Направление!A$1:B$4591,2))))))</f>
        <v xml:space="preserve"> Межбюджетные трансферты</v>
      </c>
      <c r="B33" s="210"/>
      <c r="C33" s="211"/>
      <c r="D33" s="269"/>
      <c r="E33" s="211"/>
      <c r="F33" s="212">
        <v>500</v>
      </c>
      <c r="G33" s="408">
        <f>500000+20000</f>
        <v>520000</v>
      </c>
      <c r="H33" s="292">
        <v>42125</v>
      </c>
      <c r="I33" s="408">
        <f t="shared" si="13"/>
        <v>477875</v>
      </c>
      <c r="J33" s="582">
        <f t="shared" si="14"/>
        <v>8.1009615384615383</v>
      </c>
    </row>
    <row r="34" spans="1:10" s="57" customFormat="1" ht="63" x14ac:dyDescent="0.25">
      <c r="A34" s="329" t="str">
        <f>IF(B34&gt;0,VLOOKUP(B34,КВСР!A14:B1179,2),IF(C34&gt;0,VLOOKUP(C34,КФСР!A14:B1526,2),IF(D34&gt;0,VLOOKUP(D34,Программа!A$3:B$4973,2),IF(F34&gt;0,VLOOKUP(F34,КВР!A$1:B$5001,2),IF(E34&gt;0,VLOOKUP(E34,Направление!A$1:B$4591,2))))))</f>
        <v>Межбюджетные трансферты на обеспечение поддержки деятельности социально-ориентированных некоммерческих организаций</v>
      </c>
      <c r="B34" s="210"/>
      <c r="C34" s="211"/>
      <c r="D34" s="269"/>
      <c r="E34" s="211">
        <v>29516</v>
      </c>
      <c r="F34" s="212"/>
      <c r="G34" s="500">
        <f>G35</f>
        <v>600000</v>
      </c>
      <c r="H34" s="500">
        <f t="shared" ref="H34" si="16">H35</f>
        <v>350000</v>
      </c>
      <c r="I34" s="500">
        <f t="shared" si="13"/>
        <v>250000</v>
      </c>
      <c r="J34" s="582">
        <f t="shared" si="14"/>
        <v>58.333333333333336</v>
      </c>
    </row>
    <row r="35" spans="1:10" s="57" customFormat="1" x14ac:dyDescent="0.25">
      <c r="A35" s="329" t="str">
        <f>IF(B35&gt;0,VLOOKUP(B35,КВСР!A15:B1180,2),IF(C35&gt;0,VLOOKUP(C35,КФСР!A15:B1527,2),IF(D35&gt;0,VLOOKUP(D35,Программа!A$3:B$4973,2),IF(F35&gt;0,VLOOKUP(F35,КВР!A$1:B$5001,2),IF(E35&gt;0,VLOOKUP(E35,Направление!A$1:B$4591,2))))))</f>
        <v xml:space="preserve"> Межбюджетные трансферты</v>
      </c>
      <c r="B35" s="210"/>
      <c r="C35" s="211"/>
      <c r="D35" s="269"/>
      <c r="E35" s="211"/>
      <c r="F35" s="212">
        <v>500</v>
      </c>
      <c r="G35" s="408">
        <f>500000+100000</f>
        <v>600000</v>
      </c>
      <c r="H35" s="292">
        <v>350000</v>
      </c>
      <c r="I35" s="408">
        <f t="shared" si="13"/>
        <v>250000</v>
      </c>
      <c r="J35" s="582">
        <f t="shared" si="14"/>
        <v>58.333333333333336</v>
      </c>
    </row>
    <row r="36" spans="1:10" s="57" customFormat="1" ht="47.25" x14ac:dyDescent="0.25">
      <c r="A36" s="329" t="str">
        <f>IF(B36&gt;0,VLOOKUP(B36,КВСР!A16:B1181,2),IF(C36&gt;0,VLOOKUP(C36,КФСР!A16:B1528,2),IF(D36&gt;0,VLOOKUP(D36,Программа!A$3:B$4973,2),IF(F36&gt;0,VLOOKUP(F36,КВР!A$1:B$5001,2),IF(E36&gt;0,VLOOKUP(E36,Направление!A$1:B$4591,2))))))</f>
        <v>Межбюджетные трансферты на обеспечение  обязательств  по содержанию казны поселения</v>
      </c>
      <c r="B36" s="210"/>
      <c r="C36" s="211"/>
      <c r="D36" s="269"/>
      <c r="E36" s="211">
        <v>29556</v>
      </c>
      <c r="F36" s="212"/>
      <c r="G36" s="500">
        <f>G37</f>
        <v>1400750</v>
      </c>
      <c r="H36" s="500">
        <f>H37</f>
        <v>877026.32</v>
      </c>
      <c r="I36" s="213">
        <f t="shared" si="13"/>
        <v>523723.68000000005</v>
      </c>
      <c r="J36" s="582">
        <f t="shared" si="14"/>
        <v>62.611195431019098</v>
      </c>
    </row>
    <row r="37" spans="1:10" s="57" customFormat="1" x14ac:dyDescent="0.25">
      <c r="A37" s="329" t="str">
        <f>IF(B37&gt;0,VLOOKUP(B37,КВСР!A17:B1182,2),IF(C37&gt;0,VLOOKUP(C37,КФСР!A17:B1529,2),IF(D37&gt;0,VLOOKUP(D37,Программа!A$3:B$4973,2),IF(F37&gt;0,VLOOKUP(F37,КВР!A$1:B$5001,2),IF(E37&gt;0,VLOOKUP(E37,Направление!A$1:B$4591,2))))))</f>
        <v xml:space="preserve"> Межбюджетные трансферты</v>
      </c>
      <c r="B37" s="210"/>
      <c r="C37" s="211"/>
      <c r="D37" s="269"/>
      <c r="E37" s="211"/>
      <c r="F37" s="212">
        <v>500</v>
      </c>
      <c r="G37" s="408">
        <f>1200750+200000</f>
        <v>1400750</v>
      </c>
      <c r="H37" s="292">
        <v>877026.32</v>
      </c>
      <c r="I37" s="408">
        <f t="shared" si="13"/>
        <v>523723.68000000005</v>
      </c>
      <c r="J37" s="582">
        <f t="shared" si="14"/>
        <v>62.611195431019098</v>
      </c>
    </row>
    <row r="38" spans="1:10" s="57" customFormat="1" ht="63" x14ac:dyDescent="0.25">
      <c r="A38" s="329" t="str">
        <f>IF(B38&gt;0,VLOOKUP(B38,КВСР!A16:B1181,2),IF(C38&gt;0,VLOOKUP(C38,КФСР!A16:B1528,2),IF(D38&gt;0,VLOOKUP(D38,Программа!A$3:B$4973,2),IF(F38&gt;0,VLOOKUP(F38,КВР!A$1:B$5001,2),IF(E38&gt;0,VLOOKUP(E38,Направление!A$1:B$4591,2))))))</f>
        <v>Межбюджетные трансферты на обеспечение мероприятий по содержанию  военно- мемориального комплекса пл. Юности</v>
      </c>
      <c r="B38" s="210"/>
      <c r="C38" s="211"/>
      <c r="D38" s="269"/>
      <c r="E38" s="211">
        <v>29686</v>
      </c>
      <c r="F38" s="212"/>
      <c r="G38" s="213">
        <f>G39</f>
        <v>300000</v>
      </c>
      <c r="H38" s="213">
        <f t="shared" ref="H38" si="17">H39</f>
        <v>123189.47</v>
      </c>
      <c r="I38" s="213">
        <f t="shared" si="13"/>
        <v>176810.53</v>
      </c>
      <c r="J38" s="582">
        <f t="shared" si="14"/>
        <v>41.063156666666664</v>
      </c>
    </row>
    <row r="39" spans="1:10" s="57" customFormat="1" x14ac:dyDescent="0.25">
      <c r="A39" s="329" t="str">
        <f>IF(B39&gt;0,VLOOKUP(B39,КВСР!A17:B1182,2),IF(C39&gt;0,VLOOKUP(C39,КФСР!A17:B1529,2),IF(D39&gt;0,VLOOKUP(D39,Программа!A$3:B$4973,2),IF(F39&gt;0,VLOOKUP(F39,КВР!A$1:B$5001,2),IF(E39&gt;0,VLOOKUP(E39,Направление!A$1:B$4591,2))))))</f>
        <v xml:space="preserve"> Межбюджетные трансферты</v>
      </c>
      <c r="B39" s="210"/>
      <c r="C39" s="211"/>
      <c r="D39" s="269"/>
      <c r="E39" s="211"/>
      <c r="F39" s="212">
        <v>500</v>
      </c>
      <c r="G39" s="408">
        <v>300000</v>
      </c>
      <c r="H39" s="292">
        <v>123189.47</v>
      </c>
      <c r="I39" s="408">
        <f t="shared" si="13"/>
        <v>176810.53</v>
      </c>
      <c r="J39" s="582">
        <f t="shared" si="14"/>
        <v>41.063156666666664</v>
      </c>
    </row>
    <row r="40" spans="1:10" s="57" customFormat="1" ht="63" x14ac:dyDescent="0.25">
      <c r="A40" s="330" t="str">
        <f>IF(B40&gt;0,VLOOKUP(B40,КВСР!A16:B1181,2),IF(C40&gt;0,VLOOKUP(C40,КФСР!A16:B1528,2),IF(D40&gt;0,VLOOKUP(D40,Программа!A$3:B$4973,2),IF(F40&gt;0,VLOOKUP(F40,КВР!A$1:B$5001,2),IF(E40&gt;0,VLOOKUP(E40,Направление!A$1:B$4591,2))))))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40" s="183"/>
      <c r="C40" s="184">
        <v>309</v>
      </c>
      <c r="D40" s="185"/>
      <c r="E40" s="184"/>
      <c r="F40" s="186"/>
      <c r="G40" s="145">
        <f>G41</f>
        <v>2551980</v>
      </c>
      <c r="H40" s="145">
        <f t="shared" ref="H40:H42" si="18">H41</f>
        <v>1072143.81</v>
      </c>
      <c r="I40" s="145">
        <f>G40-H40</f>
        <v>1479836.19</v>
      </c>
      <c r="J40" s="582">
        <f t="shared" si="14"/>
        <v>42.01223403004726</v>
      </c>
    </row>
    <row r="41" spans="1:10" s="57" customFormat="1" ht="36.75" hidden="1" customHeight="1" x14ac:dyDescent="0.25">
      <c r="A41" s="329" t="str">
        <f>IF(B41&gt;0,VLOOKUP(B41,КВСР!A17:B1182,2),IF(C41&gt;0,VLOOKUP(C41,КФСР!A17:B1529,2),IF(D41&gt;0,VLOOKUP(D41,Программа!A$3:B$4973,2),IF(F41&gt;0,VLOOKUP(F41,КВР!A$1:B$5001,2),IF(E41&gt;0,VLOOKUP(E41,Направление!A$1:B$4591,2))))))</f>
        <v>Непрограммные расходы бюджета</v>
      </c>
      <c r="B41" s="210"/>
      <c r="C41" s="211"/>
      <c r="D41" s="269" t="s">
        <v>618</v>
      </c>
      <c r="E41" s="211"/>
      <c r="F41" s="212"/>
      <c r="G41" s="213">
        <f>G42</f>
        <v>2551980</v>
      </c>
      <c r="H41" s="213">
        <f t="shared" si="18"/>
        <v>1072143.81</v>
      </c>
      <c r="I41" s="213">
        <f t="shared" ref="I41:I43" si="19">G41-H41</f>
        <v>1479836.19</v>
      </c>
    </row>
    <row r="42" spans="1:10" s="57" customFormat="1" ht="94.5" x14ac:dyDescent="0.25">
      <c r="A42" s="329" t="str">
        <f>IF(B42&gt;0,VLOOKUP(B42,КВСР!A18:B1183,2),IF(C42&gt;0,VLOOKUP(C42,КФСР!A18:B1530,2),IF(D42&gt;0,VLOOKUP(D42,Программа!A$3:B$4973,2),IF(F42&gt;0,VLOOKUP(F42,КВР!A$1:B$5001,2),IF(E42&gt;0,VLOOKUP(E42,Направление!A$1:B$4591,2))))))</f>
        <v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v>
      </c>
      <c r="B42" s="210"/>
      <c r="C42" s="211"/>
      <c r="D42" s="269"/>
      <c r="E42" s="211">
        <v>29566</v>
      </c>
      <c r="F42" s="212"/>
      <c r="G42" s="213">
        <f>G43</f>
        <v>2551980</v>
      </c>
      <c r="H42" s="213">
        <f t="shared" si="18"/>
        <v>1072143.81</v>
      </c>
      <c r="I42" s="213">
        <f t="shared" si="19"/>
        <v>1479836.19</v>
      </c>
      <c r="J42" s="582">
        <f t="shared" ref="J42:J44" si="20">H42/G42*100</f>
        <v>42.01223403004726</v>
      </c>
    </row>
    <row r="43" spans="1:10" s="57" customFormat="1" x14ac:dyDescent="0.25">
      <c r="A43" s="329" t="str">
        <f>IF(B43&gt;0,VLOOKUP(B43,КВСР!A19:B1184,2),IF(C43&gt;0,VLOOKUP(C43,КФСР!A19:B1531,2),IF(D43&gt;0,VLOOKUP(D43,Программа!A$3:B$4973,2),IF(F43&gt;0,VLOOKUP(F43,КВР!A$1:B$5001,2),IF(E43&gt;0,VLOOKUP(E43,Направление!A$1:B$4591,2))))))</f>
        <v xml:space="preserve"> Межбюджетные трансферты</v>
      </c>
      <c r="B43" s="210"/>
      <c r="C43" s="211"/>
      <c r="D43" s="269"/>
      <c r="E43" s="211"/>
      <c r="F43" s="212">
        <v>500</v>
      </c>
      <c r="G43" s="408">
        <f>2000000+551980</f>
        <v>2551980</v>
      </c>
      <c r="H43" s="292">
        <v>1072143.81</v>
      </c>
      <c r="I43" s="408">
        <f t="shared" si="19"/>
        <v>1479836.19</v>
      </c>
      <c r="J43" s="582">
        <f t="shared" si="20"/>
        <v>42.01223403004726</v>
      </c>
    </row>
    <row r="44" spans="1:10" s="57" customFormat="1" ht="47.25" x14ac:dyDescent="0.25">
      <c r="A44" s="330" t="str">
        <f>IF(B44&gt;0,VLOOKUP(B44,КВСР!A20:B1185,2),IF(C44&gt;0,VLOOKUP(C44,КФСР!A20:B1532,2),IF(D44&gt;0,VLOOKUP(D44,Программа!A$3:B$4973,2),IF(F44&gt;0,VLOOKUP(F44,КВР!A$1:B$5001,2),IF(E44&gt;0,VLOOKUP(E44,Направление!A$1:B$4591,2))))))</f>
        <v>Другие вопросы в области национальной безопасности и правоохранительной деятельности</v>
      </c>
      <c r="B44" s="183"/>
      <c r="C44" s="184">
        <v>314</v>
      </c>
      <c r="D44" s="185"/>
      <c r="E44" s="184"/>
      <c r="F44" s="186"/>
      <c r="G44" s="145">
        <f>G45</f>
        <v>150000</v>
      </c>
      <c r="H44" s="145">
        <f t="shared" ref="H44:H46" si="21">H45</f>
        <v>29300</v>
      </c>
      <c r="I44" s="145">
        <f>G44-H44</f>
        <v>120700</v>
      </c>
      <c r="J44" s="582">
        <f t="shared" si="20"/>
        <v>19.533333333333331</v>
      </c>
    </row>
    <row r="45" spans="1:10" s="57" customFormat="1" ht="37.5" hidden="1" customHeight="1" x14ac:dyDescent="0.25">
      <c r="A45" s="328" t="str">
        <f>IF(B45&gt;0,VLOOKUP(B45,КВСР!A21:B1186,2),IF(C45&gt;0,VLOOKUP(C45,КФСР!A21:B1533,2),IF(D45&gt;0,VLOOKUP(D45,Программа!A$3:B$4973,2),IF(F45&gt;0,VLOOKUP(F45,КВР!A$1:B$5001,2),IF(E45&gt;0,VLOOKUP(E45,Направление!A$1:B$4591,2))))))</f>
        <v>Непрограммные расходы бюджета</v>
      </c>
      <c r="B45" s="298"/>
      <c r="C45" s="299"/>
      <c r="D45" s="300" t="s">
        <v>618</v>
      </c>
      <c r="E45" s="299"/>
      <c r="F45" s="301"/>
      <c r="G45" s="407">
        <f>G46</f>
        <v>150000</v>
      </c>
      <c r="H45" s="407">
        <f t="shared" si="21"/>
        <v>29300</v>
      </c>
      <c r="I45" s="407">
        <f t="shared" ref="I45:I108" si="22">G45-H45</f>
        <v>120700</v>
      </c>
    </row>
    <row r="46" spans="1:10" s="57" customFormat="1" ht="47.25" x14ac:dyDescent="0.25">
      <c r="A46" s="329" t="str">
        <f>IF(B46&gt;0,VLOOKUP(B46,КВСР!A22:B1187,2),IF(C46&gt;0,VLOOKUP(C46,КФСР!A22:B1534,2),IF(D46&gt;0,VLOOKUP(D46,Программа!A$3:B$4973,2),IF(F46&gt;0,VLOOKUP(F46,КВР!A$1:B$5001,2),IF(E46&gt;0,VLOOKUP(E46,Направление!A$1:B$4591,2))))))</f>
        <v>Межбюджетные трансферты на обеспечение деятельности народных дружин</v>
      </c>
      <c r="B46" s="210"/>
      <c r="C46" s="211"/>
      <c r="D46" s="269"/>
      <c r="E46" s="211">
        <v>29486</v>
      </c>
      <c r="F46" s="212"/>
      <c r="G46" s="213">
        <f>G47</f>
        <v>150000</v>
      </c>
      <c r="H46" s="213">
        <f t="shared" si="21"/>
        <v>29300</v>
      </c>
      <c r="I46" s="213">
        <f t="shared" si="22"/>
        <v>120700</v>
      </c>
      <c r="J46" s="582">
        <f t="shared" ref="J46:J48" si="23">H46/G46*100</f>
        <v>19.533333333333331</v>
      </c>
    </row>
    <row r="47" spans="1:10" s="57" customFormat="1" x14ac:dyDescent="0.25">
      <c r="A47" s="329" t="str">
        <f>IF(B47&gt;0,VLOOKUP(B47,КВСР!A23:B1188,2),IF(C47&gt;0,VLOOKUP(C47,КФСР!A23:B1535,2),IF(D47&gt;0,VLOOKUP(D47,Программа!A$3:B$4973,2),IF(F47&gt;0,VLOOKUP(F47,КВР!A$1:B$5001,2),IF(E47&gt;0,VLOOKUP(E47,Направление!A$1:B$4591,2))))))</f>
        <v xml:space="preserve"> Межбюджетные трансферты</v>
      </c>
      <c r="B47" s="210"/>
      <c r="C47" s="211"/>
      <c r="D47" s="269"/>
      <c r="E47" s="211"/>
      <c r="F47" s="212">
        <v>500</v>
      </c>
      <c r="G47" s="408">
        <v>150000</v>
      </c>
      <c r="H47" s="292">
        <v>29300</v>
      </c>
      <c r="I47" s="408">
        <f t="shared" si="22"/>
        <v>120700</v>
      </c>
      <c r="J47" s="582">
        <f t="shared" si="23"/>
        <v>19.533333333333331</v>
      </c>
    </row>
    <row r="48" spans="1:10" s="57" customFormat="1" x14ac:dyDescent="0.25">
      <c r="A48" s="330" t="str">
        <f>IF(B48&gt;0,VLOOKUP(B48,КВСР!A4:B1169,2),IF(C48&gt;0,VLOOKUP(C48,КФСР!A4:B1516,2),IF(D48&gt;0,VLOOKUP(D48,Программа!A$3:B$4973,2),IF(F48&gt;0,VLOOKUP(F48,КВР!A$1:B$5001,2),IF(E48&gt;0,VLOOKUP(E48,Направление!A$1:B$4591,2))))))</f>
        <v>Транспорт</v>
      </c>
      <c r="B48" s="183"/>
      <c r="C48" s="184">
        <v>408</v>
      </c>
      <c r="D48" s="185"/>
      <c r="E48" s="184"/>
      <c r="F48" s="186"/>
      <c r="G48" s="145">
        <f>G49</f>
        <v>6565200</v>
      </c>
      <c r="H48" s="145">
        <f t="shared" ref="H48" si="24">H49</f>
        <v>960764.8</v>
      </c>
      <c r="I48" s="145">
        <f t="shared" si="22"/>
        <v>5604435.2000000002</v>
      </c>
      <c r="J48" s="582">
        <f t="shared" si="23"/>
        <v>14.634204593919456</v>
      </c>
    </row>
    <row r="49" spans="1:10" s="57" customFormat="1" ht="37.5" hidden="1" customHeight="1" x14ac:dyDescent="0.25">
      <c r="A49" s="328" t="str">
        <f>IF(B49&gt;0,VLOOKUP(B49,КВСР!A5:B1170,2),IF(C49&gt;0,VLOOKUP(C49,КФСР!A5:B1517,2),IF(D49&gt;0,VLOOKUP(D49,Программа!A$3:B$4973,2),IF(F49&gt;0,VLOOKUP(F49,КВР!A$1:B$5001,2),IF(E49&gt;0,VLOOKUP(E49,Направление!A$1:B$4591,2))))))</f>
        <v>Непрограммные расходы бюджета</v>
      </c>
      <c r="B49" s="298"/>
      <c r="C49" s="299"/>
      <c r="D49" s="301" t="s">
        <v>618</v>
      </c>
      <c r="E49" s="299"/>
      <c r="F49" s="301"/>
      <c r="G49" s="409">
        <f>G50+G52</f>
        <v>6565200</v>
      </c>
      <c r="H49" s="409">
        <f t="shared" ref="H49" si="25">H50+H52</f>
        <v>960764.8</v>
      </c>
      <c r="I49" s="409">
        <f t="shared" si="22"/>
        <v>5604435.2000000002</v>
      </c>
    </row>
    <row r="50" spans="1:10" s="57" customFormat="1" ht="63" x14ac:dyDescent="0.25">
      <c r="A50" s="329" t="str">
        <f>IF(B50&gt;0,VLOOKUP(B50,КВСР!A6:B1171,2),IF(C50&gt;0,VLOOKUP(C50,КФСР!A6:B1518,2),IF(D50&gt;0,VLOOKUP(D50,Программа!A$3:B$4973,2),IF(F50&gt;0,VLOOKUP(F50,КВР!A$1:B$5001,2),IF(E50&gt;0,VLOOKUP(E50,Направление!A$1:B$4591,2))))))</f>
        <v>Межбюджетные трансферты на обеспечение мероприятий по осуществлению грузопассажирских  перевозок на речном транспорте</v>
      </c>
      <c r="B50" s="179"/>
      <c r="C50" s="180"/>
      <c r="D50" s="181"/>
      <c r="E50" s="180">
        <v>29166</v>
      </c>
      <c r="F50" s="182"/>
      <c r="G50" s="139">
        <f>G51</f>
        <v>6065200</v>
      </c>
      <c r="H50" s="139">
        <f t="shared" ref="H50" si="26">H51</f>
        <v>565200</v>
      </c>
      <c r="I50" s="139">
        <f t="shared" si="22"/>
        <v>5500000</v>
      </c>
      <c r="J50" s="582">
        <f t="shared" ref="J50:J59" si="27">H50/G50*100</f>
        <v>9.3187363978104596</v>
      </c>
    </row>
    <row r="51" spans="1:10" s="57" customFormat="1" x14ac:dyDescent="0.25">
      <c r="A51" s="329" t="str">
        <f>IF(B51&gt;0,VLOOKUP(B51,КВСР!A7:B1172,2),IF(C51&gt;0,VLOOKUP(C51,КФСР!A7:B1519,2),IF(D51&gt;0,VLOOKUP(D51,Программа!A$3:B$4973,2),IF(F51&gt;0,VLOOKUP(F51,КВР!A$1:B$5001,2),IF(E51&gt;0,VLOOKUP(E51,Направление!A$1:B$4591,2))))))</f>
        <v xml:space="preserve"> Межбюджетные трансферты</v>
      </c>
      <c r="B51" s="179"/>
      <c r="C51" s="180"/>
      <c r="D51" s="181"/>
      <c r="E51" s="180"/>
      <c r="F51" s="182">
        <v>500</v>
      </c>
      <c r="G51" s="410">
        <v>6065200</v>
      </c>
      <c r="H51" s="410">
        <v>565200</v>
      </c>
      <c r="I51" s="410">
        <f t="shared" si="22"/>
        <v>5500000</v>
      </c>
      <c r="J51" s="582">
        <f t="shared" si="27"/>
        <v>9.3187363978104596</v>
      </c>
    </row>
    <row r="52" spans="1:10" s="57" customFormat="1" ht="78.75" x14ac:dyDescent="0.25">
      <c r="A52" s="329" t="str">
        <f>IF(B52&gt;0,VLOOKUP(B52,КВСР!A8:B1173,2),IF(C52&gt;0,VLOOKUP(C52,КФСР!A8:B1520,2),IF(D52&gt;0,VLOOKUP(D52,Программа!A$3:B$4973,2),IF(F52&gt;0,VLOOKUP(F52,КВР!A$1:B$5001,2),IF(E52&gt;0,VLOOKUP(E52,Направление!A$1:B$4591,2))))))</f>
        <v>Межбюджетные трансферты на обеспечение мероприятий по осуществлению пассажирских  перевозок на автомобильном  транспорте</v>
      </c>
      <c r="B52" s="179"/>
      <c r="C52" s="180"/>
      <c r="D52" s="181"/>
      <c r="E52" s="180">
        <v>29176</v>
      </c>
      <c r="F52" s="182"/>
      <c r="G52" s="139">
        <f>G53</f>
        <v>500000</v>
      </c>
      <c r="H52" s="139">
        <f t="shared" ref="H52" si="28">H53</f>
        <v>395564.79999999999</v>
      </c>
      <c r="I52" s="139">
        <f t="shared" si="22"/>
        <v>104435.20000000001</v>
      </c>
      <c r="J52" s="582">
        <f t="shared" si="27"/>
        <v>79.112960000000001</v>
      </c>
    </row>
    <row r="53" spans="1:10" s="57" customFormat="1" x14ac:dyDescent="0.25">
      <c r="A53" s="329" t="str">
        <f>IF(B53&gt;0,VLOOKUP(B53,КВСР!A9:B1174,2),IF(C53&gt;0,VLOOKUP(C53,КФСР!A9:B1521,2),IF(D53&gt;0,VLOOKUP(D53,Программа!A$3:B$4973,2),IF(F53&gt;0,VLOOKUP(F53,КВР!A$1:B$5001,2),IF(E53&gt;0,VLOOKUP(E53,Направление!A$1:B$4591,2))))))</f>
        <v xml:space="preserve"> Межбюджетные трансферты</v>
      </c>
      <c r="B53" s="179"/>
      <c r="C53" s="180"/>
      <c r="D53" s="181"/>
      <c r="E53" s="180"/>
      <c r="F53" s="182">
        <v>500</v>
      </c>
      <c r="G53" s="410">
        <v>500000</v>
      </c>
      <c r="H53" s="410">
        <v>395564.79999999999</v>
      </c>
      <c r="I53" s="410">
        <f t="shared" si="22"/>
        <v>104435.20000000001</v>
      </c>
      <c r="J53" s="582">
        <f t="shared" si="27"/>
        <v>79.112960000000001</v>
      </c>
    </row>
    <row r="54" spans="1:10" s="57" customFormat="1" x14ac:dyDescent="0.25">
      <c r="A54" s="330" t="str">
        <f>IF(B54&gt;0,VLOOKUP(B54,КВСР!A10:B1175,2),IF(C54&gt;0,VLOOKUP(C54,КФСР!A10:B1522,2),IF(D54&gt;0,VLOOKUP(D54,Программа!A$3:B$4973,2),IF(F54&gt;0,VLOOKUP(F54,КВР!A$1:B$5001,2),IF(E54&gt;0,VLOOKUP(E54,Направление!A$1:B$4591,2))))))</f>
        <v>Дорожное хозяйство</v>
      </c>
      <c r="B54" s="183"/>
      <c r="C54" s="184">
        <v>409</v>
      </c>
      <c r="D54" s="185"/>
      <c r="E54" s="184"/>
      <c r="F54" s="186"/>
      <c r="G54" s="145">
        <f t="shared" ref="G54" si="29">G56+G63</f>
        <v>98899860</v>
      </c>
      <c r="H54" s="145">
        <f t="shared" ref="H54" si="30">H56+H63</f>
        <v>17897300.920000002</v>
      </c>
      <c r="I54" s="145">
        <f t="shared" si="22"/>
        <v>81002559.079999998</v>
      </c>
      <c r="J54" s="582">
        <f t="shared" si="27"/>
        <v>18.096386506512751</v>
      </c>
    </row>
    <row r="55" spans="1:10" s="302" customFormat="1" x14ac:dyDescent="0.25">
      <c r="A55" s="328" t="str">
        <f>IF(B55&gt;0,VLOOKUP(B55,КВСР!A11:B1176,2),IF(C55&gt;0,VLOOKUP(C55,КФСР!A11:B1523,2),IF(D55&gt;0,VLOOKUP(D55,Программа!A$3:B$4973,2),IF(F55&gt;0,VLOOKUP(F55,КВР!A$1:B$5001,2),IF(E55&gt;0,VLOOKUP(E55,Направление!A$1:B$4591,2))))))</f>
        <v>Программные расходы бюджета</v>
      </c>
      <c r="B55" s="298"/>
      <c r="C55" s="299"/>
      <c r="D55" s="300" t="s">
        <v>776</v>
      </c>
      <c r="E55" s="299"/>
      <c r="F55" s="301"/>
      <c r="G55" s="407">
        <f>G56+G63</f>
        <v>98899860</v>
      </c>
      <c r="H55" s="407">
        <f>H56+H63</f>
        <v>17897300.920000002</v>
      </c>
      <c r="I55" s="407">
        <f t="shared" si="22"/>
        <v>81002559.079999998</v>
      </c>
      <c r="J55" s="582">
        <f t="shared" si="27"/>
        <v>18.096386506512751</v>
      </c>
    </row>
    <row r="56" spans="1:10" s="57" customFormat="1" ht="78.75" x14ac:dyDescent="0.25">
      <c r="A56" s="329" t="str">
        <f>IF(B56&gt;0,VLOOKUP(B56,КВСР!A11:B1176,2),IF(C56&gt;0,VLOOKUP(C56,КФСР!A11:B1523,2),IF(D56&gt;0,VLOOKUP(D56,Программа!A$3:B$4973,2),IF(F56&gt;0,VLOOKUP(F56,КВР!A$1:B$5001,2),IF(E56&gt;0,VLOOKUP(E56,Направление!A$1:B$4591,2))))))</f>
        <v xml:space="preserve">Муниципальная программа "Формирование современной городской среды на территории городского поселения Тутаев"
</v>
      </c>
      <c r="B56" s="179"/>
      <c r="C56" s="180"/>
      <c r="D56" s="181" t="s">
        <v>256</v>
      </c>
      <c r="E56" s="180"/>
      <c r="F56" s="182"/>
      <c r="G56" s="139">
        <f>G57+G60</f>
        <v>10229500</v>
      </c>
      <c r="H56" s="139">
        <f t="shared" ref="H56" si="31">H57+H60</f>
        <v>164315.32</v>
      </c>
      <c r="I56" s="139">
        <f t="shared" si="22"/>
        <v>10065184.68</v>
      </c>
      <c r="J56" s="582">
        <f t="shared" si="27"/>
        <v>1.6062888704237746</v>
      </c>
    </row>
    <row r="57" spans="1:10" s="57" customFormat="1" ht="31.5" x14ac:dyDescent="0.25">
      <c r="A57" s="329" t="str">
        <f>IF(B57&gt;0,VLOOKUP(B57,КВСР!A12:B1177,2),IF(C57&gt;0,VLOOKUP(C57,КФСР!A12:B1524,2),IF(D57&gt;0,VLOOKUP(D57,Программа!A$3:B$4973,2),IF(F57&gt;0,VLOOKUP(F57,КВР!A$1:B$5001,2),IF(E57&gt;0,VLOOKUP(E57,Направление!A$1:B$4591,2))))))</f>
        <v>Повышение уровня благоустройства дворовых территорий</v>
      </c>
      <c r="B57" s="298"/>
      <c r="C57" s="180"/>
      <c r="D57" s="181" t="s">
        <v>610</v>
      </c>
      <c r="E57" s="180"/>
      <c r="F57" s="182"/>
      <c r="G57" s="139">
        <f>G58</f>
        <v>673628</v>
      </c>
      <c r="H57" s="139">
        <f>H58</f>
        <v>164315.32</v>
      </c>
      <c r="I57" s="139">
        <f t="shared" si="22"/>
        <v>509312.68</v>
      </c>
      <c r="J57" s="582">
        <f t="shared" si="27"/>
        <v>24.392590569275622</v>
      </c>
    </row>
    <row r="58" spans="1:10" s="57" customFormat="1" ht="63" x14ac:dyDescent="0.25">
      <c r="A58" s="329" t="str">
        <f>IF(B58&gt;0,VLOOKUP(B58,КВСР!A13:B1178,2),IF(C58&gt;0,VLOOKUP(C58,КФСР!A13:B1525,2),IF(D58&gt;0,VLOOKUP(D58,Программа!A$3:B$4973,2),IF(F58&gt;0,VLOOKUP(F58,КВР!A$1:B$5001,2),IF(E58&gt;0,VLOOKUP(E58,Направление!A$1:B$4591,2))))))</f>
        <v xml:space="preserve">Межбюджетные трансферты на обеспечение мероприятий по  формированию современной городской среды </v>
      </c>
      <c r="B58" s="179"/>
      <c r="C58" s="180"/>
      <c r="D58" s="181"/>
      <c r="E58" s="180">
        <v>29456</v>
      </c>
      <c r="F58" s="182"/>
      <c r="G58" s="139">
        <f t="shared" ref="G58:H58" si="32">G59</f>
        <v>673628</v>
      </c>
      <c r="H58" s="139">
        <f t="shared" si="32"/>
        <v>164315.32</v>
      </c>
      <c r="I58" s="139">
        <f t="shared" si="22"/>
        <v>509312.68</v>
      </c>
      <c r="J58" s="582">
        <f t="shared" si="27"/>
        <v>24.392590569275622</v>
      </c>
    </row>
    <row r="59" spans="1:10" s="57" customFormat="1" x14ac:dyDescent="0.25">
      <c r="A59" s="329" t="str">
        <f>IF(B59&gt;0,VLOOKUP(B59,КВСР!A14:B1179,2),IF(C59&gt;0,VLOOKUP(C59,КФСР!A14:B1526,2),IF(D59&gt;0,VLOOKUP(D59,Программа!A$3:B$4973,2),IF(F59&gt;0,VLOOKUP(F59,КВР!A$1:B$5001,2),IF(E59&gt;0,VLOOKUP(E59,Направление!A$1:B$4591,2))))))</f>
        <v xml:space="preserve"> Межбюджетные трансферты</v>
      </c>
      <c r="B59" s="179"/>
      <c r="C59" s="180"/>
      <c r="D59" s="181"/>
      <c r="E59" s="180"/>
      <c r="F59" s="182">
        <v>500</v>
      </c>
      <c r="G59" s="410">
        <v>673628</v>
      </c>
      <c r="H59" s="410">
        <v>164315.32</v>
      </c>
      <c r="I59" s="410">
        <f t="shared" si="22"/>
        <v>509312.68</v>
      </c>
      <c r="J59" s="582">
        <f t="shared" si="27"/>
        <v>24.392590569275622</v>
      </c>
    </row>
    <row r="60" spans="1:10" s="57" customFormat="1" ht="31.5" hidden="1" x14ac:dyDescent="0.25">
      <c r="A60" s="329" t="str">
        <f>IF(B60&gt;0,VLOOKUP(B60,КВСР!A15:B1180,2),IF(C60&gt;0,VLOOKUP(C60,КФСР!A15:B1527,2),IF(D60&gt;0,VLOOKUP(D60,Программа!A$3:B$4973,2),IF(F60&gt;0,VLOOKUP(F60,КВР!A$1:B$5001,2),IF(E60&gt;0,VLOOKUP(E60,Направление!A$1:B$4591,2))))))</f>
        <v>Реализация   проекта "Формирование комфортной городской среды"</v>
      </c>
      <c r="B60" s="179"/>
      <c r="C60" s="180"/>
      <c r="D60" s="181" t="s">
        <v>847</v>
      </c>
      <c r="E60" s="180"/>
      <c r="F60" s="182"/>
      <c r="G60" s="139">
        <f>G61</f>
        <v>9555872</v>
      </c>
      <c r="H60" s="139">
        <f>H61</f>
        <v>0</v>
      </c>
      <c r="I60" s="139">
        <f t="shared" si="22"/>
        <v>9555872</v>
      </c>
    </row>
    <row r="61" spans="1:10" s="57" customFormat="1" ht="63" hidden="1" x14ac:dyDescent="0.25">
      <c r="A61" s="329" t="str">
        <f>IF(B61&gt;0,VLOOKUP(B61,КВСР!A16:B1181,2),IF(C61&gt;0,VLOOKUP(C61,КФСР!A16:B1528,2),IF(D61&gt;0,VLOOKUP(D61,Программа!A$3:B$4973,2),IF(F61&gt;0,VLOOKUP(F61,КВР!A$1:B$5001,2),IF(E61&gt;0,VLOOKUP(E61,Направление!A$1:B$4591,2))))))</f>
        <v xml:space="preserve">Межбюджетные трансферты на реализацию регионального проекта "Формирования современной городской среды" </v>
      </c>
      <c r="B61" s="179"/>
      <c r="C61" s="180"/>
      <c r="D61" s="181"/>
      <c r="E61" s="180">
        <v>55556</v>
      </c>
      <c r="F61" s="182"/>
      <c r="G61" s="139">
        <f>G62</f>
        <v>9555872</v>
      </c>
      <c r="H61" s="139">
        <f t="shared" ref="H61" si="33">H62</f>
        <v>0</v>
      </c>
      <c r="I61" s="139">
        <f t="shared" si="22"/>
        <v>9555872</v>
      </c>
    </row>
    <row r="62" spans="1:10" s="57" customFormat="1" hidden="1" x14ac:dyDescent="0.25">
      <c r="A62" s="329" t="str">
        <f>IF(B62&gt;0,VLOOKUP(B62,КВСР!A16:B1181,2),IF(C62&gt;0,VLOOKUP(C62,КФСР!A16:B1528,2),IF(D62&gt;0,VLOOKUP(D62,Программа!A$3:B$4973,2),IF(F62&gt;0,VLOOKUP(F62,КВР!A$1:B$5001,2),IF(E62&gt;0,VLOOKUP(E62,Направление!A$1:B$4591,2))))))</f>
        <v xml:space="preserve"> Межбюджетные трансферты</v>
      </c>
      <c r="B62" s="179"/>
      <c r="C62" s="180"/>
      <c r="D62" s="181"/>
      <c r="E62" s="180"/>
      <c r="F62" s="182">
        <v>500</v>
      </c>
      <c r="G62" s="410">
        <v>9555872</v>
      </c>
      <c r="H62" s="410"/>
      <c r="I62" s="410">
        <f t="shared" si="22"/>
        <v>9555872</v>
      </c>
    </row>
    <row r="63" spans="1:10" s="57" customFormat="1" ht="78.75" x14ac:dyDescent="0.25">
      <c r="A63" s="329" t="str">
        <f>IF(B63&gt;0,VLOOKUP(B63,КВСР!A15:B1180,2),IF(C63&gt;0,VLOOKUP(C63,КФСР!A15:B1527,2),IF(D63&gt;0,VLOOKUP(D63,Программа!A$3:B$4973,2),IF(F63&gt;0,VLOOKUP(F63,КВР!A$1:B$5001,2),IF(E63&gt;0,VLOOKUP(E63,Направление!A$1:B$4591,2))))))</f>
        <v xml:space="preserve">Муниципальная программа "Развитие и содержание дорожного хозяйства на территории  городского поселения Тутаев"
</v>
      </c>
      <c r="B63" s="179"/>
      <c r="C63" s="180"/>
      <c r="D63" s="181" t="s">
        <v>254</v>
      </c>
      <c r="E63" s="180"/>
      <c r="F63" s="182"/>
      <c r="G63" s="139">
        <f>G64+G79</f>
        <v>88670360</v>
      </c>
      <c r="H63" s="139">
        <f>H64+H79</f>
        <v>17732985.600000001</v>
      </c>
      <c r="I63" s="139">
        <f t="shared" si="22"/>
        <v>70937374.400000006</v>
      </c>
      <c r="J63" s="582">
        <f t="shared" ref="J63:J66" si="34">H63/G63*100</f>
        <v>19.998774787877256</v>
      </c>
    </row>
    <row r="64" spans="1:10" s="57" customFormat="1" ht="47.25" x14ac:dyDescent="0.25">
      <c r="A64" s="329" t="str">
        <f>IF(B64&gt;0,VLOOKUP(B64,КВСР!A16:B1181,2),IF(C64&gt;0,VLOOKUP(C64,КФСР!A16:B1528,2),IF(D64&gt;0,VLOOKUP(D64,Программа!A$3:B$4973,2),IF(F64&gt;0,VLOOKUP(F64,КВР!A$1:B$5001,2),IF(E64&gt;0,VLOOKUP(E64,Направление!A$1:B$4591,2))))))</f>
        <v xml:space="preserve"> Дорожная деятельность в отношении дорожной сети   городского поселения Тутаев </v>
      </c>
      <c r="B64" s="179"/>
      <c r="C64" s="180"/>
      <c r="D64" s="181" t="s">
        <v>616</v>
      </c>
      <c r="E64" s="180"/>
      <c r="F64" s="182"/>
      <c r="G64" s="139">
        <f>G69+G71+G73+G65+G67+G75+G77</f>
        <v>88670360</v>
      </c>
      <c r="H64" s="139">
        <f>H65+H67+H69+H71+H73+H75+H77</f>
        <v>17732985.600000001</v>
      </c>
      <c r="I64" s="139">
        <f t="shared" si="22"/>
        <v>70937374.400000006</v>
      </c>
      <c r="J64" s="582">
        <f t="shared" si="34"/>
        <v>19.998774787877256</v>
      </c>
    </row>
    <row r="65" spans="1:10" s="57" customFormat="1" ht="84.75" customHeight="1" x14ac:dyDescent="0.25">
      <c r="A65" s="329" t="str">
        <f>IF(B65&gt;0,VLOOKUP(B65,КВСР!A17:B1182,2),IF(C65&gt;0,VLOOKUP(C65,КФСР!A17:B1529,2),IF(D65&gt;0,VLOOKUP(D65,Программа!A$3:B$4973,2),IF(F65&gt;0,VLOOKUP(F65,КВР!A$1:B$5001,2),IF(E65&gt;0,VLOOKUP(E65,Направление!A$1:B$4591,2))))))</f>
        <v>Межбюджетные трансферты на обеспечение софинансирования мероприятий в области дорожного хозяйства на ремонт и содержание автомобильных дорог</v>
      </c>
      <c r="B65" s="179"/>
      <c r="C65" s="180"/>
      <c r="D65" s="181"/>
      <c r="E65" s="180">
        <v>22446</v>
      </c>
      <c r="F65" s="182"/>
      <c r="G65" s="139">
        <f>G66</f>
        <v>423860</v>
      </c>
      <c r="H65" s="139">
        <f>H66</f>
        <v>24972.5</v>
      </c>
      <c r="I65" s="139">
        <f t="shared" si="22"/>
        <v>398887.5</v>
      </c>
      <c r="J65" s="582">
        <f t="shared" si="34"/>
        <v>5.8916859340348227</v>
      </c>
    </row>
    <row r="66" spans="1:10" s="57" customFormat="1" x14ac:dyDescent="0.25">
      <c r="A66" s="329" t="str">
        <f>IF(B66&gt;0,VLOOKUP(B66,КВСР!A18:B1183,2),IF(C66&gt;0,VLOOKUP(C66,КФСР!A18:B1530,2),IF(D66&gt;0,VLOOKUP(D66,Программа!A$3:B$4973,2),IF(F66&gt;0,VLOOKUP(F66,КВР!A$1:B$5001,2),IF(E66&gt;0,VLOOKUP(E66,Направление!A$1:B$4591,2))))))</f>
        <v xml:space="preserve"> Межбюджетные трансферты</v>
      </c>
      <c r="B66" s="179"/>
      <c r="C66" s="180"/>
      <c r="D66" s="181"/>
      <c r="E66" s="180"/>
      <c r="F66" s="182">
        <v>500</v>
      </c>
      <c r="G66" s="410">
        <v>423860</v>
      </c>
      <c r="H66" s="410">
        <v>24972.5</v>
      </c>
      <c r="I66" s="410">
        <f t="shared" si="22"/>
        <v>398887.5</v>
      </c>
      <c r="J66" s="582">
        <f t="shared" si="34"/>
        <v>5.8916859340348227</v>
      </c>
    </row>
    <row r="67" spans="1:10" s="57" customFormat="1" ht="78.75" hidden="1" x14ac:dyDescent="0.25">
      <c r="A67" s="329" t="str">
        <f>IF(B67&gt;0,VLOOKUP(B67,КВСР!A19:B1184,2),IF(C67&gt;0,VLOOKUP(C67,КФСР!A19:B1531,2),IF(D67&gt;0,VLOOKUP(D67,Программа!A$3:B$4973,2),IF(F67&gt;0,VLOOKUP(F67,КВР!A$1:B$5001,2),IF(E67&gt;0,VLOOKUP(E67,Направление!A$1:B$4591,2))))))</f>
        <v>Межбюджетные трансферты на обеспечение  мероприятий по  разработке схем организации дорожного движения в рамках агломерации "Ярославская"</v>
      </c>
      <c r="B67" s="179"/>
      <c r="C67" s="180"/>
      <c r="D67" s="181"/>
      <c r="E67" s="180">
        <v>23906</v>
      </c>
      <c r="F67" s="182"/>
      <c r="G67" s="139">
        <f>G68</f>
        <v>4112000</v>
      </c>
      <c r="H67" s="139">
        <f>H68</f>
        <v>0</v>
      </c>
      <c r="I67" s="139">
        <f t="shared" si="22"/>
        <v>4112000</v>
      </c>
    </row>
    <row r="68" spans="1:10" s="57" customFormat="1" x14ac:dyDescent="0.25">
      <c r="A68" s="329" t="str">
        <f>IF(B68&gt;0,VLOOKUP(B68,КВСР!A20:B1185,2),IF(C68&gt;0,VLOOKUP(C68,КФСР!A20:B1532,2),IF(D68&gt;0,VLOOKUP(D68,Программа!A$3:B$4973,2),IF(F68&gt;0,VLOOKUP(F68,КВР!A$1:B$5001,2),IF(E68&gt;0,VLOOKUP(E68,Направление!A$1:B$4591,2))))))</f>
        <v xml:space="preserve"> Межбюджетные трансферты</v>
      </c>
      <c r="B68" s="179"/>
      <c r="C68" s="180"/>
      <c r="D68" s="181"/>
      <c r="E68" s="180"/>
      <c r="F68" s="182">
        <v>500</v>
      </c>
      <c r="G68" s="410">
        <v>4112000</v>
      </c>
      <c r="H68" s="410"/>
      <c r="I68" s="410">
        <f t="shared" si="22"/>
        <v>4112000</v>
      </c>
      <c r="J68" s="582">
        <f t="shared" ref="J68:J74" si="35">H68/G68*100</f>
        <v>0</v>
      </c>
    </row>
    <row r="69" spans="1:10" s="57" customFormat="1" ht="63" x14ac:dyDescent="0.25">
      <c r="A69" s="329" t="str">
        <f>IF(B69&gt;0,VLOOKUP(B69,КВСР!A17:B1182,2),IF(C69&gt;0,VLOOKUP(C69,КФСР!A17:B1529,2),IF(D69&gt;0,VLOOKUP(D69,Программа!A$3:B$4973,2),IF(F69&gt;0,VLOOKUP(F69,КВР!A$1:B$5001,2),IF(E69&gt;0,VLOOKUP(E69,Направление!A$1:B$4591,2))))))</f>
        <v>Межбюджетные трансферты на обеспечение   мероприятий в области  дорожного хозяйства  на  ремонт и содержание автомобильных дорог</v>
      </c>
      <c r="B69" s="179"/>
      <c r="C69" s="180"/>
      <c r="D69" s="181"/>
      <c r="E69" s="180">
        <v>29086</v>
      </c>
      <c r="F69" s="182"/>
      <c r="G69" s="139">
        <f>G70</f>
        <v>16800571</v>
      </c>
      <c r="H69" s="139">
        <f t="shared" ref="H69" si="36">H70</f>
        <v>8764700.4800000004</v>
      </c>
      <c r="I69" s="139">
        <f t="shared" si="22"/>
        <v>8035870.5199999996</v>
      </c>
      <c r="J69" s="582">
        <f t="shared" si="35"/>
        <v>52.169063063392308</v>
      </c>
    </row>
    <row r="70" spans="1:10" s="57" customFormat="1" x14ac:dyDescent="0.25">
      <c r="A70" s="329" t="str">
        <f>IF(B70&gt;0,VLOOKUP(B70,КВСР!A18:B1183,2),IF(C70&gt;0,VLOOKUP(C70,КФСР!A18:B1530,2),IF(D70&gt;0,VLOOKUP(D70,Программа!A$3:B$4973,2),IF(F70&gt;0,VLOOKUP(F70,КВР!A$1:B$5001,2),IF(E70&gt;0,VLOOKUP(E70,Направление!A$1:B$4591,2))))))</f>
        <v xml:space="preserve"> Межбюджетные трансферты</v>
      </c>
      <c r="B70" s="179"/>
      <c r="C70" s="180"/>
      <c r="D70" s="181"/>
      <c r="E70" s="180"/>
      <c r="F70" s="182">
        <v>500</v>
      </c>
      <c r="G70" s="410">
        <v>16800571</v>
      </c>
      <c r="H70" s="410">
        <v>8764700.4800000004</v>
      </c>
      <c r="I70" s="410">
        <f t="shared" si="22"/>
        <v>8035870.5199999996</v>
      </c>
      <c r="J70" s="582">
        <f t="shared" si="35"/>
        <v>52.169063063392308</v>
      </c>
    </row>
    <row r="71" spans="1:10" s="57" customFormat="1" ht="63" x14ac:dyDescent="0.25">
      <c r="A71" s="329" t="str">
        <f>IF(B71&gt;0,VLOOKUP(B71,КВСР!A19:B1184,2),IF(C71&gt;0,VLOOKUP(C71,КФСР!A19:B1531,2),IF(D71&gt;0,VLOOKUP(D71,Программа!A$3:B$4973,2),IF(F71&gt;0,VLOOKUP(F71,КВР!A$1:B$5001,2),IF(E71&gt;0,VLOOKUP(E71,Направление!A$1:B$4591,2))))))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B71" s="179"/>
      <c r="C71" s="180"/>
      <c r="D71" s="181"/>
      <c r="E71" s="180">
        <v>29096</v>
      </c>
      <c r="F71" s="182"/>
      <c r="G71" s="139">
        <f>G72</f>
        <v>3465000</v>
      </c>
      <c r="H71" s="139">
        <f t="shared" ref="H71" si="37">H72</f>
        <v>550192.81999999995</v>
      </c>
      <c r="I71" s="139">
        <f t="shared" si="22"/>
        <v>2914807.18</v>
      </c>
      <c r="J71" s="582">
        <f t="shared" si="35"/>
        <v>15.878580663780662</v>
      </c>
    </row>
    <row r="72" spans="1:10" s="57" customFormat="1" x14ac:dyDescent="0.25">
      <c r="A72" s="329" t="str">
        <f>IF(B72&gt;0,VLOOKUP(B72,КВСР!A20:B1185,2),IF(C72&gt;0,VLOOKUP(C72,КФСР!A20:B1532,2),IF(D72&gt;0,VLOOKUP(D72,Программа!A$3:B$4973,2),IF(F72&gt;0,VLOOKUP(F72,КВР!A$1:B$5001,2),IF(E72&gt;0,VLOOKUP(E72,Направление!A$1:B$4591,2))))))</f>
        <v xml:space="preserve"> Межбюджетные трансферты</v>
      </c>
      <c r="B72" s="179"/>
      <c r="C72" s="180"/>
      <c r="D72" s="181"/>
      <c r="E72" s="180"/>
      <c r="F72" s="182">
        <v>500</v>
      </c>
      <c r="G72" s="410">
        <v>3465000</v>
      </c>
      <c r="H72" s="410">
        <v>550192.81999999995</v>
      </c>
      <c r="I72" s="410">
        <f t="shared" si="22"/>
        <v>2914807.18</v>
      </c>
      <c r="J72" s="582">
        <f t="shared" si="35"/>
        <v>15.878580663780662</v>
      </c>
    </row>
    <row r="73" spans="1:10" s="57" customFormat="1" ht="63" x14ac:dyDescent="0.25">
      <c r="A73" s="329" t="str">
        <f>IF(B73&gt;0,VLOOKUP(B73,КВСР!A21:B1186,2),IF(C73&gt;0,VLOOKUP(C73,КФСР!A21:B1533,2),IF(D73&gt;0,VLOOKUP(D73,Программа!A$3:B$4973,2),IF(F73&gt;0,VLOOKUP(F73,КВР!A$1:B$5001,2),IF(E73&gt;0,VLOOKUP(E73,Направление!A$1:B$4591,2))))))</f>
        <v>Межбюджетные трансферты на обеспечение содержания и организации деятельности в области  дорожного хозяйства</v>
      </c>
      <c r="B73" s="179"/>
      <c r="C73" s="180"/>
      <c r="D73" s="181"/>
      <c r="E73" s="180">
        <v>29696</v>
      </c>
      <c r="F73" s="182"/>
      <c r="G73" s="139">
        <f>G74</f>
        <v>18815666</v>
      </c>
      <c r="H73" s="139">
        <f t="shared" ref="H73" si="38">H74</f>
        <v>8393119.8000000007</v>
      </c>
      <c r="I73" s="139">
        <f t="shared" si="22"/>
        <v>10422546.199999999</v>
      </c>
      <c r="J73" s="582">
        <f t="shared" si="35"/>
        <v>44.607083267740833</v>
      </c>
    </row>
    <row r="74" spans="1:10" s="57" customFormat="1" x14ac:dyDescent="0.25">
      <c r="A74" s="329" t="str">
        <f>IF(B74&gt;0,VLOOKUP(B74,КВСР!A22:B1187,2),IF(C74&gt;0,VLOOKUP(C74,КФСР!A22:B1534,2),IF(D74&gt;0,VLOOKUP(D74,Программа!A$3:B$4973,2),IF(F74&gt;0,VLOOKUP(F74,КВР!A$1:B$5001,2),IF(E74&gt;0,VLOOKUP(E74,Направление!A$1:B$4591,2))))))</f>
        <v xml:space="preserve"> Межбюджетные трансферты</v>
      </c>
      <c r="B74" s="179"/>
      <c r="C74" s="180"/>
      <c r="D74" s="181"/>
      <c r="E74" s="180"/>
      <c r="F74" s="182">
        <v>500</v>
      </c>
      <c r="G74" s="410">
        <v>18815666</v>
      </c>
      <c r="H74" s="410">
        <v>8393119.8000000007</v>
      </c>
      <c r="I74" s="410">
        <f t="shared" si="22"/>
        <v>10422546.199999999</v>
      </c>
      <c r="J74" s="582">
        <f t="shared" si="35"/>
        <v>44.607083267740833</v>
      </c>
    </row>
    <row r="75" spans="1:10" s="57" customFormat="1" hidden="1" x14ac:dyDescent="0.25">
      <c r="A75" s="503" t="str">
        <f>IF(B75&gt;0,VLOOKUP(B75,КВСР!A23:B1188,2),IF(C75&gt;0,VLOOKUP(C75,КФСР!A23:B1535,2),IF(D75&gt;0,VLOOKUP(D75,Программа!A$3:B$4973,2),IF(F75&gt;0,VLOOKUP(F75,КВР!A$1:B$5001,2),IF(E75&gt;0,VLOOKUP(E75,Направление!A$1:B$4591,2))))))</f>
        <v xml:space="preserve">Финансирование дорожного хозяйства </v>
      </c>
      <c r="B75" s="504"/>
      <c r="C75" s="504"/>
      <c r="D75" s="504"/>
      <c r="E75" s="504" t="s">
        <v>626</v>
      </c>
      <c r="F75" s="505"/>
      <c r="G75" s="139">
        <f>G76</f>
        <v>8053263</v>
      </c>
      <c r="H75" s="139">
        <f>H76</f>
        <v>0</v>
      </c>
      <c r="I75" s="139">
        <f t="shared" si="22"/>
        <v>8053263</v>
      </c>
    </row>
    <row r="76" spans="1:10" s="57" customFormat="1" hidden="1" x14ac:dyDescent="0.25">
      <c r="A76" s="503" t="str">
        <f>IF(B76&gt;0,VLOOKUP(B76,КВСР!A24:B1189,2),IF(C76&gt;0,VLOOKUP(C76,КФСР!A24:B1536,2),IF(D76&gt;0,VLOOKUP(D76,Программа!A$3:B$4973,2),IF(F76&gt;0,VLOOKUP(F76,КВР!A$1:B$5001,2),IF(E76&gt;0,VLOOKUP(E76,Направление!A$1:B$4591,2))))))</f>
        <v xml:space="preserve"> Межбюджетные трансферты</v>
      </c>
      <c r="B76" s="504"/>
      <c r="C76" s="504"/>
      <c r="D76" s="504"/>
      <c r="E76" s="504"/>
      <c r="F76" s="505">
        <v>500</v>
      </c>
      <c r="G76" s="410">
        <v>8053263</v>
      </c>
      <c r="H76" s="410"/>
      <c r="I76" s="410">
        <f t="shared" si="22"/>
        <v>8053263</v>
      </c>
    </row>
    <row r="77" spans="1:10" s="57" customFormat="1" ht="47.25" hidden="1" x14ac:dyDescent="0.25">
      <c r="A77" s="503" t="str">
        <f>IF(B77&gt;0,VLOOKUP(B77,КВСР!A25:B1190,2),IF(C77&gt;0,VLOOKUP(C77,КФСР!A25:B1537,2),IF(D77&gt;0,VLOOKUP(D77,Программа!A$3:B$4973,2),IF(F77&gt;0,VLOOKUP(F77,КВР!A$1:B$5001,2),IF(E77&gt;0,VLOOKUP(E77,Направление!A$1:B$4591,2))))))</f>
        <v>Комплексное развитие транспортной инфраструктуры городской агломерации «Ярославская»</v>
      </c>
      <c r="B77" s="504"/>
      <c r="C77" s="504"/>
      <c r="D77" s="504"/>
      <c r="E77" s="504" t="s">
        <v>628</v>
      </c>
      <c r="F77" s="505"/>
      <c r="G77" s="139">
        <f>G78</f>
        <v>37000000</v>
      </c>
      <c r="H77" s="139">
        <f>H78</f>
        <v>0</v>
      </c>
      <c r="I77" s="139">
        <f t="shared" si="22"/>
        <v>37000000</v>
      </c>
    </row>
    <row r="78" spans="1:10" s="57" customFormat="1" hidden="1" x14ac:dyDescent="0.25">
      <c r="A78" s="329" t="str">
        <f>IF(B78&gt;0,VLOOKUP(B78,КВСР!A26:B1191,2),IF(C78&gt;0,VLOOKUP(C78,КФСР!A26:B1538,2),IF(D78&gt;0,VLOOKUP(D78,Программа!A$3:B$4973,2),IF(F78&gt;0,VLOOKUP(F78,КВР!A$1:B$5001,2),IF(E78&gt;0,VLOOKUP(E78,Направление!A$1:B$4591,2))))))</f>
        <v xml:space="preserve"> Межбюджетные трансферты</v>
      </c>
      <c r="B78" s="179"/>
      <c r="C78" s="180"/>
      <c r="D78" s="181"/>
      <c r="E78" s="180"/>
      <c r="F78" s="182">
        <v>500</v>
      </c>
      <c r="G78" s="410">
        <v>37000000</v>
      </c>
      <c r="H78" s="410"/>
      <c r="I78" s="410">
        <f t="shared" si="22"/>
        <v>37000000</v>
      </c>
    </row>
    <row r="79" spans="1:10" s="57" customFormat="1" ht="63" hidden="1" x14ac:dyDescent="0.25">
      <c r="A79" s="329" t="str">
        <f>IF(B79&gt;0,VLOOKUP(B79,КВСР!A23:B1188,2),IF(C79&gt;0,VLOOKUP(C79,КФСР!A23:B1535,2),IF(D79&gt;0,VLOOKUP(D79,Программа!A$3:B$4973,2),IF(F79&gt;0,VLOOKUP(F79,КВР!A$1:B$5001,2),IF(E79&gt;0,VLOOKUP(E79,Направление!A$1:B$4591,2))))))</f>
        <v>Реализация мероприятий губернаторского проекта "Решаем вместе!" (инициативное бюджетирование)</v>
      </c>
      <c r="B79" s="179"/>
      <c r="C79" s="180"/>
      <c r="D79" s="181" t="s">
        <v>619</v>
      </c>
      <c r="E79" s="180"/>
      <c r="F79" s="182"/>
      <c r="G79" s="139">
        <f>G80</f>
        <v>0</v>
      </c>
      <c r="H79" s="139">
        <f t="shared" ref="H79:H80" si="39">H80</f>
        <v>0</v>
      </c>
      <c r="I79" s="139">
        <f t="shared" si="22"/>
        <v>0</v>
      </c>
    </row>
    <row r="80" spans="1:10" s="57" customFormat="1" ht="78.75" hidden="1" x14ac:dyDescent="0.25">
      <c r="A80" s="329" t="str">
        <f>IF(B80&gt;0,VLOOKUP(B80,КВСР!A24:B1189,2),IF(C80&gt;0,VLOOKUP(C80,КФСР!A24:B1536,2),IF(D80&gt;0,VLOOKUP(D80,Программа!A$3:B$4973,2),IF(F80&gt;0,VLOOKUP(F80,КВР!A$1:B$5001,2),IF(E80&gt;0,VLOOKUP(E80,Направление!A$1:B$4591,2))))))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B80" s="179"/>
      <c r="C80" s="180"/>
      <c r="D80" s="181"/>
      <c r="E80" s="180">
        <v>25356</v>
      </c>
      <c r="F80" s="182"/>
      <c r="G80" s="139">
        <f>G81</f>
        <v>0</v>
      </c>
      <c r="H80" s="139">
        <f t="shared" si="39"/>
        <v>0</v>
      </c>
      <c r="I80" s="139">
        <f t="shared" si="22"/>
        <v>0</v>
      </c>
    </row>
    <row r="81" spans="1:10" s="57" customFormat="1" hidden="1" x14ac:dyDescent="0.25">
      <c r="A81" s="329" t="str">
        <f>IF(B81&gt;0,VLOOKUP(B81,КВСР!A25:B1190,2),IF(C81&gt;0,VLOOKUP(C81,КФСР!A25:B1537,2),IF(D81&gt;0,VLOOKUP(D81,Программа!A$3:B$4973,2),IF(F81&gt;0,VLOOKUP(F81,КВР!A$1:B$5001,2),IF(E81&gt;0,VLOOKUP(E81,Направление!A$1:B$4591,2))))))</f>
        <v xml:space="preserve"> Межбюджетные трансферты</v>
      </c>
      <c r="B81" s="179"/>
      <c r="C81" s="180"/>
      <c r="D81" s="181"/>
      <c r="E81" s="180"/>
      <c r="F81" s="182">
        <v>500</v>
      </c>
      <c r="G81" s="410">
        <v>0</v>
      </c>
      <c r="H81" s="410">
        <v>0</v>
      </c>
      <c r="I81" s="410">
        <f t="shared" si="22"/>
        <v>0</v>
      </c>
    </row>
    <row r="82" spans="1:10" s="57" customFormat="1" ht="31.5" x14ac:dyDescent="0.25">
      <c r="A82" s="330" t="str">
        <f>IF(B82&gt;0,VLOOKUP(B82,КВСР!A26:B1191,2),IF(C82&gt;0,VLOOKUP(C82,КФСР!A26:B1538,2),IF(D82&gt;0,VLOOKUP(D82,Программа!A$3:B$4973,2),IF(F82&gt;0,VLOOKUP(F82,КВР!A$1:B$5001,2),IF(E82&gt;0,VLOOKUP(E82,Направление!A$1:B$4591,2))))))</f>
        <v>Другие вопросы в области национальной экономики</v>
      </c>
      <c r="B82" s="183"/>
      <c r="C82" s="184">
        <v>412</v>
      </c>
      <c r="D82" s="185"/>
      <c r="E82" s="184"/>
      <c r="F82" s="186"/>
      <c r="G82" s="145">
        <f>G83+G99</f>
        <v>2250000</v>
      </c>
      <c r="H82" s="145">
        <f>H83+H99</f>
        <v>23000</v>
      </c>
      <c r="I82" s="145">
        <f t="shared" si="22"/>
        <v>2227000</v>
      </c>
      <c r="J82" s="582">
        <f>H82/G82*100</f>
        <v>1.0222222222222224</v>
      </c>
    </row>
    <row r="83" spans="1:10" s="303" customFormat="1" hidden="1" x14ac:dyDescent="0.25">
      <c r="A83" s="328" t="str">
        <f>IF(B83&gt;0,VLOOKUP(B83,КВСР!A27:B1192,2),IF(C83&gt;0,VLOOKUP(C83,КФСР!A27:B1539,2),IF(D83&gt;0,VLOOKUP(D83,Программа!A$3:B$4973,2),IF(F83&gt;0,VLOOKUP(F83,КВР!A$1:B$5001,2),IF(E83&gt;0,VLOOKUP(E83,Направление!A$1:B$4591,2))))))</f>
        <v>Программные расходы бюджета</v>
      </c>
      <c r="B83" s="298"/>
      <c r="C83" s="299"/>
      <c r="D83" s="300" t="s">
        <v>776</v>
      </c>
      <c r="E83" s="299"/>
      <c r="F83" s="301"/>
      <c r="G83" s="407">
        <f>G84+G88+G95</f>
        <v>1350000</v>
      </c>
      <c r="H83" s="407">
        <f>H84+H88+H95</f>
        <v>0</v>
      </c>
      <c r="I83" s="407">
        <f t="shared" si="22"/>
        <v>1350000</v>
      </c>
    </row>
    <row r="84" spans="1:10" s="57" customFormat="1" ht="63" hidden="1" x14ac:dyDescent="0.25">
      <c r="A84" s="329" t="str">
        <f>IF(B84&gt;0,VLOOKUP(B84,КВСР!A27:B1192,2),IF(C84&gt;0,VLOOKUP(C84,КФСР!A27:B1539,2),IF(D84&gt;0,VLOOKUP(D84,Программа!A$3:B$4973,2),IF(F84&gt;0,VLOOKUP(F84,КВР!A$1:B$5001,2),IF(E84&gt;0,VLOOKUP(E84,Направление!A$1:B$4591,2))))))</f>
        <v>Муниципальная программа "Развитие субъектов малого и среднего предпринимательства городского поселения Тутаев"</v>
      </c>
      <c r="B84" s="179"/>
      <c r="C84" s="180"/>
      <c r="D84" s="181" t="s">
        <v>262</v>
      </c>
      <c r="E84" s="180"/>
      <c r="F84" s="182"/>
      <c r="G84" s="139">
        <f>G85</f>
        <v>0</v>
      </c>
      <c r="H84" s="139">
        <f t="shared" ref="H84:H86" si="40">H85</f>
        <v>0</v>
      </c>
      <c r="I84" s="139">
        <f t="shared" si="22"/>
        <v>0</v>
      </c>
    </row>
    <row r="85" spans="1:10" s="57" customFormat="1" ht="63" hidden="1" x14ac:dyDescent="0.25">
      <c r="A85" s="329" t="str">
        <f>IF(B85&gt;0,VLOOKUP(B85,КВСР!A28:B1193,2),IF(C85&gt;0,VLOOKUP(C85,КФСР!A28:B1540,2),IF(D85&gt;0,VLOOKUP(D85,Программа!A$3:B$4973,2),IF(F85&gt;0,VLOOKUP(F85,КВР!A$1:B$5001,2),IF(E85&gt;0,VLOOKUP(E85,Направление!A$1:B$4591,2))))))</f>
        <v>Предоставление поддержки  субъектам малого и среднего предпринимательства городского поселения Тутаев</v>
      </c>
      <c r="B85" s="179"/>
      <c r="C85" s="180"/>
      <c r="D85" s="181" t="s">
        <v>263</v>
      </c>
      <c r="E85" s="180"/>
      <c r="F85" s="182"/>
      <c r="G85" s="139">
        <f>G86</f>
        <v>0</v>
      </c>
      <c r="H85" s="139">
        <f t="shared" si="40"/>
        <v>0</v>
      </c>
      <c r="I85" s="139">
        <f t="shared" si="22"/>
        <v>0</v>
      </c>
    </row>
    <row r="86" spans="1:10" s="57" customFormat="1" ht="110.25" hidden="1" x14ac:dyDescent="0.25">
      <c r="A86" s="329" t="str">
        <f>IF(B86&gt;0,VLOOKUP(B86,КВСР!A29:B1194,2),IF(C86&gt;0,VLOOKUP(C86,КФСР!A29:B1541,2),IF(D86&gt;0,VLOOKUP(D86,Программа!A$3:B$4973,2),IF(F86&gt;0,VLOOKUP(F86,КВР!A$1:B$5001,2),IF(E86&gt;0,VLOOKUP(E86,Направление!A$1:B$4591,2))))))</f>
        <v>Обеспечение софинансирования государственной поддержки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B86" s="179"/>
      <c r="C86" s="180"/>
      <c r="D86" s="181"/>
      <c r="E86" s="180" t="s">
        <v>836</v>
      </c>
      <c r="F86" s="182"/>
      <c r="G86" s="139">
        <f>G87</f>
        <v>0</v>
      </c>
      <c r="H86" s="139">
        <f t="shared" si="40"/>
        <v>0</v>
      </c>
      <c r="I86" s="139">
        <f t="shared" si="22"/>
        <v>0</v>
      </c>
    </row>
    <row r="87" spans="1:10" s="57" customFormat="1" hidden="1" x14ac:dyDescent="0.25">
      <c r="A87" s="329" t="str">
        <f>IF(B87&gt;0,VLOOKUP(B87,КВСР!A30:B1195,2),IF(C87&gt;0,VLOOKUP(C87,КФСР!A30:B1542,2),IF(D87&gt;0,VLOOKUP(D87,Программа!A$3:B$4973,2),IF(F87&gt;0,VLOOKUP(F87,КВР!A$1:B$5001,2),IF(E87&gt;0,VLOOKUP(E87,Направление!A$1:B$4591,2))))))</f>
        <v>Иные бюджетные ассигнования</v>
      </c>
      <c r="B87" s="179"/>
      <c r="C87" s="180"/>
      <c r="D87" s="181"/>
      <c r="E87" s="180"/>
      <c r="F87" s="182">
        <v>800</v>
      </c>
      <c r="G87" s="410">
        <v>0</v>
      </c>
      <c r="H87" s="410"/>
      <c r="I87" s="410">
        <f t="shared" si="22"/>
        <v>0</v>
      </c>
    </row>
    <row r="88" spans="1:10" s="57" customFormat="1" ht="63" hidden="1" x14ac:dyDescent="0.25">
      <c r="A88" s="329" t="str">
        <f>IF(B88&gt;0,VLOOKUP(B88,КВСР!A31:B1196,2),IF(C88&gt;0,VLOOKUP(C88,КФСР!A31:B1543,2),IF(D88&gt;0,VLOOKUP(D88,Программа!A$3:B$4973,2),IF(F88&gt;0,VLOOKUP(F88,КВР!A$1:B$5001,2),IF(E88&gt;0,VLOOKUP(E88,Направление!A$1:B$4591,2))))))</f>
        <v xml:space="preserve">Муниципальная программа "Градостроительная деятельность на территории городского поселения Тутаев" </v>
      </c>
      <c r="B88" s="210"/>
      <c r="C88" s="211"/>
      <c r="D88" s="212" t="s">
        <v>827</v>
      </c>
      <c r="E88" s="211"/>
      <c r="F88" s="212"/>
      <c r="G88" s="412">
        <f>G89+G92</f>
        <v>1350000</v>
      </c>
      <c r="H88" s="412">
        <f t="shared" ref="H88" si="41">H89+H92</f>
        <v>0</v>
      </c>
      <c r="I88" s="412">
        <f t="shared" si="22"/>
        <v>1350000</v>
      </c>
    </row>
    <row r="89" spans="1:10" s="57" customFormat="1" ht="63" hidden="1" x14ac:dyDescent="0.25">
      <c r="A89" s="329" t="str">
        <f>IF(B89&gt;0,VLOOKUP(B89,КВСР!A32:B1197,2),IF(C89&gt;0,VLOOKUP(C89,КФСР!A32:B1544,2),IF(D89&gt;0,VLOOKUP(D89,Программа!A$3:B$4973,2),IF(F89&gt;0,VLOOKUP(F89,КВР!A$1:B$5001,2),IF(E89&gt;0,VLOOKUP(E89,Направление!A$1:B$4591,2))))))</f>
        <v>Внесение изменений в документы территориального планирования и градостроительного зонирования городского поселения Тутаев</v>
      </c>
      <c r="B89" s="179"/>
      <c r="C89" s="180"/>
      <c r="D89" s="182" t="s">
        <v>828</v>
      </c>
      <c r="E89" s="180"/>
      <c r="F89" s="182"/>
      <c r="G89" s="486">
        <f>G90</f>
        <v>1190000</v>
      </c>
      <c r="H89" s="486">
        <f t="shared" ref="H89:H90" si="42">H90</f>
        <v>0</v>
      </c>
      <c r="I89" s="486">
        <f t="shared" si="22"/>
        <v>1190000</v>
      </c>
    </row>
    <row r="90" spans="1:10" s="57" customFormat="1" ht="47.25" hidden="1" x14ac:dyDescent="0.25">
      <c r="A90" s="329" t="str">
        <f>IF(B90&gt;0,VLOOKUP(B90,КВСР!A33:B1198,2),IF(C90&gt;0,VLOOKUP(C90,КФСР!A33:B1545,2),IF(D90&gt;0,VLOOKUP(D90,Программа!A$3:B$4973,2),IF(F90&gt;0,VLOOKUP(F90,КВР!A$1:B$5001,2),IF(E90&gt;0,VLOOKUP(E90,Направление!A$1:B$4591,2))))))</f>
        <v>Обеспечение мероприятий по разработке и  внесению изменений в правила землепользования и застройки</v>
      </c>
      <c r="B90" s="179"/>
      <c r="C90" s="180"/>
      <c r="D90" s="182"/>
      <c r="E90" s="180">
        <v>20210</v>
      </c>
      <c r="F90" s="182"/>
      <c r="G90" s="116">
        <f>G91</f>
        <v>1190000</v>
      </c>
      <c r="H90" s="116">
        <f t="shared" si="42"/>
        <v>0</v>
      </c>
      <c r="I90" s="116">
        <f t="shared" si="22"/>
        <v>1190000</v>
      </c>
    </row>
    <row r="91" spans="1:10" s="57" customFormat="1" ht="63" hidden="1" x14ac:dyDescent="0.25">
      <c r="A91" s="329" t="str">
        <f>IF(B91&gt;0,VLOOKUP(B91,КВСР!A34:B1199,2),IF(C91&gt;0,VLOOKUP(C91,КФСР!A34:B1546,2),IF(D91&gt;0,VLOOKUP(D91,Программа!A$3:B$4973,2),IF(F91&gt;0,VLOOKUP(F91,КВР!A$1:B$5001,2),IF(E91&gt;0,VLOOKUP(E91,Направление!A$1:B$4591,2))))))</f>
        <v xml:space="preserve">Закупка товаров, работ и услуг для обеспечения государственных (муниципальных) нужд
</v>
      </c>
      <c r="B91" s="179"/>
      <c r="C91" s="180"/>
      <c r="D91" s="182"/>
      <c r="E91" s="180"/>
      <c r="F91" s="182">
        <v>200</v>
      </c>
      <c r="G91" s="411">
        <v>1190000</v>
      </c>
      <c r="H91" s="411"/>
      <c r="I91" s="411">
        <f t="shared" si="22"/>
        <v>1190000</v>
      </c>
    </row>
    <row r="92" spans="1:10" s="57" customFormat="1" ht="47.25" hidden="1" x14ac:dyDescent="0.25">
      <c r="A92" s="329" t="str">
        <f>IF(B92&gt;0,VLOOKUP(B92,КВСР!A32:B1197,2),IF(C92&gt;0,VLOOKUP(C92,КФСР!A32:B1544,2),IF(D92&gt;0,VLOOKUP(D92,Программа!A$3:B$4973,2),IF(F92&gt;0,VLOOKUP(F92,КВР!A$1:B$5001,2),IF(E92&gt;0,VLOOKUP(E92,Направление!A$1:B$4591,2))))))</f>
        <v>Разработка и актуализация схем инженерного обеспечения территории городского поселения Тутаев</v>
      </c>
      <c r="B92" s="210"/>
      <c r="C92" s="211"/>
      <c r="D92" s="212" t="s">
        <v>829</v>
      </c>
      <c r="E92" s="211"/>
      <c r="F92" s="212"/>
      <c r="G92" s="412">
        <f>G93</f>
        <v>160000</v>
      </c>
      <c r="H92" s="412">
        <f t="shared" ref="H92" si="43">H93</f>
        <v>0</v>
      </c>
      <c r="I92" s="412">
        <f t="shared" si="22"/>
        <v>160000</v>
      </c>
    </row>
    <row r="93" spans="1:10" s="57" customFormat="1" ht="47.25" hidden="1" x14ac:dyDescent="0.25">
      <c r="A93" s="329" t="str">
        <f>IF(B93&gt;0,VLOOKUP(B93,КВСР!A32:B1197,2),IF(C93&gt;0,VLOOKUP(C93,КФСР!A32:B1544,2),IF(D93&gt;0,VLOOKUP(D93,Программа!A$3:B$4973,2),IF(F93&gt;0,VLOOKUP(F93,КВР!A$1:B$5001,2),IF(E93&gt;0,VLOOKUP(E93,Направление!A$1:B$4591,2))))))</f>
        <v xml:space="preserve">Обеспечение мероприятий по разработке и  актуализации схем инженерного обеспечения  </v>
      </c>
      <c r="B93" s="179"/>
      <c r="C93" s="180"/>
      <c r="D93" s="182"/>
      <c r="E93" s="180">
        <v>20200</v>
      </c>
      <c r="F93" s="182"/>
      <c r="G93" s="116">
        <f>G94</f>
        <v>160000</v>
      </c>
      <c r="H93" s="116">
        <f t="shared" ref="H93" si="44">H94</f>
        <v>0</v>
      </c>
      <c r="I93" s="116">
        <f t="shared" si="22"/>
        <v>160000</v>
      </c>
    </row>
    <row r="94" spans="1:10" s="57" customFormat="1" ht="63" hidden="1" x14ac:dyDescent="0.25">
      <c r="A94" s="329" t="str">
        <f>IF(B94&gt;0,VLOOKUP(B94,КВСР!A33:B1198,2),IF(C94&gt;0,VLOOKUP(C94,КФСР!A33:B1545,2),IF(D94&gt;0,VLOOKUP(D94,Программа!A$3:B$4973,2),IF(F94&gt;0,VLOOKUP(F94,КВР!A$1:B$5001,2),IF(E94&gt;0,VLOOKUP(E94,Направление!A$1:B$4591,2))))))</f>
        <v xml:space="preserve">Закупка товаров, работ и услуг для обеспечения государственных (муниципальных) нужд
</v>
      </c>
      <c r="B94" s="179"/>
      <c r="C94" s="180"/>
      <c r="D94" s="182"/>
      <c r="E94" s="180"/>
      <c r="F94" s="182">
        <v>200</v>
      </c>
      <c r="G94" s="411">
        <v>160000</v>
      </c>
      <c r="H94" s="411"/>
      <c r="I94" s="411">
        <f t="shared" si="22"/>
        <v>160000</v>
      </c>
    </row>
    <row r="95" spans="1:10" s="57" customFormat="1" ht="78.75" hidden="1" x14ac:dyDescent="0.25">
      <c r="A95" s="329" t="str">
        <f>IF(B95&gt;0,VLOOKUP(B95,КВСР!A36:B1201,2),IF(C95&gt;0,VLOOKUP(C95,КФСР!A36:B1548,2),IF(D95&gt;0,VLOOKUP(D95,Программа!A$3:B$4973,2),IF(F95&gt;0,VLOOKUP(F95,КВР!A$1:B$5001,2),IF(E95&gt;0,VLOOKUP(E95,Направление!A$1:B$4591,2))))))</f>
        <v xml:space="preserve">Муниципальная программа "Сохранение, использование и популяризация объектов культурного наследия на территории городского поселения Тутаев" </v>
      </c>
      <c r="B95" s="210"/>
      <c r="C95" s="211"/>
      <c r="D95" s="212" t="s">
        <v>831</v>
      </c>
      <c r="E95" s="211"/>
      <c r="F95" s="212"/>
      <c r="G95" s="412">
        <f>G96</f>
        <v>0</v>
      </c>
      <c r="H95" s="412">
        <f t="shared" ref="H95:H96" si="45">H96</f>
        <v>0</v>
      </c>
      <c r="I95" s="412">
        <f t="shared" si="22"/>
        <v>0</v>
      </c>
    </row>
    <row r="96" spans="1:10" s="57" customFormat="1" ht="47.25" hidden="1" x14ac:dyDescent="0.25">
      <c r="A96" s="329" t="str">
        <f>IF(B96&gt;0,VLOOKUP(B96,КВСР!A37:B1202,2),IF(C96&gt;0,VLOOKUP(C96,КФСР!A37:B1549,2),IF(D96&gt;0,VLOOKUP(D96,Программа!A$3:B$4973,2),IF(F96&gt;0,VLOOKUP(F96,КВР!A$1:B$5001,2),IF(E96&gt;0,VLOOKUP(E96,Направление!A$1:B$4591,2))))))</f>
        <v>Разработка, согласование, утверждение проекта зон охраны объектов культурного наследия</v>
      </c>
      <c r="B96" s="179"/>
      <c r="C96" s="180"/>
      <c r="D96" s="182" t="s">
        <v>832</v>
      </c>
      <c r="E96" s="180"/>
      <c r="F96" s="182"/>
      <c r="G96" s="116">
        <f>G97</f>
        <v>0</v>
      </c>
      <c r="H96" s="116">
        <f t="shared" si="45"/>
        <v>0</v>
      </c>
      <c r="I96" s="116">
        <f t="shared" si="22"/>
        <v>0</v>
      </c>
    </row>
    <row r="97" spans="1:10" s="57" customFormat="1" ht="78.75" hidden="1" x14ac:dyDescent="0.25">
      <c r="A97" s="329" t="str">
        <f>IF(B97&gt;0,VLOOKUP(B97,КВСР!A36:B1201,2),IF(C97&gt;0,VLOOKUP(C97,КФСР!A36:B1548,2),IF(D97&gt;0,VLOOKUP(D97,Программа!A$3:B$4973,2),IF(F97&gt;0,VLOOKUP(F97,КВР!A$1:B$5001,2),IF(E97&gt;0,VLOOKUP(E97,Направление!A$1:B$4591,2))))))</f>
        <v>Обеспечение мероприятий в области сохранения и восстановления исторического облика г. Тутаев, создание зон охраны объектов культурного наследия</v>
      </c>
      <c r="B97" s="179"/>
      <c r="C97" s="180"/>
      <c r="D97" s="182"/>
      <c r="E97" s="180">
        <v>20230</v>
      </c>
      <c r="F97" s="182"/>
      <c r="G97" s="116">
        <f>G98</f>
        <v>0</v>
      </c>
      <c r="H97" s="116">
        <f t="shared" ref="H97" si="46">H98</f>
        <v>0</v>
      </c>
      <c r="I97" s="116">
        <f t="shared" si="22"/>
        <v>0</v>
      </c>
    </row>
    <row r="98" spans="1:10" s="57" customFormat="1" ht="63" hidden="1" x14ac:dyDescent="0.25">
      <c r="A98" s="329" t="str">
        <f>IF(B98&gt;0,VLOOKUP(B98,КВСР!A37:B1202,2),IF(C98&gt;0,VLOOKUP(C98,КФСР!A37:B1549,2),IF(D98&gt;0,VLOOKUP(D98,Программа!A$3:B$4973,2),IF(F98&gt;0,VLOOKUP(F98,КВР!A$1:B$5001,2),IF(E98&gt;0,VLOOKUP(E98,Направление!A$1:B$4591,2))))))</f>
        <v xml:space="preserve">Закупка товаров, работ и услуг для обеспечения государственных (муниципальных) нужд
</v>
      </c>
      <c r="B98" s="179"/>
      <c r="C98" s="180"/>
      <c r="D98" s="182"/>
      <c r="E98" s="180"/>
      <c r="F98" s="182">
        <v>200</v>
      </c>
      <c r="G98" s="411">
        <v>0</v>
      </c>
      <c r="H98" s="411"/>
      <c r="I98" s="411">
        <f t="shared" si="22"/>
        <v>0</v>
      </c>
    </row>
    <row r="99" spans="1:10" s="57" customFormat="1" hidden="1" x14ac:dyDescent="0.25">
      <c r="A99" s="328" t="str">
        <f>IF(B99&gt;0,VLOOKUP(B99,КВСР!A38:B1203,2),IF(C99&gt;0,VLOOKUP(C99,КФСР!A38:B1550,2),IF(D99&gt;0,VLOOKUP(D99,Программа!A$3:B$4973,2),IF(F99&gt;0,VLOOKUP(F99,КВР!A$1:B$5001,2),IF(E99&gt;0,VLOOKUP(E99,Направление!A$1:B$4591,2))))))</f>
        <v>Непрограммные расходы бюджета</v>
      </c>
      <c r="B99" s="298"/>
      <c r="C99" s="299"/>
      <c r="D99" s="301" t="s">
        <v>618</v>
      </c>
      <c r="E99" s="299"/>
      <c r="F99" s="301"/>
      <c r="G99" s="409">
        <f>G100</f>
        <v>900000</v>
      </c>
      <c r="H99" s="409">
        <f t="shared" ref="H99" si="47">H100</f>
        <v>23000</v>
      </c>
      <c r="I99" s="409">
        <f t="shared" si="22"/>
        <v>877000</v>
      </c>
    </row>
    <row r="100" spans="1:10" s="57" customFormat="1" ht="94.5" x14ac:dyDescent="0.25">
      <c r="A100" s="329" t="str">
        <f>IF(B100&gt;0,VLOOKUP(B100,КВСР!A32:B1197,2),IF(C100&gt;0,VLOOKUP(C100,КФСР!A32:B1544,2),IF(D100&gt;0,VLOOKUP(D100,Программа!A$3:B$4973,2),IF(F100&gt;0,VLOOKUP(F100,КВР!A$1:B$5001,2),IF(E100&gt;0,VLOOKUP(E100,Направление!A$1:B$4591,2))))))</f>
        <v>Межбюджетные трансферты на обеспечение мероприятий  по землеустройству и землепользованию,   определению кадастровой стоимости и приобретению прав собственности на землю</v>
      </c>
      <c r="B100" s="179"/>
      <c r="C100" s="180"/>
      <c r="D100" s="182"/>
      <c r="E100" s="180">
        <v>29276</v>
      </c>
      <c r="F100" s="182"/>
      <c r="G100" s="116">
        <f>G101</f>
        <v>900000</v>
      </c>
      <c r="H100" s="116">
        <f t="shared" ref="H100" si="48">H101</f>
        <v>23000</v>
      </c>
      <c r="I100" s="116">
        <f t="shared" si="22"/>
        <v>877000</v>
      </c>
      <c r="J100" s="582">
        <f t="shared" ref="J100:J102" si="49">H100/G100*100</f>
        <v>2.5555555555555558</v>
      </c>
    </row>
    <row r="101" spans="1:10" s="57" customFormat="1" x14ac:dyDescent="0.25">
      <c r="A101" s="329" t="str">
        <f>IF(B101&gt;0,VLOOKUP(B101,КВСР!A33:B1198,2),IF(C101&gt;0,VLOOKUP(C101,КФСР!A33:B1545,2),IF(D101&gt;0,VLOOKUP(D101,Программа!A$3:B$4973,2),IF(F101&gt;0,VLOOKUP(F101,КВР!A$1:B$5001,2),IF(E101&gt;0,VLOOKUP(E101,Направление!A$1:B$4591,2))))))</f>
        <v xml:space="preserve"> Межбюджетные трансферты</v>
      </c>
      <c r="B101" s="179"/>
      <c r="C101" s="180"/>
      <c r="D101" s="182"/>
      <c r="E101" s="180"/>
      <c r="F101" s="182">
        <v>500</v>
      </c>
      <c r="G101" s="411">
        <v>900000</v>
      </c>
      <c r="H101" s="411">
        <v>23000</v>
      </c>
      <c r="I101" s="411">
        <f t="shared" si="22"/>
        <v>877000</v>
      </c>
      <c r="J101" s="582">
        <f t="shared" si="49"/>
        <v>2.5555555555555558</v>
      </c>
    </row>
    <row r="102" spans="1:10" s="57" customFormat="1" x14ac:dyDescent="0.25">
      <c r="A102" s="330" t="str">
        <f>IF(B102&gt;0,VLOOKUP(B102,КВСР!A34:B1199,2),IF(C102&gt;0,VLOOKUP(C102,КФСР!A34:B1546,2),IF(D102&gt;0,VLOOKUP(D102,Программа!A$3:B$4973,2),IF(F102&gt;0,VLOOKUP(F102,КВР!A$1:B$5001,2),IF(E102&gt;0,VLOOKUP(E102,Направление!A$1:B$4591,2))))))</f>
        <v>Жилищное хозяйство</v>
      </c>
      <c r="B102" s="183"/>
      <c r="C102" s="184">
        <v>501</v>
      </c>
      <c r="D102" s="186"/>
      <c r="E102" s="184"/>
      <c r="F102" s="186"/>
      <c r="G102" s="145">
        <f t="shared" ref="G102" si="50">G104+G108</f>
        <v>8985684</v>
      </c>
      <c r="H102" s="145">
        <f t="shared" ref="H102" si="51">H104+H108</f>
        <v>2209324.02</v>
      </c>
      <c r="I102" s="145">
        <f t="shared" si="22"/>
        <v>6776359.9800000004</v>
      </c>
      <c r="J102" s="582">
        <f t="shared" si="49"/>
        <v>24.587154633971103</v>
      </c>
    </row>
    <row r="103" spans="1:10" s="57" customFormat="1" hidden="1" x14ac:dyDescent="0.25">
      <c r="A103" s="328" t="str">
        <f>IF(B103&gt;0,VLOOKUP(B103,КВСР!A35:B1200,2),IF(C103&gt;0,VLOOKUP(C103,КФСР!A35:B1547,2),IF(D103&gt;0,VLOOKUP(D103,Программа!A$3:B$4973,2),IF(F103&gt;0,VLOOKUP(F103,КВР!A$1:B$5001,2),IF(E103&gt;0,VLOOKUP(E103,Направление!A$1:B$4591,2))))))</f>
        <v>Программные расходы бюджета</v>
      </c>
      <c r="B103" s="298"/>
      <c r="C103" s="299"/>
      <c r="D103" s="301" t="s">
        <v>776</v>
      </c>
      <c r="E103" s="299"/>
      <c r="F103" s="301"/>
      <c r="G103" s="407">
        <f t="shared" ref="G103:H106" si="52">G104</f>
        <v>2918000</v>
      </c>
      <c r="H103" s="407">
        <f t="shared" si="52"/>
        <v>0</v>
      </c>
      <c r="I103" s="407">
        <f t="shared" si="22"/>
        <v>2918000</v>
      </c>
    </row>
    <row r="104" spans="1:10" s="57" customFormat="1" ht="110.25" hidden="1" x14ac:dyDescent="0.25">
      <c r="A104" s="329" t="str">
        <f>IF(B104&gt;0,VLOOKUP(B104,КВСР!A35:B1200,2),IF(C104&gt;0,VLOOKUP(C104,КФСР!A35:B1547,2),IF(D104&gt;0,VLOOKUP(D104,Программа!A$3:B$4973,2),IF(F104&gt;0,VLOOKUP(F104,КВР!A$1:B$5001,2),IF(E104&gt;0,VLOOKUP(E104,Направление!A$1:B$4591,2))))))</f>
        <v>Муниципальная   программа "Переселение граждан из  жилищного фонда, признанного непригодным для проживания, и (или)  жилищного фонда с высоким уровнем износа на территории городского поселения Тутаев"</v>
      </c>
      <c r="B104" s="179"/>
      <c r="C104" s="180"/>
      <c r="D104" s="182" t="s">
        <v>265</v>
      </c>
      <c r="E104" s="180"/>
      <c r="F104" s="182"/>
      <c r="G104" s="116">
        <f t="shared" si="52"/>
        <v>2918000</v>
      </c>
      <c r="H104" s="116">
        <f t="shared" si="52"/>
        <v>0</v>
      </c>
      <c r="I104" s="116">
        <f t="shared" si="22"/>
        <v>2918000</v>
      </c>
    </row>
    <row r="105" spans="1:10" s="57" customFormat="1" ht="78.75" hidden="1" x14ac:dyDescent="0.25">
      <c r="A105" s="329" t="str">
        <f>IF(B105&gt;0,VLOOKUP(B105,КВСР!A36:B1201,2),IF(C105&gt;0,VLOOKUP(C105,КФСР!A36:B1548,2),IF(D105&gt;0,VLOOKUP(D105,Программа!A$3:B$4973,2),IF(F105&gt;0,VLOOKUP(F105,КВР!A$1:B$5001,2),IF(E105&gt;0,VLOOKUP(E105,Направление!A$1:B$4591,2))))))</f>
        <v xml:space="preserve"> Обеспечение благоустроенным  жильем граждан переселяемых из  непригодного для проживания жилищного фонда городского поселения Тутаев</v>
      </c>
      <c r="B105" s="179"/>
      <c r="C105" s="180"/>
      <c r="D105" s="181" t="s">
        <v>615</v>
      </c>
      <c r="E105" s="180"/>
      <c r="F105" s="182"/>
      <c r="G105" s="117">
        <f t="shared" si="52"/>
        <v>2918000</v>
      </c>
      <c r="H105" s="117">
        <f t="shared" si="52"/>
        <v>0</v>
      </c>
      <c r="I105" s="117">
        <f t="shared" si="22"/>
        <v>2918000</v>
      </c>
    </row>
    <row r="106" spans="1:10" s="57" customFormat="1" ht="31.5" hidden="1" x14ac:dyDescent="0.25">
      <c r="A106" s="329" t="str">
        <f>IF(B106&gt;0,VLOOKUP(B106,КВСР!A37:B1202,2),IF(C106&gt;0,VLOOKUP(C106,КФСР!A37:B1549,2),IF(D106&gt;0,VLOOKUP(D106,Программа!A$3:B$4973,2),IF(F106&gt;0,VLOOKUP(F106,КВР!A$1:B$5001,2),IF(E106&gt;0,VLOOKUP(E106,Направление!A$1:B$4591,2))))))</f>
        <v xml:space="preserve">Обеспечение  жильем граждан  городского поселения Тутаев </v>
      </c>
      <c r="B106" s="179"/>
      <c r="C106" s="180"/>
      <c r="D106" s="182"/>
      <c r="E106" s="180">
        <v>20350</v>
      </c>
      <c r="F106" s="182"/>
      <c r="G106" s="116">
        <f t="shared" si="52"/>
        <v>2918000</v>
      </c>
      <c r="H106" s="116">
        <f t="shared" si="52"/>
        <v>0</v>
      </c>
      <c r="I106" s="116">
        <f t="shared" si="22"/>
        <v>2918000</v>
      </c>
    </row>
    <row r="107" spans="1:10" s="57" customFormat="1" ht="47.25" hidden="1" x14ac:dyDescent="0.25">
      <c r="A107" s="329" t="str">
        <f>IF(B107&gt;0,VLOOKUP(B107,КВСР!A38:B1203,2),IF(C107&gt;0,VLOOKUP(C107,КФСР!A38:B1550,2),IF(D107&gt;0,VLOOKUP(D107,Программа!A$3:B$4973,2),IF(F107&gt;0,VLOOKUP(F107,КВР!A$1:B$5001,2),IF(E107&gt;0,VLOOKUP(E107,Направление!A$1:B$4591,2))))))</f>
        <v>Капитальные вложения в объекты государственной (муниципальной) собственности</v>
      </c>
      <c r="B107" s="179"/>
      <c r="C107" s="180"/>
      <c r="D107" s="182"/>
      <c r="E107" s="180"/>
      <c r="F107" s="182">
        <v>400</v>
      </c>
      <c r="G107" s="411">
        <v>2918000</v>
      </c>
      <c r="H107" s="411">
        <v>0</v>
      </c>
      <c r="I107" s="411">
        <f t="shared" si="22"/>
        <v>2918000</v>
      </c>
    </row>
    <row r="108" spans="1:10" s="57" customFormat="1" hidden="1" x14ac:dyDescent="0.25">
      <c r="A108" s="328" t="str">
        <f>IF(B108&gt;0,VLOOKUP(B108,КВСР!A39:B1204,2),IF(C108&gt;0,VLOOKUP(C108,КФСР!A39:B1551,2),IF(D108&gt;0,VLOOKUP(D108,Программа!A$3:B$4973,2),IF(F108&gt;0,VLOOKUP(F108,КВР!A$1:B$5001,2),IF(E108&gt;0,VLOOKUP(E108,Направление!A$1:B$4591,2))))))</f>
        <v>Непрограммные расходы бюджета</v>
      </c>
      <c r="B108" s="298"/>
      <c r="C108" s="299"/>
      <c r="D108" s="301" t="s">
        <v>618</v>
      </c>
      <c r="E108" s="299"/>
      <c r="F108" s="301"/>
      <c r="G108" s="407">
        <f>G113+G109+G111+G117+G115</f>
        <v>6067684</v>
      </c>
      <c r="H108" s="407">
        <f t="shared" ref="H108" si="53">H113+H109+H111+H117+H115</f>
        <v>2209324.02</v>
      </c>
      <c r="I108" s="407">
        <f t="shared" si="22"/>
        <v>3858359.98</v>
      </c>
    </row>
    <row r="109" spans="1:10" s="57" customFormat="1" ht="47.25" x14ac:dyDescent="0.25">
      <c r="A109" s="329" t="str">
        <f>IF(B109&gt;0,VLOOKUP(B109,КВСР!A40:B1205,2),IF(C109&gt;0,VLOOKUP(C109,КФСР!A40:B1552,2),IF(D109&gt;0,VLOOKUP(D109,Программа!A$3:B$4973,2),IF(F109&gt;0,VLOOKUP(F109,КВР!A$1:B$5001,2),IF(E109&gt;0,VLOOKUP(E109,Направление!A$1:B$4591,2))))))</f>
        <v>Взнос на капитальный  ремонт  жилых помещений муниципального жилищного фонда</v>
      </c>
      <c r="B109" s="179"/>
      <c r="C109" s="180"/>
      <c r="D109" s="182"/>
      <c r="E109" s="180">
        <v>20090</v>
      </c>
      <c r="F109" s="182"/>
      <c r="G109" s="117">
        <f t="shared" ref="G109:H109" si="54">G110</f>
        <v>3600000</v>
      </c>
      <c r="H109" s="117">
        <f t="shared" si="54"/>
        <v>1870324.02</v>
      </c>
      <c r="I109" s="117">
        <f t="shared" ref="I109:I161" si="55">G109-H109</f>
        <v>1729675.98</v>
      </c>
      <c r="J109" s="582">
        <f t="shared" ref="J109:J110" si="56">H109/G109*100</f>
        <v>51.953444999999995</v>
      </c>
    </row>
    <row r="110" spans="1:10" s="57" customFormat="1" ht="63" x14ac:dyDescent="0.25">
      <c r="A110" s="329" t="str">
        <f>IF(B110&gt;0,VLOOKUP(B110,КВСР!A41:B1206,2),IF(C110&gt;0,VLOOKUP(C110,КФСР!A41:B1553,2),IF(D110&gt;0,VLOOKUP(D110,Программа!A$3:B$4973,2),IF(F110&gt;0,VLOOKUP(F110,КВР!A$1:B$5001,2),IF(E110&gt;0,VLOOKUP(E110,Направление!A$1:B$4591,2))))))</f>
        <v xml:space="preserve">Закупка товаров, работ и услуг для обеспечения государственных (муниципальных) нужд
</v>
      </c>
      <c r="B110" s="179"/>
      <c r="C110" s="180"/>
      <c r="D110" s="182"/>
      <c r="E110" s="180"/>
      <c r="F110" s="182">
        <v>200</v>
      </c>
      <c r="G110" s="292">
        <v>3600000</v>
      </c>
      <c r="H110" s="292">
        <v>1870324.02</v>
      </c>
      <c r="I110" s="292">
        <f t="shared" si="55"/>
        <v>1729675.98</v>
      </c>
      <c r="J110" s="582">
        <f t="shared" si="56"/>
        <v>51.953444999999995</v>
      </c>
    </row>
    <row r="111" spans="1:10" s="57" customFormat="1" ht="63" hidden="1" x14ac:dyDescent="0.25">
      <c r="A111" s="329" t="str">
        <f>IF(B111&gt;0,VLOOKUP(B111,КВСР!A42:B1207,2),IF(C111&gt;0,VLOOKUP(C111,КФСР!A42:B1554,2),IF(D111&gt;0,VLOOKUP(D111,Программа!A$3:B$4973,2),IF(F111&gt;0,VLOOKUP(F111,КВР!A$1:B$5001,2),IF(E111&gt;0,VLOOKUP(E111,Направление!A$1:B$4591,2))))))</f>
        <v>Обеспечение мероприятий по получению  технических паспортов  МКД, которые признаны аварийными и подлежащими сносу</v>
      </c>
      <c r="B111" s="179"/>
      <c r="C111" s="180"/>
      <c r="D111" s="182"/>
      <c r="E111" s="180">
        <v>20240</v>
      </c>
      <c r="F111" s="182"/>
      <c r="G111" s="117">
        <f>G112</f>
        <v>0</v>
      </c>
      <c r="H111" s="117">
        <f t="shared" ref="H111" si="57">H112</f>
        <v>0</v>
      </c>
      <c r="I111" s="117">
        <f t="shared" si="55"/>
        <v>0</v>
      </c>
    </row>
    <row r="112" spans="1:10" s="57" customFormat="1" ht="63" hidden="1" x14ac:dyDescent="0.25">
      <c r="A112" s="329" t="str">
        <f>IF(B112&gt;0,VLOOKUP(B112,КВСР!A43:B1208,2),IF(C112&gt;0,VLOOKUP(C112,КФСР!A43:B1555,2),IF(D112&gt;0,VLOOKUP(D112,Программа!A$3:B$4973,2),IF(F112&gt;0,VLOOKUP(F112,КВР!A$1:B$5001,2),IF(E112&gt;0,VLOOKUP(E112,Направление!A$1:B$4591,2))))))</f>
        <v xml:space="preserve">Закупка товаров, работ и услуг для обеспечения государственных (муниципальных) нужд
</v>
      </c>
      <c r="B112" s="179"/>
      <c r="C112" s="180"/>
      <c r="D112" s="182"/>
      <c r="E112" s="180"/>
      <c r="F112" s="182">
        <v>200</v>
      </c>
      <c r="G112" s="292">
        <v>0</v>
      </c>
      <c r="H112" s="292"/>
      <c r="I112" s="292">
        <f t="shared" si="55"/>
        <v>0</v>
      </c>
    </row>
    <row r="113" spans="1:10" s="57" customFormat="1" ht="78.75" x14ac:dyDescent="0.25">
      <c r="A113" s="329" t="str">
        <f>IF(B113&gt;0,VLOOKUP(B113,КВСР!A42:B1207,2),IF(C113&gt;0,VLOOKUP(C113,КФСР!A42:B1554,2),IF(D113&gt;0,VLOOKUP(D113,Программа!A$3:B$4973,2),IF(F113&gt;0,VLOOKUP(F113,КВР!A$1:B$5001,2),IF(E113&gt;0,VLOOKUP(E113,Направление!A$1:B$4591,2))))))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B113" s="179"/>
      <c r="C113" s="180"/>
      <c r="D113" s="182"/>
      <c r="E113" s="180">
        <v>29376</v>
      </c>
      <c r="F113" s="182"/>
      <c r="G113" s="117">
        <f>G114</f>
        <v>2310048</v>
      </c>
      <c r="H113" s="117">
        <f t="shared" ref="H113" si="58">H114</f>
        <v>339000</v>
      </c>
      <c r="I113" s="117">
        <f t="shared" si="55"/>
        <v>1971048</v>
      </c>
      <c r="J113" s="582">
        <f t="shared" ref="J113:J114" si="59">H113/G113*100</f>
        <v>14.675019739849562</v>
      </c>
    </row>
    <row r="114" spans="1:10" s="57" customFormat="1" x14ac:dyDescent="0.25">
      <c r="A114" s="329" t="str">
        <f>IF(B114&gt;0,VLOOKUP(B114,КВСР!A43:B1208,2),IF(C114&gt;0,VLOOKUP(C114,КФСР!A43:B1555,2),IF(D114&gt;0,VLOOKUP(D114,Программа!A$3:B$4973,2),IF(F114&gt;0,VLOOKUP(F114,КВР!A$1:B$5001,2),IF(E114&gt;0,VLOOKUP(E114,Направление!A$1:B$4591,2))))))</f>
        <v xml:space="preserve"> Межбюджетные трансферты</v>
      </c>
      <c r="B114" s="179"/>
      <c r="C114" s="180"/>
      <c r="D114" s="182"/>
      <c r="E114" s="180"/>
      <c r="F114" s="182">
        <v>500</v>
      </c>
      <c r="G114" s="292">
        <v>2310048</v>
      </c>
      <c r="H114" s="292">
        <v>339000</v>
      </c>
      <c r="I114" s="292">
        <f t="shared" si="55"/>
        <v>1971048</v>
      </c>
      <c r="J114" s="582">
        <f t="shared" si="59"/>
        <v>14.675019739849562</v>
      </c>
    </row>
    <row r="115" spans="1:10" s="57" customFormat="1" ht="63" hidden="1" x14ac:dyDescent="0.25">
      <c r="A115" s="329" t="str">
        <f>IF(B115&gt;0,VLOOKUP(B115,КВСР!A44:B1209,2),IF(C115&gt;0,VLOOKUP(C115,КФСР!A44:B1556,2),IF(D115&gt;0,VLOOKUP(D115,Программа!A$3:B$4973,2),IF(F115&gt;0,VLOOKUP(F115,КВР!A$1:B$5001,2),IF(E115&gt;0,VLOOKUP(E115,Направление!A$1:B$4591,2))))))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B115" s="179"/>
      <c r="C115" s="180"/>
      <c r="D115" s="182"/>
      <c r="E115" s="180">
        <v>29436</v>
      </c>
      <c r="F115" s="182"/>
      <c r="G115" s="139">
        <f>G116</f>
        <v>100000</v>
      </c>
      <c r="H115" s="139">
        <f t="shared" ref="H115" si="60">H116</f>
        <v>0</v>
      </c>
      <c r="I115" s="139">
        <f t="shared" si="55"/>
        <v>100000</v>
      </c>
    </row>
    <row r="116" spans="1:10" s="57" customFormat="1" hidden="1" x14ac:dyDescent="0.25">
      <c r="A116" s="329" t="str">
        <f>IF(B116&gt;0,VLOOKUP(B116,КВСР!A45:B1210,2),IF(C116&gt;0,VLOOKUP(C116,КФСР!A45:B1557,2),IF(D116&gt;0,VLOOKUP(D116,Программа!A$3:B$4973,2),IF(F116&gt;0,VLOOKUP(F116,КВР!A$1:B$5001,2),IF(E116&gt;0,VLOOKUP(E116,Направление!A$1:B$4591,2))))))</f>
        <v xml:space="preserve"> Межбюджетные трансферты</v>
      </c>
      <c r="B116" s="179"/>
      <c r="C116" s="180"/>
      <c r="D116" s="182"/>
      <c r="E116" s="180"/>
      <c r="F116" s="182">
        <v>500</v>
      </c>
      <c r="G116" s="292">
        <v>100000</v>
      </c>
      <c r="H116" s="292">
        <v>0</v>
      </c>
      <c r="I116" s="292">
        <f t="shared" si="55"/>
        <v>100000</v>
      </c>
    </row>
    <row r="117" spans="1:10" s="57" customFormat="1" ht="94.5" hidden="1" x14ac:dyDescent="0.25">
      <c r="A117" s="329" t="str">
        <f>IF(B117&gt;0,VLOOKUP(B117,КВСР!A44:B1209,2),IF(C117&gt;0,VLOOKUP(C117,КФСР!A44:B1556,2),IF(D117&gt;0,VLOOKUP(D117,Программа!A$3:B$4973,2),IF(F117&gt;0,VLOOKUP(F117,КВР!A$1:B$5001,2),IF(E117&gt;0,VLOOKUP(E117,Направление!A$1:B$4591,2))))))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B117" s="179"/>
      <c r="C117" s="180"/>
      <c r="D117" s="182"/>
      <c r="E117" s="180">
        <v>29446</v>
      </c>
      <c r="F117" s="182"/>
      <c r="G117" s="139">
        <f>G118</f>
        <v>57636</v>
      </c>
      <c r="H117" s="139">
        <f>H118</f>
        <v>0</v>
      </c>
      <c r="I117" s="139">
        <f t="shared" si="55"/>
        <v>57636</v>
      </c>
    </row>
    <row r="118" spans="1:10" s="57" customFormat="1" hidden="1" x14ac:dyDescent="0.25">
      <c r="A118" s="329" t="str">
        <f>IF(B118&gt;0,VLOOKUP(B118,КВСР!A45:B1210,2),IF(C118&gt;0,VLOOKUP(C118,КФСР!A45:B1557,2),IF(D118&gt;0,VLOOKUP(D118,Программа!A$3:B$4973,2),IF(F118&gt;0,VLOOKUP(F118,КВР!A$1:B$5001,2),IF(E118&gt;0,VLOOKUP(E118,Направление!A$1:B$4591,2))))))</f>
        <v xml:space="preserve"> Межбюджетные трансферты</v>
      </c>
      <c r="B118" s="179"/>
      <c r="C118" s="180"/>
      <c r="D118" s="182"/>
      <c r="E118" s="180"/>
      <c r="F118" s="182">
        <v>500</v>
      </c>
      <c r="G118" s="292">
        <v>57636</v>
      </c>
      <c r="H118" s="292"/>
      <c r="I118" s="292">
        <f t="shared" si="55"/>
        <v>57636</v>
      </c>
    </row>
    <row r="119" spans="1:10" s="57" customFormat="1" x14ac:dyDescent="0.25">
      <c r="A119" s="330" t="str">
        <f>IF(B119&gt;0,VLOOKUP(B119,КВСР!A46:B1211,2),IF(C119&gt;0,VLOOKUP(C119,КФСР!A46:B1558,2),IF(D119&gt;0,VLOOKUP(D119,Программа!A$3:B$4973,2),IF(F119&gt;0,VLOOKUP(F119,КВР!A$1:B$5001,2),IF(E119&gt;0,VLOOKUP(E119,Направление!A$1:B$4591,2))))))</f>
        <v>Коммунальное хозяйство</v>
      </c>
      <c r="B119" s="183"/>
      <c r="C119" s="184">
        <v>502</v>
      </c>
      <c r="D119" s="186"/>
      <c r="E119" s="184"/>
      <c r="F119" s="186"/>
      <c r="G119" s="187">
        <f>G125+G121</f>
        <v>6183067</v>
      </c>
      <c r="H119" s="187">
        <f t="shared" ref="H119" si="61">H125+H121</f>
        <v>3114303.49</v>
      </c>
      <c r="I119" s="187">
        <f t="shared" si="55"/>
        <v>3068763.51</v>
      </c>
      <c r="J119" s="582">
        <f t="shared" ref="J119:J124" si="62">H119/G119*100</f>
        <v>50.368263678850646</v>
      </c>
    </row>
    <row r="120" spans="1:10" s="57" customFormat="1" x14ac:dyDescent="0.25">
      <c r="A120" s="328" t="str">
        <f>IF(B120&gt;0,VLOOKUP(B120,КВСР!A47:B1212,2),IF(C120&gt;0,VLOOKUP(C120,КФСР!A47:B1559,2),IF(D120&gt;0,VLOOKUP(D120,Программа!A$3:B$4973,2),IF(F120&gt;0,VLOOKUP(F120,КВР!A$1:B$5001,2),IF(E120&gt;0,VLOOKUP(E120,Направление!A$1:B$4591,2))))))</f>
        <v>Программные расходы бюджета</v>
      </c>
      <c r="B120" s="298"/>
      <c r="C120" s="299"/>
      <c r="D120" s="301" t="s">
        <v>776</v>
      </c>
      <c r="E120" s="299"/>
      <c r="F120" s="301"/>
      <c r="G120" s="409">
        <f>G121</f>
        <v>2799250</v>
      </c>
      <c r="H120" s="409">
        <f t="shared" ref="H120:H123" si="63">H121</f>
        <v>1790440.82</v>
      </c>
      <c r="I120" s="409">
        <f t="shared" si="55"/>
        <v>1008809.1799999999</v>
      </c>
      <c r="J120" s="582">
        <f t="shared" si="62"/>
        <v>63.961447530588558</v>
      </c>
    </row>
    <row r="121" spans="1:10" s="57" customFormat="1" ht="47.25" x14ac:dyDescent="0.25">
      <c r="A121" s="329" t="str">
        <f>IF(B121&gt;0,VLOOKUP(B121,КВСР!A48:B1213,2),IF(C121&gt;0,VLOOKUP(C121,КФСР!A48:B1560,2),IF(D121&gt;0,VLOOKUP(D121,Программа!A$3:B$4973,2),IF(F121&gt;0,VLOOKUP(F121,КВР!A$1:B$5001,2),IF(E121&gt;0,VLOOKUP(E121,Направление!A$1:B$4591,2))))))</f>
        <v xml:space="preserve">Муниципальная программа "Обеспечение населения городского поселения Тутаев банными услугами" </v>
      </c>
      <c r="B121" s="210"/>
      <c r="C121" s="211"/>
      <c r="D121" s="212" t="s">
        <v>721</v>
      </c>
      <c r="E121" s="211"/>
      <c r="F121" s="212"/>
      <c r="G121" s="412">
        <f>G122</f>
        <v>2799250</v>
      </c>
      <c r="H121" s="412">
        <f t="shared" si="63"/>
        <v>1790440.82</v>
      </c>
      <c r="I121" s="412">
        <f t="shared" si="55"/>
        <v>1008809.1799999999</v>
      </c>
      <c r="J121" s="582">
        <f t="shared" si="62"/>
        <v>63.961447530588558</v>
      </c>
    </row>
    <row r="122" spans="1:10" s="57" customFormat="1" ht="47.25" x14ac:dyDescent="0.25">
      <c r="A122" s="329" t="str">
        <f>IF(B122&gt;0,VLOOKUP(B122,КВСР!A49:B1214,2),IF(C122&gt;0,VLOOKUP(C122,КФСР!A49:B1561,2),IF(D122&gt;0,VLOOKUP(D122,Программа!A$3:B$4973,2),IF(F122&gt;0,VLOOKUP(F122,КВР!A$1:B$5001,2),IF(E122&gt;0,VLOOKUP(E122,Направление!A$1:B$4591,2))))))</f>
        <v>Обеспечение развития и доступности банных услуг для всех категорий граждан  городского поселения Тутаев</v>
      </c>
      <c r="B122" s="210"/>
      <c r="C122" s="211"/>
      <c r="D122" s="212" t="s">
        <v>722</v>
      </c>
      <c r="E122" s="211"/>
      <c r="F122" s="212"/>
      <c r="G122" s="412">
        <f>G123</f>
        <v>2799250</v>
      </c>
      <c r="H122" s="412">
        <f t="shared" si="63"/>
        <v>1790440.82</v>
      </c>
      <c r="I122" s="412">
        <f t="shared" si="55"/>
        <v>1008809.1799999999</v>
      </c>
      <c r="J122" s="582">
        <f t="shared" si="62"/>
        <v>63.961447530588558</v>
      </c>
    </row>
    <row r="123" spans="1:10" s="57" customFormat="1" ht="47.25" x14ac:dyDescent="0.25">
      <c r="A123" s="329" t="str">
        <f>IF(B123&gt;0,VLOOKUP(B123,КВСР!A50:B1215,2),IF(C123&gt;0,VLOOKUP(C123,КФСР!A50:B1562,2),IF(D123&gt;0,VLOOKUP(D123,Программа!A$3:B$4973,2),IF(F123&gt;0,VLOOKUP(F123,КВР!A$1:B$5001,2),IF(E123&gt;0,VLOOKUP(E123,Направление!A$1:B$4591,2))))))</f>
        <v>Обеспечение мероприятий по организации населению услуг бань в общих отделениях</v>
      </c>
      <c r="B123" s="210"/>
      <c r="C123" s="211"/>
      <c r="D123" s="212"/>
      <c r="E123" s="211">
        <v>20170</v>
      </c>
      <c r="F123" s="212"/>
      <c r="G123" s="412">
        <f>G124</f>
        <v>2799250</v>
      </c>
      <c r="H123" s="412">
        <f t="shared" si="63"/>
        <v>1790440.82</v>
      </c>
      <c r="I123" s="412">
        <f t="shared" si="55"/>
        <v>1008809.1799999999</v>
      </c>
      <c r="J123" s="582">
        <f t="shared" si="62"/>
        <v>63.961447530588558</v>
      </c>
    </row>
    <row r="124" spans="1:10" s="57" customFormat="1" x14ac:dyDescent="0.25">
      <c r="A124" s="329" t="str">
        <f>IF(B124&gt;0,VLOOKUP(B124,КВСР!A51:B1216,2),IF(C124&gt;0,VLOOKUP(C124,КФСР!A51:B1563,2),IF(D124&gt;0,VLOOKUP(D124,Программа!A$3:B$4973,2),IF(F124&gt;0,VLOOKUP(F124,КВР!A$1:B$5001,2),IF(E124&gt;0,VLOOKUP(E124,Направление!A$1:B$4591,2))))))</f>
        <v>Иные бюджетные ассигнования</v>
      </c>
      <c r="B124" s="210"/>
      <c r="C124" s="211"/>
      <c r="D124" s="212"/>
      <c r="E124" s="211"/>
      <c r="F124" s="212">
        <v>800</v>
      </c>
      <c r="G124" s="413">
        <v>2799250</v>
      </c>
      <c r="H124" s="411">
        <v>1790440.82</v>
      </c>
      <c r="I124" s="413">
        <f t="shared" si="55"/>
        <v>1008809.1799999999</v>
      </c>
      <c r="J124" s="582">
        <f t="shared" si="62"/>
        <v>63.961447530588558</v>
      </c>
    </row>
    <row r="125" spans="1:10" s="57" customFormat="1" hidden="1" x14ac:dyDescent="0.25">
      <c r="A125" s="328" t="str">
        <f>IF(B125&gt;0,VLOOKUP(B125,КВСР!A47:B1212,2),IF(C125&gt;0,VLOOKUP(C125,КФСР!A47:B1559,2),IF(D125&gt;0,VLOOKUP(D125,Программа!A$3:B$4973,2),IF(F125&gt;0,VLOOKUP(F125,КВР!A$1:B$5001,2),IF(E125&gt;0,VLOOKUP(E125,Направление!A$1:B$4591,2))))))</f>
        <v>Непрограммные расходы бюджета</v>
      </c>
      <c r="B125" s="298"/>
      <c r="C125" s="299"/>
      <c r="D125" s="300" t="s">
        <v>618</v>
      </c>
      <c r="E125" s="299"/>
      <c r="F125" s="301"/>
      <c r="G125" s="407">
        <f>G130+G128+G132+G126</f>
        <v>3383817</v>
      </c>
      <c r="H125" s="407">
        <f t="shared" ref="H125" si="64">H130+H128+H132+H126</f>
        <v>1323862.67</v>
      </c>
      <c r="I125" s="407">
        <f t="shared" si="55"/>
        <v>2059954.33</v>
      </c>
    </row>
    <row r="126" spans="1:10" s="57" customFormat="1" ht="78.75" hidden="1" x14ac:dyDescent="0.25">
      <c r="A126" s="329" t="str">
        <f>IF(B126&gt;0,VLOOKUP(B126,КВСР!A48:B1213,2),IF(C126&gt;0,VLOOKUP(C126,КФСР!A48:B1560,2),IF(D126&gt;0,VLOOKUP(D126,Программа!A$3:B$4973,2),IF(F126&gt;0,VLOOKUP(F126,КВР!A$1:B$5001,2),IF(E126&gt;0,VLOOKUP(E126,Направление!A$1:B$4591,2))))))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B126" s="179"/>
      <c r="C126" s="180"/>
      <c r="D126" s="181"/>
      <c r="E126" s="180">
        <v>29046</v>
      </c>
      <c r="F126" s="182"/>
      <c r="G126" s="139">
        <f>G127</f>
        <v>240000</v>
      </c>
      <c r="H126" s="139">
        <f t="shared" ref="H126" si="65">H127</f>
        <v>0</v>
      </c>
      <c r="I126" s="139">
        <f t="shared" si="55"/>
        <v>240000</v>
      </c>
    </row>
    <row r="127" spans="1:10" s="57" customFormat="1" hidden="1" x14ac:dyDescent="0.25">
      <c r="A127" s="329" t="str">
        <f>IF(B127&gt;0,VLOOKUP(B127,КВСР!A49:B1214,2),IF(C127&gt;0,VLOOKUP(C127,КФСР!A49:B1561,2),IF(D127&gt;0,VLOOKUP(D127,Программа!A$3:B$4973,2),IF(F127&gt;0,VLOOKUP(F127,КВР!A$1:B$5001,2),IF(E127&gt;0,VLOOKUP(E127,Направление!A$1:B$4591,2))))))</f>
        <v xml:space="preserve"> Межбюджетные трансферты</v>
      </c>
      <c r="B127" s="179"/>
      <c r="C127" s="180"/>
      <c r="D127" s="181"/>
      <c r="E127" s="180"/>
      <c r="F127" s="182">
        <v>500</v>
      </c>
      <c r="G127" s="410">
        <v>240000</v>
      </c>
      <c r="H127" s="410"/>
      <c r="I127" s="410">
        <f t="shared" si="55"/>
        <v>240000</v>
      </c>
    </row>
    <row r="128" spans="1:10" s="57" customFormat="1" ht="47.25" hidden="1" x14ac:dyDescent="0.25">
      <c r="A128" s="329" t="str">
        <f>IF(B128&gt;0,VLOOKUP(B128,КВСР!A50:B1215,2),IF(C128&gt;0,VLOOKUP(C128,КФСР!A50:B1562,2),IF(D128&gt;0,VLOOKUP(D128,Программа!A$3:B$4973,2),IF(F128&gt;0,VLOOKUP(F128,КВР!A$1:B$5001,2),IF(E128&gt;0,VLOOKUP(E128,Направление!A$1:B$4591,2))))))</f>
        <v xml:space="preserve">Межбюджетные трансферты на строительство и реконструкцию  объектов  газификации </v>
      </c>
      <c r="B128" s="179"/>
      <c r="C128" s="180"/>
      <c r="D128" s="181"/>
      <c r="E128" s="180">
        <v>29066</v>
      </c>
      <c r="F128" s="182"/>
      <c r="G128" s="139">
        <f>G129</f>
        <v>230000</v>
      </c>
      <c r="H128" s="139">
        <f t="shared" ref="H128" si="66">H129</f>
        <v>0</v>
      </c>
      <c r="I128" s="139">
        <f t="shared" si="55"/>
        <v>230000</v>
      </c>
    </row>
    <row r="129" spans="1:10" s="57" customFormat="1" hidden="1" x14ac:dyDescent="0.25">
      <c r="A129" s="329" t="str">
        <f>IF(B129&gt;0,VLOOKUP(B129,КВСР!A51:B1216,2),IF(C129&gt;0,VLOOKUP(C129,КФСР!A51:B1563,2),IF(D129&gt;0,VLOOKUP(D129,Программа!A$3:B$4973,2),IF(F129&gt;0,VLOOKUP(F129,КВР!A$1:B$5001,2),IF(E129&gt;0,VLOOKUP(E129,Направление!A$1:B$4591,2))))))</f>
        <v xml:space="preserve"> Межбюджетные трансферты</v>
      </c>
      <c r="B129" s="179"/>
      <c r="C129" s="180"/>
      <c r="D129" s="181"/>
      <c r="E129" s="180"/>
      <c r="F129" s="182">
        <v>500</v>
      </c>
      <c r="G129" s="410">
        <v>230000</v>
      </c>
      <c r="H129" s="410"/>
      <c r="I129" s="410">
        <f t="shared" si="55"/>
        <v>230000</v>
      </c>
    </row>
    <row r="130" spans="1:10" s="57" customFormat="1" ht="78.75" hidden="1" x14ac:dyDescent="0.25">
      <c r="A130" s="329" t="str">
        <f>IF(B130&gt;0,VLOOKUP(B130,КВСР!A50:B1215,2),IF(C130&gt;0,VLOOKUP(C130,КФСР!A50:B1562,2),IF(D130&gt;0,VLOOKUP(D130,Программа!A$3:B$4973,2),IF(F130&gt;0,VLOOKUP(F130,КВР!A$1:B$5001,2),IF(E130&gt;0,VLOOKUP(E130,Направление!A$1:B$4591,2))))))</f>
        <v>Межбюджетные трансферты на обеспечение мероприятий по оптимизации теплоснабжения с переводом объектов на индивидуальное отопление</v>
      </c>
      <c r="B130" s="179"/>
      <c r="C130" s="180"/>
      <c r="D130" s="182"/>
      <c r="E130" s="180">
        <v>29596</v>
      </c>
      <c r="F130" s="182"/>
      <c r="G130" s="116">
        <f>G131</f>
        <v>0</v>
      </c>
      <c r="H130" s="116">
        <f t="shared" ref="H130" si="67">H131</f>
        <v>0</v>
      </c>
      <c r="I130" s="116">
        <f t="shared" si="55"/>
        <v>0</v>
      </c>
    </row>
    <row r="131" spans="1:10" s="57" customFormat="1" hidden="1" x14ac:dyDescent="0.25">
      <c r="A131" s="329" t="str">
        <f>IF(B131&gt;0,VLOOKUP(B131,КВСР!A51:B1216,2),IF(C131&gt;0,VLOOKUP(C131,КФСР!A51:B1563,2),IF(D131&gt;0,VLOOKUP(D131,Программа!A$3:B$4973,2),IF(F131&gt;0,VLOOKUP(F131,КВР!A$1:B$5001,2),IF(E131&gt;0,VLOOKUP(E131,Направление!A$1:B$4591,2))))))</f>
        <v xml:space="preserve"> Межбюджетные трансферты</v>
      </c>
      <c r="B131" s="179"/>
      <c r="C131" s="180"/>
      <c r="D131" s="181"/>
      <c r="E131" s="180"/>
      <c r="F131" s="182">
        <v>500</v>
      </c>
      <c r="G131" s="410">
        <v>0</v>
      </c>
      <c r="H131" s="410"/>
      <c r="I131" s="410">
        <f t="shared" si="55"/>
        <v>0</v>
      </c>
    </row>
    <row r="132" spans="1:10" s="57" customFormat="1" ht="63" x14ac:dyDescent="0.25">
      <c r="A132" s="329" t="str">
        <f>IF(B132&gt;0,VLOOKUP(B132,КВСР!A58:B1223,2),IF(C132&gt;0,VLOOKUP(C132,КФСР!A58:B1570,2),IF(D132&gt;0,VLOOKUP(D132,Программа!A$3:B$4973,2),IF(F132&gt;0,VLOOKUP(F132,КВР!A$1:B$5001,2),IF(E132&gt;0,VLOOKUP(E132,Направление!A$1:B$4591,2))))))</f>
        <v>Межбюджетные трансферты на обеспечение мероприятий по переработке и утилизации ливневых стоков</v>
      </c>
      <c r="B132" s="179"/>
      <c r="C132" s="180"/>
      <c r="D132" s="181"/>
      <c r="E132" s="180">
        <v>29616</v>
      </c>
      <c r="F132" s="182"/>
      <c r="G132" s="139">
        <f>G133</f>
        <v>2913817</v>
      </c>
      <c r="H132" s="139">
        <f t="shared" ref="H132" si="68">H133</f>
        <v>1323862.67</v>
      </c>
      <c r="I132" s="139">
        <f t="shared" si="55"/>
        <v>1589954.33</v>
      </c>
      <c r="J132" s="582">
        <f t="shared" ref="J132:J139" si="69">H132/G132*100</f>
        <v>45.433967541544298</v>
      </c>
    </row>
    <row r="133" spans="1:10" s="57" customFormat="1" x14ac:dyDescent="0.25">
      <c r="A133" s="329" t="str">
        <f>IF(B133&gt;0,VLOOKUP(B133,КВСР!A59:B1224,2),IF(C133&gt;0,VLOOKUP(C133,КФСР!A59:B1571,2),IF(D133&gt;0,VLOOKUP(D133,Программа!A$3:B$4973,2),IF(F133&gt;0,VLOOKUP(F133,КВР!A$1:B$5001,2),IF(E133&gt;0,VLOOKUP(E133,Направление!A$1:B$4591,2))))))</f>
        <v xml:space="preserve"> Межбюджетные трансферты</v>
      </c>
      <c r="B133" s="179"/>
      <c r="C133" s="180"/>
      <c r="D133" s="181"/>
      <c r="E133" s="180"/>
      <c r="F133" s="182">
        <v>500</v>
      </c>
      <c r="G133" s="410">
        <v>2913817</v>
      </c>
      <c r="H133" s="410">
        <v>1323862.67</v>
      </c>
      <c r="I133" s="410">
        <f t="shared" si="55"/>
        <v>1589954.33</v>
      </c>
      <c r="J133" s="582">
        <f t="shared" si="69"/>
        <v>45.433967541544298</v>
      </c>
    </row>
    <row r="134" spans="1:10" s="57" customFormat="1" x14ac:dyDescent="0.25">
      <c r="A134" s="330" t="str">
        <f>IF(B134&gt;0,VLOOKUP(B134,КВСР!A64:B1229,2),IF(C134&gt;0,VLOOKUP(C134,КФСР!A64:B1576,2),IF(D134&gt;0,VLOOKUP(D134,Программа!A$3:B$4973,2),IF(F134&gt;0,VLOOKUP(F134,КВР!A$1:B$5001,2),IF(E134&gt;0,VLOOKUP(E134,Направление!A$1:B$4591,2))))))</f>
        <v>Благоустройство</v>
      </c>
      <c r="B134" s="183"/>
      <c r="C134" s="184">
        <v>503</v>
      </c>
      <c r="D134" s="186"/>
      <c r="E134" s="184"/>
      <c r="F134" s="186"/>
      <c r="G134" s="145">
        <f>G135</f>
        <v>95622817</v>
      </c>
      <c r="H134" s="145">
        <f>H135</f>
        <v>17815058.84</v>
      </c>
      <c r="I134" s="145">
        <f t="shared" si="55"/>
        <v>77807758.159999996</v>
      </c>
      <c r="J134" s="582">
        <f t="shared" si="69"/>
        <v>18.6305522038741</v>
      </c>
    </row>
    <row r="135" spans="1:10" s="303" customFormat="1" x14ac:dyDescent="0.25">
      <c r="A135" s="328" t="str">
        <f>IF(B135&gt;0,VLOOKUP(B135,КВСР!A65:B1230,2),IF(C135&gt;0,VLOOKUP(C135,КФСР!A65:B1577,2),IF(D135&gt;0,VLOOKUP(D135,Программа!A$3:B$4973,2),IF(F135&gt;0,VLOOKUP(F135,КВР!A$1:B$5001,2),IF(E135&gt;0,VLOOKUP(E135,Направление!A$1:B$4591,2))))))</f>
        <v>Программные расходы бюджета</v>
      </c>
      <c r="B135" s="298"/>
      <c r="C135" s="299"/>
      <c r="D135" s="301" t="s">
        <v>776</v>
      </c>
      <c r="E135" s="299"/>
      <c r="F135" s="301"/>
      <c r="G135" s="407">
        <f>G136+G146</f>
        <v>95622817</v>
      </c>
      <c r="H135" s="407">
        <f>H136+H146</f>
        <v>17815058.84</v>
      </c>
      <c r="I135" s="407">
        <f t="shared" si="55"/>
        <v>77807758.159999996</v>
      </c>
      <c r="J135" s="582">
        <f t="shared" si="69"/>
        <v>18.6305522038741</v>
      </c>
    </row>
    <row r="136" spans="1:10" s="57" customFormat="1" ht="78.75" x14ac:dyDescent="0.25">
      <c r="A136" s="329" t="str">
        <f>IF(B136&gt;0,VLOOKUP(B136,КВСР!A65:B1230,2),IF(C136&gt;0,VLOOKUP(C136,КФСР!A65:B1577,2),IF(D136&gt;0,VLOOKUP(D136,Программа!A$3:B$4973,2),IF(F136&gt;0,VLOOKUP(F136,КВР!A$1:B$5001,2),IF(E136&gt;0,VLOOKUP(E136,Направление!A$1:B$4591,2))))))</f>
        <v xml:space="preserve">Муниципальная программа "Формирование современной городской среды на территории городского поселения Тутаев"
</v>
      </c>
      <c r="B136" s="210"/>
      <c r="C136" s="211"/>
      <c r="D136" s="212" t="s">
        <v>256</v>
      </c>
      <c r="E136" s="211"/>
      <c r="F136" s="212"/>
      <c r="G136" s="213">
        <f>G137+G140+G143</f>
        <v>60464016</v>
      </c>
      <c r="H136" s="213">
        <f>H137+H140+H143</f>
        <v>317868.18</v>
      </c>
      <c r="I136" s="213">
        <f t="shared" si="55"/>
        <v>60146147.82</v>
      </c>
      <c r="J136" s="582">
        <f t="shared" si="69"/>
        <v>0.52571463331181967</v>
      </c>
    </row>
    <row r="137" spans="1:10" s="57" customFormat="1" ht="31.5" x14ac:dyDescent="0.25">
      <c r="A137" s="329" t="str">
        <f>IF(B137&gt;0,VLOOKUP(B137,КВСР!A66:B1231,2),IF(C137&gt;0,VLOOKUP(C137,КФСР!A66:B1578,2),IF(D137&gt;0,VLOOKUP(D137,Программа!A$3:B$4973,2),IF(F137&gt;0,VLOOKUP(F137,КВР!A$1:B$5001,2),IF(E137&gt;0,VLOOKUP(E137,Направление!A$1:B$4591,2))))))</f>
        <v>Повышение уровня благоустройства дворовых территорий</v>
      </c>
      <c r="B137" s="210"/>
      <c r="C137" s="211"/>
      <c r="D137" s="212" t="s">
        <v>610</v>
      </c>
      <c r="E137" s="211"/>
      <c r="F137" s="212"/>
      <c r="G137" s="213">
        <f>G138</f>
        <v>5293089</v>
      </c>
      <c r="H137" s="213">
        <f>H138</f>
        <v>317868.18</v>
      </c>
      <c r="I137" s="213">
        <f t="shared" si="55"/>
        <v>4975220.82</v>
      </c>
      <c r="J137" s="582">
        <f t="shared" si="69"/>
        <v>6.0053435715892931</v>
      </c>
    </row>
    <row r="138" spans="1:10" s="57" customFormat="1" ht="63" x14ac:dyDescent="0.25">
      <c r="A138" s="329" t="str">
        <f>IF(B138&gt;0,VLOOKUP(B138,КВСР!A66:B1231,2),IF(C138&gt;0,VLOOKUP(C138,КФСР!A66:B1578,2),IF(D138&gt;0,VLOOKUP(D138,Программа!A$3:B$4973,2),IF(F138&gt;0,VLOOKUP(F138,КВР!A$1:B$5001,2),IF(E138&gt;0,VLOOKUP(E138,Направление!A$1:B$4591,2))))))</f>
        <v xml:space="preserve">Межбюджетные трансферты на обеспечение мероприятий по  формированию современной городской среды </v>
      </c>
      <c r="B138" s="210"/>
      <c r="C138" s="211"/>
      <c r="D138" s="212"/>
      <c r="E138" s="211">
        <v>29456</v>
      </c>
      <c r="F138" s="212"/>
      <c r="G138" s="213">
        <f>G139</f>
        <v>5293089</v>
      </c>
      <c r="H138" s="213">
        <f t="shared" ref="H138" si="70">H139</f>
        <v>317868.18</v>
      </c>
      <c r="I138" s="213">
        <f t="shared" si="55"/>
        <v>4975220.82</v>
      </c>
      <c r="J138" s="582">
        <f t="shared" si="69"/>
        <v>6.0053435715892931</v>
      </c>
    </row>
    <row r="139" spans="1:10" s="57" customFormat="1" x14ac:dyDescent="0.25">
      <c r="A139" s="329" t="str">
        <f>IF(B139&gt;0,VLOOKUP(B139,КВСР!A67:B1232,2),IF(C139&gt;0,VLOOKUP(C139,КФСР!A67:B1579,2),IF(D139&gt;0,VLOOKUP(D139,Программа!A$3:B$4973,2),IF(F139&gt;0,VLOOKUP(F139,КВР!A$1:B$5001,2),IF(E139&gt;0,VLOOKUP(E139,Направление!A$1:B$4591,2))))))</f>
        <v xml:space="preserve"> Межбюджетные трансферты</v>
      </c>
      <c r="B139" s="210"/>
      <c r="C139" s="211"/>
      <c r="D139" s="212"/>
      <c r="E139" s="211"/>
      <c r="F139" s="212">
        <v>500</v>
      </c>
      <c r="G139" s="408">
        <v>5293089</v>
      </c>
      <c r="H139" s="410">
        <v>317868.18</v>
      </c>
      <c r="I139" s="408">
        <f t="shared" si="55"/>
        <v>4975220.82</v>
      </c>
      <c r="J139" s="582">
        <f t="shared" si="69"/>
        <v>6.0053435715892931</v>
      </c>
    </row>
    <row r="140" spans="1:10" s="57" customFormat="1" ht="47.25" hidden="1" x14ac:dyDescent="0.25">
      <c r="A140" s="329" t="str">
        <f>IF(B140&gt;0,VLOOKUP(B140,КВСР!A68:B1233,2),IF(C140&gt;0,VLOOKUP(C140,КФСР!A68:B1580,2),IF(D140&gt;0,VLOOKUP(D140,Программа!A$3:B$4973,2),IF(F140&gt;0,VLOOKUP(F140,КВР!A$1:B$5001,2),IF(E140&gt;0,VLOOKUP(E140,Направление!A$1:B$4591,2))))))</f>
        <v>Реализация проектов создания комфортной городской среды в малых городах и исторических поселениях</v>
      </c>
      <c r="B140" s="210"/>
      <c r="C140" s="211"/>
      <c r="D140" s="212" t="s">
        <v>846</v>
      </c>
      <c r="E140" s="211"/>
      <c r="F140" s="212"/>
      <c r="G140" s="139">
        <f>G141</f>
        <v>50000000</v>
      </c>
      <c r="H140" s="139">
        <f>H141</f>
        <v>0</v>
      </c>
      <c r="I140" s="139">
        <f t="shared" si="55"/>
        <v>50000000</v>
      </c>
    </row>
    <row r="141" spans="1:10" s="57" customFormat="1" ht="63" hidden="1" x14ac:dyDescent="0.25">
      <c r="A141" s="329" t="str">
        <f>IF(B141&gt;0,VLOOKUP(B141,КВСР!A69:B1234,2),IF(C141&gt;0,VLOOKUP(C141,КФСР!A69:B1581,2),IF(D141&gt;0,VLOOKUP(D141,Программа!A$3:B$4973,2),IF(F141&gt;0,VLOOKUP(F141,КВР!A$1:B$5001,2),IF(E141&gt;0,VLOOKUP(E141,Направление!A$1:B$4591,2))))))</f>
        <v>Межбюджетные трансферты на создания комфортной городской среды в малых городах и исторических поселениях</v>
      </c>
      <c r="B141" s="210"/>
      <c r="C141" s="211"/>
      <c r="D141" s="212"/>
      <c r="E141" s="211">
        <v>53116</v>
      </c>
      <c r="F141" s="212"/>
      <c r="G141" s="139">
        <f>G142</f>
        <v>50000000</v>
      </c>
      <c r="H141" s="139">
        <f>H142</f>
        <v>0</v>
      </c>
      <c r="I141" s="139">
        <f t="shared" si="55"/>
        <v>50000000</v>
      </c>
    </row>
    <row r="142" spans="1:10" s="57" customFormat="1" hidden="1" x14ac:dyDescent="0.25">
      <c r="A142" s="329" t="str">
        <f>IF(B142&gt;0,VLOOKUP(B142,КВСР!A70:B1235,2),IF(C142&gt;0,VLOOKUP(C142,КФСР!A70:B1582,2),IF(D142&gt;0,VLOOKUP(D142,Программа!A$3:B$4973,2),IF(F142&gt;0,VLOOKUP(F142,КВР!A$1:B$5001,2),IF(E142&gt;0,VLOOKUP(E142,Направление!A$1:B$4591,2))))))</f>
        <v xml:space="preserve"> Межбюджетные трансферты</v>
      </c>
      <c r="B142" s="210"/>
      <c r="C142" s="211"/>
      <c r="D142" s="212"/>
      <c r="E142" s="211"/>
      <c r="F142" s="212">
        <v>500</v>
      </c>
      <c r="G142" s="408">
        <v>50000000</v>
      </c>
      <c r="H142" s="410"/>
      <c r="I142" s="408">
        <f t="shared" si="55"/>
        <v>50000000</v>
      </c>
    </row>
    <row r="143" spans="1:10" s="57" customFormat="1" ht="31.5" hidden="1" x14ac:dyDescent="0.25">
      <c r="A143" s="329" t="str">
        <f>IF(B143&gt;0,VLOOKUP(B143,КВСР!A71:B1236,2),IF(C143&gt;0,VLOOKUP(C143,КФСР!A71:B1583,2),IF(D143&gt;0,VLOOKUP(D143,Программа!A$3:B$4973,2),IF(F143&gt;0,VLOOKUP(F143,КВР!A$1:B$5001,2),IF(E143&gt;0,VLOOKUP(E143,Направление!A$1:B$4591,2))))))</f>
        <v>Реализация   проекта "Формирование комфортной городской среды"</v>
      </c>
      <c r="B143" s="210"/>
      <c r="C143" s="211"/>
      <c r="D143" s="212" t="s">
        <v>847</v>
      </c>
      <c r="E143" s="211"/>
      <c r="F143" s="212"/>
      <c r="G143" s="213">
        <f>G144</f>
        <v>5170927</v>
      </c>
      <c r="H143" s="139">
        <f>H144</f>
        <v>0</v>
      </c>
      <c r="I143" s="213">
        <f t="shared" si="55"/>
        <v>5170927</v>
      </c>
    </row>
    <row r="144" spans="1:10" s="57" customFormat="1" ht="63" hidden="1" x14ac:dyDescent="0.25">
      <c r="A144" s="329" t="str">
        <f>IF(B144&gt;0,VLOOKUP(B144,КВСР!A72:E146B1237,2),IF(C144&gt;0,VLOOKUP(C144,КФСР!A72:B1584,2),IF(D144&gt;0,VLOOKUP(D144,Программа!A$3:B$4973,2),IF(F144&gt;0,VLOOKUP(F144,КВР!A$1:B$5001,2),IF(E144&gt;0,VLOOKUP(E144,Направление!A$1:B$4591,2))))))</f>
        <v xml:space="preserve">Межбюджетные трансферты на реализацию регионального проекта "Формирования современной городской среды" </v>
      </c>
      <c r="B144" s="210"/>
      <c r="C144" s="211"/>
      <c r="D144" s="212"/>
      <c r="E144" s="211">
        <v>55556</v>
      </c>
      <c r="F144" s="212"/>
      <c r="G144" s="213">
        <f>G145</f>
        <v>5170927</v>
      </c>
      <c r="H144" s="139">
        <f>H145</f>
        <v>0</v>
      </c>
      <c r="I144" s="213">
        <f t="shared" si="55"/>
        <v>5170927</v>
      </c>
    </row>
    <row r="145" spans="1:10" s="57" customFormat="1" hidden="1" x14ac:dyDescent="0.25">
      <c r="A145" s="329" t="str">
        <f>IF(B145&gt;0,VLOOKUP(B145,КВСР!A73:B1238,2),IF(C145&gt;0,VLOOKUP(C145,КФСР!A73:B1585,2),IF(D145&gt;0,VLOOKUP(D145,Программа!A$3:B$4973,2),IF(F145&gt;0,VLOOKUP(F145,КВР!A$1:B$5001,2),IF(E145&gt;0,VLOOKUP(E145,Направление!A$1:B$4591,2))))))</f>
        <v xml:space="preserve"> Межбюджетные трансферты</v>
      </c>
      <c r="B145" s="210"/>
      <c r="C145" s="211"/>
      <c r="D145" s="212"/>
      <c r="E145" s="211"/>
      <c r="F145" s="212">
        <v>500</v>
      </c>
      <c r="G145" s="408">
        <v>5170927</v>
      </c>
      <c r="H145" s="410"/>
      <c r="I145" s="408">
        <f t="shared" si="55"/>
        <v>5170927</v>
      </c>
    </row>
    <row r="146" spans="1:10" s="57" customFormat="1" ht="63" x14ac:dyDescent="0.25">
      <c r="A146" s="329" t="str">
        <f>IF(B146&gt;0,VLOOKUP(B146,КВСР!A70:B1235,2),IF(C146&gt;0,VLOOKUP(C146,КФСР!A70:B1582,2),IF(D146&gt;0,VLOOKUP(D146,Программа!A$3:B$4973,2),IF(F146&gt;0,VLOOKUP(F146,КВР!A$1:B$5001,2),IF(E146&gt;0,VLOOKUP(E146,Направление!A$1:B$4591,2))))))</f>
        <v>Муниципальная программа "Благоустройство и озеленение территории городского поселения Тутаев"</v>
      </c>
      <c r="B146" s="210"/>
      <c r="C146" s="211"/>
      <c r="D146" s="212" t="s">
        <v>252</v>
      </c>
      <c r="E146" s="211"/>
      <c r="F146" s="212"/>
      <c r="G146" s="213">
        <f>G147+G156+G159</f>
        <v>35158801</v>
      </c>
      <c r="H146" s="213">
        <f>H147+H156+H159</f>
        <v>17497190.66</v>
      </c>
      <c r="I146" s="213">
        <f t="shared" si="55"/>
        <v>17661610.34</v>
      </c>
      <c r="J146" s="582">
        <f t="shared" ref="J146:J155" si="71">H146/G146*100</f>
        <v>49.766175644044289</v>
      </c>
    </row>
    <row r="147" spans="1:10" s="57" customFormat="1" ht="47.25" x14ac:dyDescent="0.25">
      <c r="A147" s="329" t="str">
        <f>IF(B147&gt;0,VLOOKUP(B147,КВСР!A70:B1235,2),IF(C147&gt;0,VLOOKUP(C147,КФСР!A70:B1582,2),IF(D147&gt;0,VLOOKUP(D147,Программа!A$3:B$4973,2),IF(F147&gt;0,VLOOKUP(F147,КВР!A$1:B$5001,2),IF(E147&gt;0,VLOOKUP(E147,Направление!A$1:B$4591,2))))))</f>
        <v>Благоустройство и озеленение  территории городского поселения Тутаев</v>
      </c>
      <c r="B147" s="210"/>
      <c r="C147" s="211"/>
      <c r="D147" s="212" t="s">
        <v>611</v>
      </c>
      <c r="E147" s="211"/>
      <c r="F147" s="212"/>
      <c r="G147" s="213">
        <f>G148+G150+G152+G154</f>
        <v>34158801</v>
      </c>
      <c r="H147" s="213">
        <f t="shared" ref="H147" si="72">H148+H150+H152+H154</f>
        <v>17497190.66</v>
      </c>
      <c r="I147" s="213">
        <f t="shared" si="55"/>
        <v>16661610.34</v>
      </c>
      <c r="J147" s="582">
        <f t="shared" si="71"/>
        <v>51.223082039676981</v>
      </c>
    </row>
    <row r="148" spans="1:10" s="57" customFormat="1" ht="47.25" x14ac:dyDescent="0.25">
      <c r="A148" s="329" t="str">
        <f>IF(B148&gt;0,VLOOKUP(B148,КВСР!A71:B1236,2),IF(C148&gt;0,VLOOKUP(C148,КФСР!A71:B1583,2),IF(D148&gt;0,VLOOKUP(D148,Программа!A$3:B$4973,2),IF(F148&gt;0,VLOOKUP(F148,КВР!A$1:B$5001,2),IF(E148&gt;0,VLOOKUP(E148,Направление!A$1:B$4591,2))))))</f>
        <v>Межбюджетные трансферты на обеспечение мероприятий по уличному освещению</v>
      </c>
      <c r="B148" s="179"/>
      <c r="C148" s="180"/>
      <c r="D148" s="182"/>
      <c r="E148" s="180">
        <v>29236</v>
      </c>
      <c r="F148" s="182"/>
      <c r="G148" s="139">
        <f>G149</f>
        <v>11500000</v>
      </c>
      <c r="H148" s="139">
        <f t="shared" ref="H148" si="73">H149</f>
        <v>6470242.2599999998</v>
      </c>
      <c r="I148" s="139">
        <f t="shared" si="55"/>
        <v>5029757.74</v>
      </c>
      <c r="J148" s="582">
        <f t="shared" si="71"/>
        <v>56.262976173913039</v>
      </c>
    </row>
    <row r="149" spans="1:10" s="57" customFormat="1" x14ac:dyDescent="0.25">
      <c r="A149" s="329" t="str">
        <f>IF(B149&gt;0,VLOOKUP(B149,КВСР!A72:B1237,2),IF(C149&gt;0,VLOOKUP(C149,КФСР!A72:B1584,2),IF(D149&gt;0,VLOOKUP(D149,Программа!A$3:B$4973,2),IF(F149&gt;0,VLOOKUP(F149,КВР!A$1:B$5001,2),IF(E149&gt;0,VLOOKUP(E149,Направление!A$1:B$4591,2))))))</f>
        <v xml:space="preserve"> Межбюджетные трансферты</v>
      </c>
      <c r="B149" s="179"/>
      <c r="C149" s="180"/>
      <c r="D149" s="182"/>
      <c r="E149" s="180"/>
      <c r="F149" s="182">
        <v>500</v>
      </c>
      <c r="G149" s="410">
        <v>11500000</v>
      </c>
      <c r="H149" s="410">
        <v>6470242.2599999998</v>
      </c>
      <c r="I149" s="410">
        <f t="shared" si="55"/>
        <v>5029757.74</v>
      </c>
      <c r="J149" s="582">
        <f t="shared" si="71"/>
        <v>56.262976173913039</v>
      </c>
    </row>
    <row r="150" spans="1:10" s="57" customFormat="1" ht="78.75" x14ac:dyDescent="0.25">
      <c r="A150" s="329" t="str">
        <f>IF(B150&gt;0,VLOOKUP(B150,КВСР!A73:B1238,2),IF(C150&gt;0,VLOOKUP(C150,КФСР!A73:B1585,2),IF(D150&gt;0,VLOOKUP(D150,Программа!A$3:B$4973,2),IF(F150&gt;0,VLOOKUP(F150,КВР!A$1:B$5001,2),IF(E150&gt;0,VLOOKUP(E150,Направление!A$1:B$4591,2))))))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B150" s="179"/>
      <c r="C150" s="180"/>
      <c r="D150" s="182"/>
      <c r="E150" s="180">
        <v>29246</v>
      </c>
      <c r="F150" s="182"/>
      <c r="G150" s="120">
        <f>G151</f>
        <v>2957836</v>
      </c>
      <c r="H150" s="120">
        <f t="shared" ref="H150" si="74">H151</f>
        <v>1920571.71</v>
      </c>
      <c r="I150" s="120">
        <f t="shared" si="55"/>
        <v>1037264.29</v>
      </c>
      <c r="J150" s="582">
        <f t="shared" si="71"/>
        <v>64.931649692545491</v>
      </c>
    </row>
    <row r="151" spans="1:10" s="57" customFormat="1" x14ac:dyDescent="0.25">
      <c r="A151" s="329" t="str">
        <f>IF(B151&gt;0,VLOOKUP(B151,КВСР!A74:B1239,2),IF(C151&gt;0,VLOOKUP(C151,КФСР!A74:B1586,2),IF(D151&gt;0,VLOOKUP(D151,Программа!A$3:B$4973,2),IF(F151&gt;0,VLOOKUP(F151,КВР!A$1:B$5001,2),IF(E151&gt;0,VLOOKUP(E151,Направление!A$1:B$4591,2))))))</f>
        <v xml:space="preserve"> Межбюджетные трансферты</v>
      </c>
      <c r="B151" s="179"/>
      <c r="C151" s="180"/>
      <c r="D151" s="181"/>
      <c r="E151" s="180"/>
      <c r="F151" s="182">
        <v>500</v>
      </c>
      <c r="G151" s="410">
        <v>2957836</v>
      </c>
      <c r="H151" s="410">
        <v>1920571.71</v>
      </c>
      <c r="I151" s="410">
        <f t="shared" si="55"/>
        <v>1037264.29</v>
      </c>
      <c r="J151" s="582">
        <f t="shared" si="71"/>
        <v>64.931649692545491</v>
      </c>
    </row>
    <row r="152" spans="1:10" s="57" customFormat="1" ht="63" x14ac:dyDescent="0.25">
      <c r="A152" s="329" t="str">
        <f>IF(B152&gt;0,VLOOKUP(B152,КВСР!A75:B1240,2),IF(C152&gt;0,VLOOKUP(C152,КФСР!A75:B1587,2),IF(D152&gt;0,VLOOKUP(D152,Программа!A$3:B$4973,2),IF(F152&gt;0,VLOOKUP(F152,КВР!A$1:B$5001,2),IF(E152&gt;0,VLOOKUP(E152,Направление!A$1:B$4591,2))))))</f>
        <v>Межбюджетные трансферты на содержание и организацию деятельности по благоустройству на территории поселения</v>
      </c>
      <c r="B152" s="179"/>
      <c r="C152" s="180"/>
      <c r="D152" s="181"/>
      <c r="E152" s="180">
        <v>29256</v>
      </c>
      <c r="F152" s="182"/>
      <c r="G152" s="139">
        <f>G153</f>
        <v>12723766</v>
      </c>
      <c r="H152" s="139">
        <f t="shared" ref="H152" si="75">H153</f>
        <v>8685581.3399999999</v>
      </c>
      <c r="I152" s="139">
        <f t="shared" si="55"/>
        <v>4038184.66</v>
      </c>
      <c r="J152" s="582">
        <f t="shared" si="71"/>
        <v>68.262661699374235</v>
      </c>
    </row>
    <row r="153" spans="1:10" s="57" customFormat="1" x14ac:dyDescent="0.25">
      <c r="A153" s="329" t="str">
        <f>IF(B153&gt;0,VLOOKUP(B153,КВСР!A76:B1241,2),IF(C153&gt;0,VLOOKUP(C153,КФСР!A76:B1588,2),IF(D153&gt;0,VLOOKUP(D153,Программа!A$3:B$4973,2),IF(F153&gt;0,VLOOKUP(F153,КВР!A$1:B$5001,2),IF(E153&gt;0,VLOOKUP(E153,Направление!A$1:B$4591,2))))))</f>
        <v xml:space="preserve"> Межбюджетные трансферты</v>
      </c>
      <c r="B153" s="179"/>
      <c r="C153" s="180"/>
      <c r="D153" s="181"/>
      <c r="E153" s="180"/>
      <c r="F153" s="182">
        <v>500</v>
      </c>
      <c r="G153" s="410">
        <v>12723766</v>
      </c>
      <c r="H153" s="410">
        <v>8685581.3399999999</v>
      </c>
      <c r="I153" s="410">
        <f t="shared" si="55"/>
        <v>4038184.66</v>
      </c>
      <c r="J153" s="582">
        <f t="shared" si="71"/>
        <v>68.262661699374235</v>
      </c>
    </row>
    <row r="154" spans="1:10" s="57" customFormat="1" ht="47.25" x14ac:dyDescent="0.25">
      <c r="A154" s="329" t="str">
        <f>IF(B154&gt;0,VLOOKUP(B154,КВСР!A77:B1242,2),IF(C154&gt;0,VLOOKUP(C154,КФСР!A77:B1589,2),IF(D154&gt;0,VLOOKUP(D154,Программа!A$3:B$4973,2),IF(F154&gt;0,VLOOKUP(F154,КВР!A$1:B$5001,2),IF(E154&gt;0,VLOOKUP(E154,Направление!A$1:B$4591,2))))))</f>
        <v>Межбюджетные трансферты на обеспечение мероприятий в области благоустройства и озеленения</v>
      </c>
      <c r="B154" s="179"/>
      <c r="C154" s="180"/>
      <c r="D154" s="182"/>
      <c r="E154" s="180">
        <v>29266</v>
      </c>
      <c r="F154" s="182"/>
      <c r="G154" s="120">
        <f>G155</f>
        <v>6977199</v>
      </c>
      <c r="H154" s="120">
        <f t="shared" ref="H154" si="76">H155</f>
        <v>420795.35</v>
      </c>
      <c r="I154" s="120">
        <f t="shared" si="55"/>
        <v>6556403.6500000004</v>
      </c>
      <c r="J154" s="582">
        <f t="shared" si="71"/>
        <v>6.0310068553297675</v>
      </c>
    </row>
    <row r="155" spans="1:10" s="57" customFormat="1" x14ac:dyDescent="0.25">
      <c r="A155" s="329" t="str">
        <f>IF(B155&gt;0,VLOOKUP(B155,КВСР!A78:B1243,2),IF(C155&gt;0,VLOOKUP(C155,КФСР!A78:B1590,2),IF(D155&gt;0,VLOOKUP(D155,Программа!A$3:B$4973,2),IF(F155&gt;0,VLOOKUP(F155,КВР!A$1:B$5001,2),IF(E155&gt;0,VLOOKUP(E155,Направление!A$1:B$4591,2))))))</f>
        <v xml:space="preserve"> Межбюджетные трансферты</v>
      </c>
      <c r="B155" s="179"/>
      <c r="C155" s="180"/>
      <c r="D155" s="182"/>
      <c r="E155" s="180"/>
      <c r="F155" s="182">
        <v>500</v>
      </c>
      <c r="G155" s="414">
        <v>6977199</v>
      </c>
      <c r="H155" s="414">
        <v>420795.35</v>
      </c>
      <c r="I155" s="414">
        <f t="shared" si="55"/>
        <v>6556403.6500000004</v>
      </c>
      <c r="J155" s="582">
        <f t="shared" si="71"/>
        <v>6.0310068553297675</v>
      </c>
    </row>
    <row r="156" spans="1:10" s="57" customFormat="1" ht="63" hidden="1" x14ac:dyDescent="0.25">
      <c r="A156" s="329" t="str">
        <f>IF(B156&gt;0,VLOOKUP(B156,КВСР!A79:B1244,2),IF(C156&gt;0,VLOOKUP(C156,КФСР!A79:B1591,2),IF(D156&gt;0,VLOOKUP(D156,Программа!A$3:B$4973,2),IF(F156&gt;0,VLOOKUP(F156,КВР!A$1:B$5001,2),IF(E156&gt;0,VLOOKUP(E156,Направление!A$1:B$4591,2))))))</f>
        <v>Реализация мероприятий губернаторского проекта "Решаем вместе!" (инициативное бюджетирование)</v>
      </c>
      <c r="B156" s="179"/>
      <c r="C156" s="180"/>
      <c r="D156" s="212" t="s">
        <v>613</v>
      </c>
      <c r="E156" s="180"/>
      <c r="F156" s="182"/>
      <c r="G156" s="120">
        <f>G157</f>
        <v>0</v>
      </c>
      <c r="H156" s="120">
        <f t="shared" ref="H156:H157" si="77">H157</f>
        <v>0</v>
      </c>
      <c r="I156" s="120">
        <f t="shared" si="55"/>
        <v>0</v>
      </c>
    </row>
    <row r="157" spans="1:10" s="57" customFormat="1" ht="78.75" hidden="1" x14ac:dyDescent="0.25">
      <c r="A157" s="329" t="str">
        <f>IF(B157&gt;0,VLOOKUP(B157,КВСР!A79:B1244,2),IF(C157&gt;0,VLOOKUP(C157,КФСР!A79:B1591,2),IF(D157&gt;0,VLOOKUP(D157,Программа!A$3:B$4973,2),IF(F157&gt;0,VLOOKUP(F157,КВР!A$1:B$5001,2),IF(E157&gt;0,VLOOKUP(E157,Направление!A$1:B$4591,2))))))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B157" s="179"/>
      <c r="C157" s="180"/>
      <c r="D157" s="182"/>
      <c r="E157" s="180">
        <v>25356</v>
      </c>
      <c r="F157" s="182"/>
      <c r="G157" s="120">
        <f>G158</f>
        <v>0</v>
      </c>
      <c r="H157" s="120">
        <f t="shared" si="77"/>
        <v>0</v>
      </c>
      <c r="I157" s="120">
        <f t="shared" si="55"/>
        <v>0</v>
      </c>
    </row>
    <row r="158" spans="1:10" s="57" customFormat="1" hidden="1" x14ac:dyDescent="0.25">
      <c r="A158" s="329" t="str">
        <f>IF(B158&gt;0,VLOOKUP(B158,КВСР!A80:B1245,2),IF(C158&gt;0,VLOOKUP(C158,КФСР!A80:B1592,2),IF(D158&gt;0,VLOOKUP(D158,Программа!A$3:B$4973,2),IF(F158&gt;0,VLOOKUP(F158,КВР!A$1:B$5001,2),IF(E158&gt;0,VLOOKUP(E158,Направление!A$1:B$4591,2))))))</f>
        <v xml:space="preserve"> Межбюджетные трансферты</v>
      </c>
      <c r="B158" s="179"/>
      <c r="C158" s="180"/>
      <c r="D158" s="182"/>
      <c r="E158" s="180"/>
      <c r="F158" s="182">
        <v>500</v>
      </c>
      <c r="G158" s="414">
        <v>0</v>
      </c>
      <c r="H158" s="414">
        <v>0</v>
      </c>
      <c r="I158" s="414">
        <f t="shared" si="55"/>
        <v>0</v>
      </c>
    </row>
    <row r="159" spans="1:10" s="57" customFormat="1" ht="31.5" hidden="1" x14ac:dyDescent="0.25">
      <c r="A159" s="329" t="str">
        <f>IF(B159&gt;0,VLOOKUP(B159,КВСР!A81:B1246,2),IF(C159&gt;0,VLOOKUP(C159,КФСР!A81:B1593,2),IF(D159&gt;0,VLOOKUP(D159,Программа!A$3:B$4973,2),IF(F159&gt;0,VLOOKUP(F159,КВР!A$1:B$5001,2),IF(E159&gt;0,VLOOKUP(E159,Направление!A$1:B$4591,2))))))</f>
        <v>Содержание и благоустройство мест захоронений</v>
      </c>
      <c r="B159" s="179"/>
      <c r="C159" s="180"/>
      <c r="D159" s="182" t="s">
        <v>689</v>
      </c>
      <c r="E159" s="180"/>
      <c r="F159" s="182"/>
      <c r="G159" s="120">
        <f>G160</f>
        <v>1000000</v>
      </c>
      <c r="H159" s="120">
        <f t="shared" ref="H159:H160" si="78">H160</f>
        <v>0</v>
      </c>
      <c r="I159" s="120">
        <f t="shared" si="55"/>
        <v>1000000</v>
      </c>
    </row>
    <row r="160" spans="1:10" s="57" customFormat="1" ht="47.25" hidden="1" x14ac:dyDescent="0.25">
      <c r="A160" s="329" t="str">
        <f>IF(B160&gt;0,VLOOKUP(B160,КВСР!A82:B1247,2),IF(C160&gt;0,VLOOKUP(C160,КФСР!A82:B1594,2),IF(D160&gt;0,VLOOKUP(D160,Программа!A$3:B$4973,2),IF(F160&gt;0,VLOOKUP(F160,КВР!A$1:B$5001,2),IF(E160&gt;0,VLOOKUP(E160,Направление!A$1:B$4591,2))))))</f>
        <v>Межбюджетные трансферты на обеспечение мероприятий по  содержанию мест захоронения</v>
      </c>
      <c r="B160" s="179"/>
      <c r="C160" s="180"/>
      <c r="D160" s="182"/>
      <c r="E160" s="180">
        <v>29316</v>
      </c>
      <c r="F160" s="182"/>
      <c r="G160" s="120">
        <f>G161</f>
        <v>1000000</v>
      </c>
      <c r="H160" s="120">
        <f t="shared" si="78"/>
        <v>0</v>
      </c>
      <c r="I160" s="120">
        <f t="shared" si="55"/>
        <v>1000000</v>
      </c>
    </row>
    <row r="161" spans="1:10" s="57" customFormat="1" hidden="1" x14ac:dyDescent="0.25">
      <c r="A161" s="329" t="str">
        <f>IF(B161&gt;0,VLOOKUP(B161,КВСР!A83:B1248,2),IF(C161&gt;0,VLOOKUP(C161,КФСР!A83:B1595,2),IF(D161&gt;0,VLOOKUP(D161,Программа!A$3:B$4973,2),IF(F161&gt;0,VLOOKUP(F161,КВР!A$1:B$5001,2),IF(E161&gt;0,VLOOKUP(E161,Направление!A$1:B$4591,2))))))</f>
        <v xml:space="preserve"> Межбюджетные трансферты</v>
      </c>
      <c r="B161" s="179"/>
      <c r="C161" s="180"/>
      <c r="D161" s="182"/>
      <c r="E161" s="180"/>
      <c r="F161" s="182">
        <v>500</v>
      </c>
      <c r="G161" s="410">
        <v>1000000</v>
      </c>
      <c r="H161" s="410">
        <v>0</v>
      </c>
      <c r="I161" s="410">
        <f t="shared" si="55"/>
        <v>1000000</v>
      </c>
    </row>
    <row r="162" spans="1:10" s="57" customFormat="1" ht="31.5" hidden="1" x14ac:dyDescent="0.25">
      <c r="A162" s="329" t="str">
        <f>IF(B162&gt;0,VLOOKUP(B162,КВСР!A84:B1249,2),IF(C162&gt;0,VLOOKUP(C162,КФСР!A84:B1596,2),IF(D162&gt;0,VLOOKUP(D162,Программа!A$3:B$4973,2),IF(F162&gt;0,VLOOKUP(F162,КВР!A$1:B$5001,2),IF(E162&gt;0,VLOOKUP(E162,Направление!A$1:B$4591,2))))))</f>
        <v>Другие вопросы в области охраны окружающей среды</v>
      </c>
      <c r="B162" s="183"/>
      <c r="C162" s="184">
        <v>605</v>
      </c>
      <c r="D162" s="186"/>
      <c r="E162" s="184"/>
      <c r="F162" s="186"/>
      <c r="G162" s="145">
        <f t="shared" ref="G162:H164" si="79">G163</f>
        <v>2000000</v>
      </c>
      <c r="H162" s="145">
        <f t="shared" si="79"/>
        <v>0</v>
      </c>
      <c r="I162" s="145">
        <f>G162-H162</f>
        <v>2000000</v>
      </c>
    </row>
    <row r="163" spans="1:10" s="57" customFormat="1" hidden="1" x14ac:dyDescent="0.25">
      <c r="A163" s="328" t="str">
        <f>IF(B163&gt;0,VLOOKUP(B163,КВСР!A85:B1250,2),IF(C163&gt;0,VLOOKUP(C163,КФСР!A85:B1597,2),IF(D163&gt;0,VLOOKUP(D163,Программа!A$3:B$4973,2),IF(F163&gt;0,VLOOKUP(F163,КВР!A$1:B$5001,2),IF(E163&gt;0,VLOOKUP(E163,Направление!A$1:B$4591,2))))))</f>
        <v>Непрограммные расходы бюджета</v>
      </c>
      <c r="B163" s="298"/>
      <c r="C163" s="299"/>
      <c r="D163" s="301" t="s">
        <v>618</v>
      </c>
      <c r="E163" s="299"/>
      <c r="F163" s="301"/>
      <c r="G163" s="407">
        <f t="shared" si="79"/>
        <v>2000000</v>
      </c>
      <c r="H163" s="407">
        <f t="shared" si="79"/>
        <v>0</v>
      </c>
      <c r="I163" s="407">
        <f t="shared" ref="I163:I165" si="80">G163-H163</f>
        <v>2000000</v>
      </c>
    </row>
    <row r="164" spans="1:10" s="57" customFormat="1" ht="63" hidden="1" x14ac:dyDescent="0.25">
      <c r="A164" s="329" t="str">
        <f>IF(B164&gt;0,VLOOKUP(B164,КВСР!A86:B1251,2),IF(C164&gt;0,VLOOKUP(C164,КФСР!A86:B1598,2),IF(D164&gt;0,VLOOKUP(D164,Программа!A$3:B$4973,2),IF(F164&gt;0,VLOOKUP(F164,КВР!A$1:B$5001,2),IF(E164&gt;0,VLOOKUP(E164,Направление!A$1:B$4591,2))))))</f>
        <v>Обеспечение мероприятий по охране окружающей среды и природопользования на территории городского поселения Тутаев</v>
      </c>
      <c r="B164" s="179"/>
      <c r="C164" s="180"/>
      <c r="D164" s="182"/>
      <c r="E164" s="180">
        <v>20180</v>
      </c>
      <c r="F164" s="182"/>
      <c r="G164" s="139">
        <f t="shared" si="79"/>
        <v>2000000</v>
      </c>
      <c r="H164" s="139">
        <f t="shared" si="79"/>
        <v>0</v>
      </c>
      <c r="I164" s="139">
        <f t="shared" si="80"/>
        <v>2000000</v>
      </c>
    </row>
    <row r="165" spans="1:10" s="57" customFormat="1" ht="63" hidden="1" x14ac:dyDescent="0.25">
      <c r="A165" s="329" t="str">
        <f>IF(B165&gt;0,VLOOKUP(B165,КВСР!A87:B1252,2),IF(C165&gt;0,VLOOKUP(C165,КФСР!A87:B1599,2),IF(D165&gt;0,VLOOKUP(D165,Программа!A$3:B$4973,2),IF(F165&gt;0,VLOOKUP(F165,КВР!A$1:B$5001,2),IF(E165&gt;0,VLOOKUP(E165,Направление!A$1:B$4591,2))))))</f>
        <v xml:space="preserve">Закупка товаров, работ и услуг для обеспечения государственных (муниципальных) нужд
</v>
      </c>
      <c r="B165" s="179"/>
      <c r="C165" s="180"/>
      <c r="D165" s="182"/>
      <c r="E165" s="180"/>
      <c r="F165" s="182">
        <v>200</v>
      </c>
      <c r="G165" s="410">
        <f>500000+1500000</f>
        <v>2000000</v>
      </c>
      <c r="H165" s="410">
        <v>0</v>
      </c>
      <c r="I165" s="410">
        <f t="shared" si="80"/>
        <v>2000000</v>
      </c>
    </row>
    <row r="166" spans="1:10" s="57" customFormat="1" x14ac:dyDescent="0.25">
      <c r="A166" s="330" t="str">
        <f>IF(B166&gt;0,VLOOKUP(B166,КВСР!A84:B1249,2),IF(C166&gt;0,VLOOKUP(C166,КФСР!A84:B1596,2),IF(D166&gt;0,VLOOKUP(D166,Программа!A$3:B$4973,2),IF(F166&gt;0,VLOOKUP(F166,КВР!A$1:B$5001,2),IF(E166&gt;0,VLOOKUP(E166,Направление!A$1:B$4591,2))))))</f>
        <v>Культура</v>
      </c>
      <c r="B166" s="179"/>
      <c r="C166" s="184">
        <v>801</v>
      </c>
      <c r="D166" s="182"/>
      <c r="E166" s="180"/>
      <c r="F166" s="182"/>
      <c r="G166" s="145">
        <f>G167</f>
        <v>1400000</v>
      </c>
      <c r="H166" s="145">
        <f>H167</f>
        <v>862500</v>
      </c>
      <c r="I166" s="145">
        <f>G166-H166</f>
        <v>537500</v>
      </c>
      <c r="J166" s="582">
        <f>H166/G166*100</f>
        <v>61.607142857142861</v>
      </c>
    </row>
    <row r="167" spans="1:10" s="57" customFormat="1" hidden="1" x14ac:dyDescent="0.25">
      <c r="A167" s="328" t="str">
        <f>IF(B167&gt;0,VLOOKUP(B167,КВСР!A85:B1250,2),IF(C167&gt;0,VLOOKUP(C167,КФСР!A85:B1597,2),IF(D167&gt;0,VLOOKUP(D167,Программа!A$3:B$4973,2),IF(F167&gt;0,VLOOKUP(F167,КВР!A$1:B$5001,2),IF(E167&gt;0,VLOOKUP(E167,Направление!A$1:B$4591,2))))))</f>
        <v>Непрограммные расходы бюджета</v>
      </c>
      <c r="B167" s="298"/>
      <c r="C167" s="299"/>
      <c r="D167" s="301" t="s">
        <v>618</v>
      </c>
      <c r="E167" s="299"/>
      <c r="F167" s="301"/>
      <c r="G167" s="407">
        <f>G168</f>
        <v>1400000</v>
      </c>
      <c r="H167" s="407">
        <f>H168</f>
        <v>862500</v>
      </c>
      <c r="I167" s="407">
        <f t="shared" ref="I167:I169" si="81">G167-H167</f>
        <v>537500</v>
      </c>
    </row>
    <row r="168" spans="1:10" s="57" customFormat="1" ht="47.25" x14ac:dyDescent="0.25">
      <c r="A168" s="329" t="str">
        <f>IF(B168&gt;0,VLOOKUP(B168,КВСР!A86:B1251,2),IF(C168&gt;0,VLOOKUP(C168,КФСР!A86:B1598,2),IF(D168&gt;0,VLOOKUP(D168,Программа!A$3:B$4973,2),IF(F168&gt;0,VLOOKUP(F168,КВР!A$1:B$5001,2),IF(E168&gt;0,VLOOKUP(E168,Направление!A$1:B$4591,2))))))</f>
        <v xml:space="preserve">Межбюджетные трансферты на обеспечение культурно-досуговых мероприятий </v>
      </c>
      <c r="B168" s="179"/>
      <c r="C168" s="180"/>
      <c r="D168" s="182"/>
      <c r="E168" s="180">
        <v>29216</v>
      </c>
      <c r="F168" s="182"/>
      <c r="G168" s="120">
        <f>G169</f>
        <v>1400000</v>
      </c>
      <c r="H168" s="120">
        <f t="shared" ref="H168" si="82">H169</f>
        <v>862500</v>
      </c>
      <c r="I168" s="120">
        <f t="shared" si="81"/>
        <v>537500</v>
      </c>
      <c r="J168" s="582">
        <f t="shared" ref="J168:J170" si="83">H168/G168*100</f>
        <v>61.607142857142861</v>
      </c>
    </row>
    <row r="169" spans="1:10" s="57" customFormat="1" x14ac:dyDescent="0.25">
      <c r="A169" s="329" t="str">
        <f>IF(B169&gt;0,VLOOKUP(B169,КВСР!A87:B1252,2),IF(C169&gt;0,VLOOKUP(C169,КФСР!A87:B1599,2),IF(D169&gt;0,VLOOKUP(D169,Программа!A$3:B$4973,2),IF(F169&gt;0,VLOOKUP(F169,КВР!A$1:B$5001,2),IF(E169&gt;0,VLOOKUP(E169,Направление!A$1:B$4591,2))))))</f>
        <v xml:space="preserve"> Межбюджетные трансферты</v>
      </c>
      <c r="B169" s="179"/>
      <c r="C169" s="180"/>
      <c r="D169" s="182"/>
      <c r="E169" s="180"/>
      <c r="F169" s="182">
        <v>500</v>
      </c>
      <c r="G169" s="414">
        <f>1000000+400000</f>
        <v>1400000</v>
      </c>
      <c r="H169" s="414">
        <v>862500</v>
      </c>
      <c r="I169" s="414">
        <f t="shared" si="81"/>
        <v>537500</v>
      </c>
      <c r="J169" s="582">
        <f t="shared" si="83"/>
        <v>61.607142857142861</v>
      </c>
    </row>
    <row r="170" spans="1:10" s="57" customFormat="1" x14ac:dyDescent="0.25">
      <c r="A170" s="330" t="str">
        <f>IF(B170&gt;0,VLOOKUP(B170,КВСР!A88:B1253,2),IF(C170&gt;0,VLOOKUP(C170,КФСР!A88:B1600,2),IF(D170&gt;0,VLOOKUP(D170,Программа!A$3:B$4973,2),IF(F170&gt;0,VLOOKUP(F170,КВР!A$1:B$5001,2),IF(E170&gt;0,VLOOKUP(E170,Направление!A$1:B$4591,2))))))</f>
        <v>Пенсионное обеспечение</v>
      </c>
      <c r="B170" s="183"/>
      <c r="C170" s="184">
        <v>1001</v>
      </c>
      <c r="D170" s="186"/>
      <c r="E170" s="184"/>
      <c r="F170" s="186"/>
      <c r="G170" s="145">
        <f>G171</f>
        <v>730800</v>
      </c>
      <c r="H170" s="145">
        <f t="shared" ref="H170:H172" si="84">H171</f>
        <v>318671.40999999997</v>
      </c>
      <c r="I170" s="145">
        <f>G170-H170</f>
        <v>412128.59</v>
      </c>
      <c r="J170" s="582">
        <f t="shared" si="83"/>
        <v>43.605830596606452</v>
      </c>
    </row>
    <row r="171" spans="1:10" s="57" customFormat="1" hidden="1" x14ac:dyDescent="0.25">
      <c r="A171" s="328" t="str">
        <f>IF(B171&gt;0,VLOOKUP(B171,КВСР!A89:B1254,2),IF(C171&gt;0,VLOOKUP(C171,КФСР!A89:B1601,2),IF(D171&gt;0,VLOOKUP(D171,Программа!A$3:B$4973,2),IF(F171&gt;0,VLOOKUP(F171,КВР!A$1:B$5001,2),IF(E171&gt;0,VLOOKUP(E171,Направление!A$1:B$4591,2))))))</f>
        <v>Непрограммные расходы бюджета</v>
      </c>
      <c r="B171" s="298"/>
      <c r="C171" s="299"/>
      <c r="D171" s="301" t="s">
        <v>618</v>
      </c>
      <c r="E171" s="299"/>
      <c r="F171" s="301"/>
      <c r="G171" s="407">
        <f>G172</f>
        <v>730800</v>
      </c>
      <c r="H171" s="407">
        <f t="shared" si="84"/>
        <v>318671.40999999997</v>
      </c>
      <c r="I171" s="407">
        <f t="shared" ref="I171:I173" si="85">G171-H171</f>
        <v>412128.59</v>
      </c>
    </row>
    <row r="172" spans="1:10" s="57" customFormat="1" ht="63" x14ac:dyDescent="0.25">
      <c r="A172" s="329" t="str">
        <f>IF(B172&gt;0,VLOOKUP(B172,КВСР!A90:B1255,2),IF(C172&gt;0,VLOOKUP(C172,КФСР!A90:B1602,2),IF(D172&gt;0,VLOOKUP(D172,Программа!A$3:B$4973,2),IF(F172&gt;0,VLOOKUP(F172,КВР!A$1:B$5001,2),IF(E172&gt;0,VLOOKUP(E172,Направление!A$1:B$4591,2))))))</f>
        <v>Межбюджетные трансферты на дополнительное пенсионное  обеспечение муниципальных служащих городского поселения Тутаев</v>
      </c>
      <c r="B172" s="179"/>
      <c r="C172" s="180"/>
      <c r="D172" s="182"/>
      <c r="E172" s="180">
        <v>29756</v>
      </c>
      <c r="F172" s="182"/>
      <c r="G172" s="139">
        <f>G173</f>
        <v>730800</v>
      </c>
      <c r="H172" s="139">
        <f t="shared" si="84"/>
        <v>318671.40999999997</v>
      </c>
      <c r="I172" s="139">
        <f t="shared" si="85"/>
        <v>412128.59</v>
      </c>
      <c r="J172" s="582">
        <f t="shared" ref="J172:J184" si="86">H172/G172*100</f>
        <v>43.605830596606452</v>
      </c>
    </row>
    <row r="173" spans="1:10" s="57" customFormat="1" x14ac:dyDescent="0.25">
      <c r="A173" s="329" t="str">
        <f>IF(B173&gt;0,VLOOKUP(B173,КВСР!A91:B1256,2),IF(C173&gt;0,VLOOKUP(C173,КФСР!A91:B1603,2),IF(D173&gt;0,VLOOKUP(D173,Программа!A$3:B$4973,2),IF(F173&gt;0,VLOOKUP(F173,КВР!A$1:B$5001,2),IF(E173&gt;0,VLOOKUP(E173,Направление!A$1:B$4591,2))))))</f>
        <v xml:space="preserve"> Межбюджетные трансферты</v>
      </c>
      <c r="B173" s="179"/>
      <c r="C173" s="180"/>
      <c r="D173" s="182"/>
      <c r="E173" s="180"/>
      <c r="F173" s="182">
        <v>500</v>
      </c>
      <c r="G173" s="414">
        <v>730800</v>
      </c>
      <c r="H173" s="414">
        <v>318671.40999999997</v>
      </c>
      <c r="I173" s="414">
        <f t="shared" si="85"/>
        <v>412128.59</v>
      </c>
      <c r="J173" s="582">
        <f t="shared" si="86"/>
        <v>43.605830596606452</v>
      </c>
    </row>
    <row r="174" spans="1:10" s="57" customFormat="1" x14ac:dyDescent="0.25">
      <c r="A174" s="331" t="str">
        <f>IF(B174&gt;0,VLOOKUP(B174,КВСР!A92:B1257,2),IF(C174&gt;0,VLOOKUP(C174,КФСР!A92:B1604,2),IF(D174&gt;0,VLOOKUP(D174,Программа!A$3:B$4973,2),IF(F174&gt;0,VLOOKUP(F174,КВР!A$1:B$5001,2),IF(E174&gt;0,VLOOKUP(E174,Направление!A$1:B$4591,2))))))</f>
        <v>Социальное обеспечение населения</v>
      </c>
      <c r="B174" s="266"/>
      <c r="C174" s="267">
        <v>1003</v>
      </c>
      <c r="D174" s="268"/>
      <c r="E174" s="267"/>
      <c r="F174" s="268"/>
      <c r="G174" s="415">
        <f>G176+G180</f>
        <v>2547488</v>
      </c>
      <c r="H174" s="415">
        <f t="shared" ref="H174" si="87">H176+H180</f>
        <v>2385520.21</v>
      </c>
      <c r="I174" s="415">
        <f>G174-H174</f>
        <v>161967.79000000004</v>
      </c>
      <c r="J174" s="582">
        <f t="shared" si="86"/>
        <v>93.642058765340593</v>
      </c>
    </row>
    <row r="175" spans="1:10" s="57" customFormat="1" x14ac:dyDescent="0.25">
      <c r="A175" s="332" t="str">
        <f>IF(B175&gt;0,VLOOKUP(B175,КВСР!A93:B1258,2),IF(C175&gt;0,VLOOKUP(C175,КФСР!A93:B1605,2),IF(D175&gt;0,VLOOKUP(D175,Программа!A$3:B$4973,2),IF(F175&gt;0,VLOOKUP(F175,КВР!A$1:B$5001,2),IF(E175&gt;0,VLOOKUP(E175,Направление!A$1:B$4591,2))))))</f>
        <v>Программные расходы бюджета</v>
      </c>
      <c r="B175" s="309"/>
      <c r="C175" s="310"/>
      <c r="D175" s="311" t="s">
        <v>776</v>
      </c>
      <c r="E175" s="310"/>
      <c r="F175" s="311"/>
      <c r="G175" s="416">
        <f>G176+G180</f>
        <v>2547488</v>
      </c>
      <c r="H175" s="416">
        <f t="shared" ref="H175" si="88">H176+H180</f>
        <v>2385520.21</v>
      </c>
      <c r="I175" s="416">
        <f t="shared" ref="I175:I183" si="89">G175-H175</f>
        <v>161967.79000000004</v>
      </c>
      <c r="J175" s="582">
        <f t="shared" si="86"/>
        <v>93.642058765340593</v>
      </c>
    </row>
    <row r="176" spans="1:10" s="57" customFormat="1" ht="63" x14ac:dyDescent="0.25">
      <c r="A176" s="329" t="str">
        <f>IF(B176&gt;0,VLOOKUP(B176,КВСР!A93:B1258,2),IF(C176&gt;0,VLOOKUP(C176,КФСР!A93:B1605,2),IF(D176&gt;0,VLOOKUP(D176,Программа!A$3:B$4973,2),IF(F176&gt;0,VLOOKUP(F176,КВР!A$1:B$5001,2),IF(E176&gt;0,VLOOKUP(E176,Направление!A$1:B$4591,2))))))</f>
        <v xml:space="preserve">Муниципальная программа "Предоставление молодым семьям социальных выплат на приобретение (строительство) жилья" </v>
      </c>
      <c r="B176" s="179"/>
      <c r="C176" s="180"/>
      <c r="D176" s="182" t="s">
        <v>266</v>
      </c>
      <c r="E176" s="180"/>
      <c r="F176" s="182"/>
      <c r="G176" s="139">
        <f>G177</f>
        <v>2347488</v>
      </c>
      <c r="H176" s="139">
        <f t="shared" ref="H176:H177" si="90">H177</f>
        <v>2320452.88</v>
      </c>
      <c r="I176" s="139">
        <f t="shared" si="89"/>
        <v>27035.120000000112</v>
      </c>
      <c r="J176" s="582">
        <f t="shared" si="86"/>
        <v>98.848338308864626</v>
      </c>
    </row>
    <row r="177" spans="1:10" s="57" customFormat="1" ht="63" x14ac:dyDescent="0.25">
      <c r="A177" s="329" t="str">
        <f>IF(B177&gt;0,VLOOKUP(B177,КВСР!A93:B1258,2),IF(C177&gt;0,VLOOKUP(C177,КФСР!A93:B1605,2),IF(D177&gt;0,VLOOKUP(D177,Программа!A$3:B$4973,2),IF(F177&gt;0,VLOOKUP(F177,КВР!A$1:B$5001,2),IF(E177&gt;0,VLOOKUP(E177,Направление!A$1:B$4591,2))))))</f>
        <v>Поддержка молодых семей в приобретении (строительстве) жилья на территории городского поселения Тутаев</v>
      </c>
      <c r="B177" s="179"/>
      <c r="C177" s="180"/>
      <c r="D177" s="182" t="s">
        <v>267</v>
      </c>
      <c r="E177" s="180"/>
      <c r="F177" s="182"/>
      <c r="G177" s="139">
        <f>G178</f>
        <v>2347488</v>
      </c>
      <c r="H177" s="139">
        <f t="shared" si="90"/>
        <v>2320452.88</v>
      </c>
      <c r="I177" s="139">
        <f t="shared" si="89"/>
        <v>27035.120000000112</v>
      </c>
      <c r="J177" s="582">
        <f t="shared" si="86"/>
        <v>98.848338308864626</v>
      </c>
    </row>
    <row r="178" spans="1:10" s="57" customFormat="1" ht="47.25" x14ac:dyDescent="0.25">
      <c r="A178" s="329" t="str">
        <f>IF(B178&gt;0,VLOOKUP(B178,КВСР!A94:B1259,2),IF(C178&gt;0,VLOOKUP(C178,КФСР!A94:B1606,2),IF(D178&gt;0,VLOOKUP(D178,Программа!A$3:B$4973,2),IF(F178&gt;0,VLOOKUP(F178,КВР!A$1:B$5001,2),IF(E178&gt;0,VLOOKUP(E178,Направление!A$1:B$4591,2))))))</f>
        <v>Обеспечение  мероприятий по поддержке молодых семей в приобретении (строительстве) жилья</v>
      </c>
      <c r="B178" s="179"/>
      <c r="C178" s="180"/>
      <c r="D178" s="182"/>
      <c r="E178" s="180" t="s">
        <v>620</v>
      </c>
      <c r="F178" s="182"/>
      <c r="G178" s="139">
        <f>G179</f>
        <v>2347488</v>
      </c>
      <c r="H178" s="139">
        <f>H179</f>
        <v>2320452.88</v>
      </c>
      <c r="I178" s="139">
        <f t="shared" si="89"/>
        <v>27035.120000000112</v>
      </c>
      <c r="J178" s="582">
        <f t="shared" si="86"/>
        <v>98.848338308864626</v>
      </c>
    </row>
    <row r="179" spans="1:10" s="57" customFormat="1" ht="31.5" x14ac:dyDescent="0.25">
      <c r="A179" s="329" t="str">
        <f>IF(B179&gt;0,VLOOKUP(B179,КВСР!A95:B1260,2),IF(C179&gt;0,VLOOKUP(C179,КФСР!A95:B1607,2),IF(D179&gt;0,VLOOKUP(D179,Программа!A$3:B$4973,2),IF(F179&gt;0,VLOOKUP(F179,КВР!A$1:B$5001,2),IF(E179&gt;0,VLOOKUP(E179,Направление!A$1:B$4591,2))))))</f>
        <v>Социальное обеспечение и иные выплаты населению</v>
      </c>
      <c r="B179" s="179"/>
      <c r="C179" s="180"/>
      <c r="D179" s="182"/>
      <c r="E179" s="180"/>
      <c r="F179" s="182">
        <v>300</v>
      </c>
      <c r="G179" s="410">
        <f>720000+907488+720000</f>
        <v>2347488</v>
      </c>
      <c r="H179" s="410">
        <f>897036.81+711708.04+711708.03</f>
        <v>2320452.88</v>
      </c>
      <c r="I179" s="410">
        <f t="shared" si="89"/>
        <v>27035.120000000112</v>
      </c>
      <c r="J179" s="582">
        <f t="shared" si="86"/>
        <v>98.848338308864626</v>
      </c>
    </row>
    <row r="180" spans="1:10" s="57" customFormat="1" ht="78.75" x14ac:dyDescent="0.25">
      <c r="A180" s="329" t="str">
        <f>IF(B180&gt;0,VLOOKUP(B180,КВСР!A96:B1261,2),IF(C180&gt;0,VLOOKUP(C180,КФСР!A96:B1608,2),IF(D180&gt;0,VLOOKUP(D180,Программа!A$3:B$4973,2),IF(F180&gt;0,VLOOKUP(F180,КВР!A$1:B$5001,2),IF(E180&gt;0,VLOOKUP(E180,Направление!A$1:B$4591,2))))))</f>
        <v xml:space="preserve">Муниципальная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v>
      </c>
      <c r="B180" s="179"/>
      <c r="C180" s="180"/>
      <c r="D180" s="182" t="s">
        <v>268</v>
      </c>
      <c r="E180" s="180"/>
      <c r="F180" s="182"/>
      <c r="G180" s="139">
        <f>G181</f>
        <v>200000</v>
      </c>
      <c r="H180" s="139">
        <f t="shared" ref="H180:H182" si="91">H181</f>
        <v>65067.33</v>
      </c>
      <c r="I180" s="139">
        <f t="shared" si="89"/>
        <v>134932.66999999998</v>
      </c>
      <c r="J180" s="582">
        <f t="shared" si="86"/>
        <v>32.533664999999999</v>
      </c>
    </row>
    <row r="181" spans="1:10" s="57" customFormat="1" ht="63" x14ac:dyDescent="0.25">
      <c r="A181" s="329" t="str">
        <f>IF(B181&gt;0,VLOOKUP(B181,КВСР!A97:B1262,2),IF(C181&gt;0,VLOOKUP(C181,КФСР!A97:B1609,2),IF(D181&gt;0,VLOOKUP(D181,Программа!A$3:B$4973,2),IF(F181&gt;0,VLOOKUP(F181,КВР!A$1:B$5001,2),IF(E181&gt;0,VLOOKUP(E181,Направление!A$1:B$4591,2))))))</f>
        <v xml:space="preserve">Поддержка граждан, проживающих на территории городского поселения Тутаев, в сфере ипотечного жилищного кредитования </v>
      </c>
      <c r="B181" s="179"/>
      <c r="C181" s="180"/>
      <c r="D181" s="182" t="s">
        <v>617</v>
      </c>
      <c r="E181" s="180"/>
      <c r="F181" s="182"/>
      <c r="G181" s="139">
        <f>G182</f>
        <v>200000</v>
      </c>
      <c r="H181" s="139">
        <f t="shared" si="91"/>
        <v>65067.33</v>
      </c>
      <c r="I181" s="139">
        <f t="shared" si="89"/>
        <v>134932.66999999998</v>
      </c>
      <c r="J181" s="582">
        <f t="shared" si="86"/>
        <v>32.533664999999999</v>
      </c>
    </row>
    <row r="182" spans="1:10" s="57" customFormat="1" ht="63" x14ac:dyDescent="0.25">
      <c r="A182" s="329" t="str">
        <f>IF(B182&gt;0,VLOOKUP(B182,КВСР!A98:B1263,2),IF(C182&gt;0,VLOOKUP(C182,КФСР!A98:B1610,2),IF(D182&gt;0,VLOOKUP(D182,Программа!A$3:B$4973,2),IF(F182&gt;0,VLOOKUP(F182,КВР!A$1:B$5001,2),IF(E182&gt;0,VLOOKUP(E182,Направление!A$1:B$4591,2))))))</f>
        <v>Межбюджетные трансферты на обеспечение софинансирования мероприятий в сфере ипотечного кредитования</v>
      </c>
      <c r="B182" s="179"/>
      <c r="C182" s="180"/>
      <c r="D182" s="182"/>
      <c r="E182" s="180">
        <v>21236</v>
      </c>
      <c r="F182" s="182"/>
      <c r="G182" s="139">
        <f>G183</f>
        <v>200000</v>
      </c>
      <c r="H182" s="139">
        <f t="shared" si="91"/>
        <v>65067.33</v>
      </c>
      <c r="I182" s="139">
        <f t="shared" si="89"/>
        <v>134932.66999999998</v>
      </c>
      <c r="J182" s="582">
        <f t="shared" si="86"/>
        <v>32.533664999999999</v>
      </c>
    </row>
    <row r="183" spans="1:10" s="57" customFormat="1" ht="31.5" x14ac:dyDescent="0.25">
      <c r="A183" s="329" t="str">
        <f>IF(B183&gt;0,VLOOKUP(B183,КВСР!A99:B1264,2),IF(C183&gt;0,VLOOKUP(C183,КФСР!A99:B1611,2),IF(D183&gt;0,VLOOKUP(D183,Программа!A$3:B$4973,2),IF(F183&gt;0,VLOOKUP(F183,КВР!A$1:B$5001,2),IF(E183&gt;0,VLOOKUP(E183,Направление!A$1:B$4591,2))))))</f>
        <v>Социальное обеспечение и иные выплаты населению</v>
      </c>
      <c r="B183" s="179"/>
      <c r="C183" s="180"/>
      <c r="D183" s="182"/>
      <c r="E183" s="180"/>
      <c r="F183" s="182">
        <v>300</v>
      </c>
      <c r="G183" s="410">
        <f>100000+100000</f>
        <v>200000</v>
      </c>
      <c r="H183" s="410">
        <f>32533.69+32533.64</f>
        <v>65067.33</v>
      </c>
      <c r="I183" s="410">
        <f t="shared" si="89"/>
        <v>134932.66999999998</v>
      </c>
      <c r="J183" s="582">
        <f t="shared" si="86"/>
        <v>32.533664999999999</v>
      </c>
    </row>
    <row r="184" spans="1:10" s="57" customFormat="1" ht="47.25" x14ac:dyDescent="0.25">
      <c r="A184" s="330" t="str">
        <f>IF(B184&gt;0,VLOOKUP(B184,КВСР!A100:B1265,2),IF(C184&gt;0,VLOOKUP(C184,КФСР!A100:B1612,2),IF(D184&gt;0,VLOOKUP(D184,Программа!A$3:B$4973,2),IF(F184&gt;0,VLOOKUP(F184,КВР!A$1:B$5001,2),IF(E184&gt;0,VLOOKUP(E184,Направление!A$1:B$4591,2))))))</f>
        <v>Обслуживание внутреннего государственного и муниципального долга</v>
      </c>
      <c r="B184" s="183"/>
      <c r="C184" s="184">
        <v>1301</v>
      </c>
      <c r="D184" s="186"/>
      <c r="E184" s="184"/>
      <c r="F184" s="186"/>
      <c r="G184" s="145">
        <f>G185</f>
        <v>1840000</v>
      </c>
      <c r="H184" s="145">
        <f t="shared" ref="H184:H185" si="92">H185</f>
        <v>576109.59</v>
      </c>
      <c r="I184" s="145">
        <f>G184-H184</f>
        <v>1263890.4100000001</v>
      </c>
      <c r="J184" s="582">
        <f t="shared" si="86"/>
        <v>31.310303804347821</v>
      </c>
    </row>
    <row r="185" spans="1:10" s="57" customFormat="1" hidden="1" x14ac:dyDescent="0.25">
      <c r="A185" s="329" t="str">
        <f>IF(B185&gt;0,VLOOKUP(B185,КВСР!A101:B1266,2),IF(C185&gt;0,VLOOKUP(C185,КФСР!A101:B1613,2),IF(D185&gt;0,VLOOKUP(D185,Программа!A$3:B$4973,2),IF(F185&gt;0,VLOOKUP(F185,КВР!A$1:B$5001,2),IF(E185&gt;0,VLOOKUP(E185,Направление!A$1:B$4591,2))))))</f>
        <v>Непрограммные расходы бюджета</v>
      </c>
      <c r="B185" s="179"/>
      <c r="C185" s="180"/>
      <c r="D185" s="182" t="s">
        <v>618</v>
      </c>
      <c r="E185" s="180"/>
      <c r="F185" s="182"/>
      <c r="G185" s="139">
        <f>G186</f>
        <v>1840000</v>
      </c>
      <c r="H185" s="139">
        <f t="shared" si="92"/>
        <v>576109.59</v>
      </c>
      <c r="I185" s="139">
        <f t="shared" ref="I185:I187" si="93">G185-H185</f>
        <v>1263890.4100000001</v>
      </c>
    </row>
    <row r="186" spans="1:10" s="57" customFormat="1" ht="31.5" x14ac:dyDescent="0.25">
      <c r="A186" s="329" t="str">
        <f>IF(B186&gt;0,VLOOKUP(B186,КВСР!A102:B1267,2),IF(C186&gt;0,VLOOKUP(C186,КФСР!A102:B1614,2),IF(D186&gt;0,VLOOKUP(D186,Программа!A$3:B$4973,2),IF(F186&gt;0,VLOOKUP(F186,КВР!A$1:B$5001,2),IF(E186&gt;0,VLOOKUP(E186,Направление!A$1:B$4591,2))))))</f>
        <v>Обслуживание внутренних долговых обязательств</v>
      </c>
      <c r="B186" s="179"/>
      <c r="C186" s="180"/>
      <c r="D186" s="182"/>
      <c r="E186" s="180">
        <v>20050</v>
      </c>
      <c r="F186" s="182"/>
      <c r="G186" s="139">
        <f>G187</f>
        <v>1840000</v>
      </c>
      <c r="H186" s="139">
        <f>H187</f>
        <v>576109.59</v>
      </c>
      <c r="I186" s="139">
        <f t="shared" si="93"/>
        <v>1263890.4100000001</v>
      </c>
      <c r="J186" s="582">
        <f t="shared" ref="J186:J189" si="94">H186/G186*100</f>
        <v>31.310303804347821</v>
      </c>
    </row>
    <row r="187" spans="1:10" s="57" customFormat="1" ht="31.5" x14ac:dyDescent="0.25">
      <c r="A187" s="329" t="str">
        <f>IF(B187&gt;0,VLOOKUP(B187,КВСР!A103:B1268,2),IF(C187&gt;0,VLOOKUP(C187,КФСР!A103:B1615,2),IF(D187&gt;0,VLOOKUP(D187,Программа!A$3:B$4973,2),IF(F187&gt;0,VLOOKUP(F187,КВР!A$1:B$5001,2),IF(E187&gt;0,VLOOKUP(E187,Направление!A$1:B$4591,2))))))</f>
        <v>Обслуживание государственного долга Российской Федерации</v>
      </c>
      <c r="B187" s="179"/>
      <c r="C187" s="180"/>
      <c r="D187" s="182"/>
      <c r="E187" s="180"/>
      <c r="F187" s="182">
        <v>700</v>
      </c>
      <c r="G187" s="410">
        <v>1840000</v>
      </c>
      <c r="H187" s="410">
        <v>576109.59</v>
      </c>
      <c r="I187" s="410">
        <f t="shared" si="93"/>
        <v>1263890.4100000001</v>
      </c>
      <c r="J187" s="582">
        <f t="shared" si="94"/>
        <v>31.310303804347821</v>
      </c>
    </row>
    <row r="188" spans="1:10" s="57" customFormat="1" ht="31.5" x14ac:dyDescent="0.25">
      <c r="A188" s="326" t="str">
        <f>IF(B188&gt;0,VLOOKUP(B188,КВСР!A95:B1260,2),IF(C188&gt;0,VLOOKUP(C188,КФСР!A95:B1607,2),IF(D188&gt;0,VLOOKUP(D188,Программа!A$3:B$4973,2),IF(F188&gt;0,VLOOKUP(F188,КВР!A$1:B$5001,2),IF(E188&gt;0,VLOOKUP(E188,Направление!A$1:B$4591,2))))))</f>
        <v>Муниципальный Совет городского поселения Тутаев</v>
      </c>
      <c r="B188" s="255">
        <v>993</v>
      </c>
      <c r="C188" s="260"/>
      <c r="D188" s="261"/>
      <c r="E188" s="260"/>
      <c r="F188" s="261"/>
      <c r="G188" s="417">
        <f>G189</f>
        <v>985756</v>
      </c>
      <c r="H188" s="417">
        <f t="shared" ref="H188:H191" si="95">H189</f>
        <v>581063.44999999995</v>
      </c>
      <c r="I188" s="417">
        <f>I189</f>
        <v>404692.55000000005</v>
      </c>
      <c r="J188" s="582">
        <f t="shared" si="94"/>
        <v>58.945971416861774</v>
      </c>
    </row>
    <row r="189" spans="1:10" s="57" customFormat="1" ht="94.5" x14ac:dyDescent="0.25">
      <c r="A189" s="330" t="str">
        <f>IF(B189&gt;0,VLOOKUP(B189,КВСР!A106:B1271,2),IF(C189&gt;0,VLOOKUP(C189,КФСР!A106:B1618,2),IF(D189&gt;0,VLOOKUP(D189,Программа!A$3:B$4973,2),IF(F189&gt;0,VLOOKUP(F189,КВР!A$1:B$5001,2),IF(E189&gt;0,VLOOKUP(E189,Направление!A$1:B$4591,2))))))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89" s="183"/>
      <c r="C189" s="184">
        <v>103</v>
      </c>
      <c r="D189" s="185"/>
      <c r="E189" s="184"/>
      <c r="F189" s="186"/>
      <c r="G189" s="270">
        <f>G190</f>
        <v>985756</v>
      </c>
      <c r="H189" s="270">
        <f t="shared" si="95"/>
        <v>581063.44999999995</v>
      </c>
      <c r="I189" s="270">
        <f>G189-H189</f>
        <v>404692.55000000005</v>
      </c>
      <c r="J189" s="582">
        <f t="shared" si="94"/>
        <v>58.945971416861774</v>
      </c>
    </row>
    <row r="190" spans="1:10" s="57" customFormat="1" hidden="1" x14ac:dyDescent="0.25">
      <c r="A190" s="329" t="str">
        <f>IF(B190&gt;0,VLOOKUP(B190,КВСР!A107:B1272,2),IF(C190&gt;0,VLOOKUP(C190,КФСР!A107:B1619,2),IF(D190&gt;0,VLOOKUP(D190,Программа!A$3:B$4973,2),IF(F190&gt;0,VLOOKUP(F190,КВР!A$1:B$5001,2),IF(E190&gt;0,VLOOKUP(E190,Направление!A$1:B$4591,2))))))</f>
        <v>Непрограммные расходы бюджета</v>
      </c>
      <c r="B190" s="179"/>
      <c r="C190" s="180"/>
      <c r="D190" s="181" t="s">
        <v>618</v>
      </c>
      <c r="E190" s="180"/>
      <c r="F190" s="182"/>
      <c r="G190" s="140">
        <f>G191</f>
        <v>985756</v>
      </c>
      <c r="H190" s="140">
        <f t="shared" si="95"/>
        <v>581063.44999999995</v>
      </c>
      <c r="I190" s="140">
        <f t="shared" ref="I190:I192" si="96">G190-H190</f>
        <v>404692.55000000005</v>
      </c>
    </row>
    <row r="191" spans="1:10" s="57" customFormat="1" ht="47.25" x14ac:dyDescent="0.25">
      <c r="A191" s="329" t="str">
        <f>IF(B191&gt;0,VLOOKUP(B191,КВСР!A108:B1273,2),IF(C191&gt;0,VLOOKUP(C191,КФСР!A108:B1620,2),IF(D191&gt;0,VLOOKUP(D191,Программа!A$3:B$4973,2),IF(F191&gt;0,VLOOKUP(F191,КВР!A$1:B$5001,2),IF(E191&gt;0,VLOOKUP(E191,Направление!A$1:B$4591,2))))))</f>
        <v>Содержание Председателя Муниципального Совета городского поселения Тутаев</v>
      </c>
      <c r="B191" s="179"/>
      <c r="C191" s="180"/>
      <c r="D191" s="181"/>
      <c r="E191" s="180">
        <v>20010</v>
      </c>
      <c r="F191" s="182"/>
      <c r="G191" s="140">
        <f>G192</f>
        <v>985756</v>
      </c>
      <c r="H191" s="140">
        <f t="shared" si="95"/>
        <v>581063.44999999995</v>
      </c>
      <c r="I191" s="140">
        <f t="shared" si="96"/>
        <v>404692.55000000005</v>
      </c>
      <c r="J191" s="582">
        <f t="shared" ref="J191:J193" si="97">H191/G191*100</f>
        <v>58.945971416861774</v>
      </c>
    </row>
    <row r="192" spans="1:10" s="57" customFormat="1" ht="126" x14ac:dyDescent="0.25">
      <c r="A192" s="329" t="str">
        <f>IF(B192&gt;0,VLOOKUP(B192,КВСР!A109:B1274,2),IF(C192&gt;0,VLOOKUP(C192,КФСР!A109:B1621,2),IF(D192&gt;0,VLOOKUP(D192,Программа!A$3:B$4973,2),IF(F192&gt;0,VLOOKUP(F192,КВР!A$1:B$5001,2),IF(E192&gt;0,VLOOKUP(E192,Направление!A$1:B$4591,2))))))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2" s="179"/>
      <c r="C192" s="180"/>
      <c r="D192" s="181"/>
      <c r="E192" s="180"/>
      <c r="F192" s="182">
        <v>100</v>
      </c>
      <c r="G192" s="410">
        <v>985756</v>
      </c>
      <c r="H192" s="410">
        <v>581063.44999999995</v>
      </c>
      <c r="I192" s="410">
        <f t="shared" si="96"/>
        <v>404692.55000000005</v>
      </c>
      <c r="J192" s="582">
        <f t="shared" si="97"/>
        <v>58.945971416861774</v>
      </c>
    </row>
    <row r="193" spans="1:10" x14ac:dyDescent="0.25">
      <c r="A193" s="333" t="s">
        <v>69</v>
      </c>
      <c r="B193" s="262"/>
      <c r="C193" s="262"/>
      <c r="D193" s="263"/>
      <c r="E193" s="264"/>
      <c r="F193" s="262"/>
      <c r="G193" s="265">
        <f>G10+G188</f>
        <v>253792578</v>
      </c>
      <c r="H193" s="265">
        <f>H10+H188</f>
        <v>59114471.110000014</v>
      </c>
      <c r="I193" s="265">
        <f>I10+I188</f>
        <v>194678106.89000002</v>
      </c>
      <c r="J193" s="582">
        <f t="shared" si="97"/>
        <v>23.292434938739625</v>
      </c>
    </row>
    <row r="194" spans="1:10" hidden="1" x14ac:dyDescent="0.25">
      <c r="J194" s="53"/>
    </row>
    <row r="195" spans="1:10" hidden="1" x14ac:dyDescent="0.25">
      <c r="J195" s="53"/>
    </row>
    <row r="197" spans="1:10" x14ac:dyDescent="0.25">
      <c r="G197" s="340"/>
    </row>
  </sheetData>
  <autoFilter ref="A8:I193">
    <filterColumn colId="3" showButton="0">
      <filters blank="1">
        <filter val="00.0.00"/>
        <filter val="01.0.00"/>
        <filter val="01.0.01"/>
        <filter val="01.0.03"/>
        <filter val="01.0.F2"/>
        <filter val="02.0.00"/>
        <filter val="02.0.01"/>
        <filter val="02.0.02"/>
        <filter val="02.0.03"/>
        <filter val="03.0.00"/>
        <filter val="03.0.01"/>
        <filter val="03.0.02"/>
        <filter val="04.0.00"/>
        <filter val="04.0.01"/>
        <filter val="05.0.00"/>
        <filter val="05.0.01"/>
        <filter val="06.0.00"/>
        <filter val="06.0.01"/>
        <filter val="07.0.00"/>
        <filter val="07.0.01"/>
        <filter val="08.0.00"/>
        <filter val="08.0.01"/>
        <filter val="09.0.00"/>
        <filter val="09.0.01"/>
        <filter val="09.0.02"/>
        <filter val="10.0.00"/>
        <filter val="10.0.01"/>
        <filter val="10.0.02"/>
        <filter val="Пр-ма"/>
      </filters>
    </filterColumn>
    <filterColumn colId="7">
      <filters blank="1">
        <filter val="1 072 144"/>
        <filter val="1 323 863"/>
        <filter val="1 509 982"/>
        <filter val="1 790 441"/>
        <filter val="1 870 324"/>
        <filter val="1 920 572"/>
        <filter val="11 242 863"/>
        <filter val="123 189"/>
        <filter val="164 315"/>
        <filter val="17 497 191"/>
        <filter val="17 732 986"/>
        <filter val="17 815 059"/>
        <filter val="17 897 301"/>
        <filter val="2 209 324"/>
        <filter val="2 320 453"/>
        <filter val="2 385 520"/>
        <filter val="23 000"/>
        <filter val="24 973"/>
        <filter val="26 548"/>
        <filter val="29 300"/>
        <filter val="3 114 303"/>
        <filter val="317 868"/>
        <filter val="318 671"/>
        <filter val="339 000"/>
        <filter val="350 000"/>
        <filter val="395 565"/>
        <filter val="42 125"/>
        <filter val="420 795"/>
        <filter val="550 193"/>
        <filter val="565 200"/>
        <filter val="576 110"/>
        <filter val="58 533 408"/>
        <filter val="581 063"/>
        <filter val="59 114 471"/>
        <filter val="6 470 242"/>
        <filter val="65 067"/>
        <filter val="8 340 540"/>
        <filter val="8 393 120"/>
        <filter val="8 685 581"/>
        <filter val="8 764 700"/>
        <filter val="862 500"/>
        <filter val="877 026"/>
        <filter val="960 765"/>
      </filters>
    </filterColumn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rintOptions gridLinesSet="0"/>
  <pageMargins left="0.70866141732283472" right="0.70866141732283472" top="0.74803149606299213" bottom="0.74803149606299213" header="0.51181102362204722" footer="0.51181102362204722"/>
  <pageSetup paperSize="9" scale="86" fitToHeight="15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showGridLines="0" view="pageBreakPreview" zoomScaleSheetLayoutView="100" workbookViewId="0">
      <selection activeCell="A6" sqref="A6:L6"/>
    </sheetView>
  </sheetViews>
  <sheetFormatPr defaultColWidth="9.140625" defaultRowHeight="12.75" x14ac:dyDescent="0.2"/>
  <cols>
    <col min="1" max="1" width="40.5703125" style="320" customWidth="1"/>
    <col min="2" max="2" width="7.5703125" style="321" customWidth="1"/>
    <col min="3" max="3" width="6.85546875" style="321" customWidth="1"/>
    <col min="4" max="4" width="12" style="354" customWidth="1"/>
    <col min="5" max="5" width="7.5703125" style="355" bestFit="1" customWidth="1"/>
    <col min="6" max="6" width="7" style="321" customWidth="1"/>
    <col min="7" max="7" width="14.28515625" style="353" hidden="1" customWidth="1"/>
    <col min="8" max="8" width="15.85546875" style="321" hidden="1" customWidth="1"/>
    <col min="9" max="9" width="15.42578125" style="321" customWidth="1"/>
    <col min="10" max="10" width="14.140625" style="353" hidden="1" customWidth="1"/>
    <col min="11" max="11" width="14.140625" style="8" hidden="1" customWidth="1"/>
    <col min="12" max="12" width="14.140625" style="8" customWidth="1"/>
    <col min="13" max="14" width="9.140625" style="8" customWidth="1"/>
    <col min="15" max="16384" width="9.140625" style="8"/>
  </cols>
  <sheetData>
    <row r="1" spans="1:12" ht="15.75" x14ac:dyDescent="0.25">
      <c r="A1" s="605" t="s">
        <v>227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</row>
    <row r="2" spans="1:12" ht="15.75" x14ac:dyDescent="0.25">
      <c r="A2" s="605" t="s">
        <v>594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</row>
    <row r="3" spans="1:12" ht="15.75" x14ac:dyDescent="0.25">
      <c r="A3" s="605" t="s">
        <v>584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</row>
    <row r="4" spans="1:12" ht="15.75" x14ac:dyDescent="0.25">
      <c r="A4" s="605" t="s">
        <v>900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</row>
    <row r="5" spans="1:12" ht="15.75" x14ac:dyDescent="0.2">
      <c r="A5" s="341"/>
      <c r="B5" s="334"/>
      <c r="C5" s="334"/>
      <c r="D5" s="335"/>
      <c r="E5" s="336"/>
      <c r="F5" s="334"/>
      <c r="G5" s="613"/>
      <c r="H5" s="613"/>
      <c r="I5" s="613"/>
      <c r="J5" s="613"/>
      <c r="K5" s="613"/>
      <c r="L5" s="613"/>
    </row>
    <row r="6" spans="1:12" ht="51.6" customHeight="1" x14ac:dyDescent="0.3">
      <c r="A6" s="704" t="s">
        <v>605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</row>
    <row r="7" spans="1:12" ht="24.75" customHeight="1" x14ac:dyDescent="0.2">
      <c r="A7" s="342"/>
      <c r="B7" s="334"/>
      <c r="C7" s="334"/>
      <c r="D7" s="335"/>
      <c r="E7" s="336"/>
      <c r="F7" s="334"/>
      <c r="G7" s="701"/>
      <c r="H7" s="701"/>
      <c r="I7" s="701"/>
      <c r="J7" s="701"/>
      <c r="K7" s="701"/>
      <c r="L7" s="701"/>
    </row>
    <row r="8" spans="1:12" x14ac:dyDescent="0.2">
      <c r="A8" s="695" t="s">
        <v>76</v>
      </c>
      <c r="B8" s="699" t="s">
        <v>240</v>
      </c>
      <c r="C8" s="699" t="s">
        <v>241</v>
      </c>
      <c r="D8" s="700" t="s">
        <v>242</v>
      </c>
      <c r="E8" s="700"/>
      <c r="F8" s="699" t="s">
        <v>243</v>
      </c>
      <c r="G8" s="702" t="s">
        <v>821</v>
      </c>
      <c r="H8" s="695" t="s">
        <v>285</v>
      </c>
      <c r="I8" s="695" t="s">
        <v>821</v>
      </c>
      <c r="J8" s="702" t="s">
        <v>823</v>
      </c>
      <c r="K8" s="695" t="s">
        <v>285</v>
      </c>
      <c r="L8" s="695" t="s">
        <v>823</v>
      </c>
    </row>
    <row r="9" spans="1:12" ht="35.25" customHeight="1" x14ac:dyDescent="0.2">
      <c r="A9" s="695"/>
      <c r="B9" s="699"/>
      <c r="C9" s="699"/>
      <c r="D9" s="55" t="s">
        <v>244</v>
      </c>
      <c r="E9" s="56" t="s">
        <v>245</v>
      </c>
      <c r="F9" s="699"/>
      <c r="G9" s="703"/>
      <c r="H9" s="696"/>
      <c r="I9" s="696"/>
      <c r="J9" s="703"/>
      <c r="K9" s="696"/>
      <c r="L9" s="696"/>
    </row>
    <row r="10" spans="1:12" ht="31.5" x14ac:dyDescent="0.2">
      <c r="A10" s="326" t="str">
        <f>IF(B10&gt;0,VLOOKUP(B10,КВСР!A1:B1166,2),IF(C10&gt;0,VLOOKUP(C10,КФСР!A1:B1513,2),IF(D10&gt;0,VLOOKUP(D10,Программа!A$3:B$4973,2),IF(F10&gt;0,VLOOKUP(F10,КВР!A$1:B$5001,2),IF(E10&gt;0,VLOOKUP(E10,Направление!A$1:B$4591,2))))))</f>
        <v>Администрация Тутаевского муниципального района</v>
      </c>
      <c r="B10" s="255">
        <v>950</v>
      </c>
      <c r="C10" s="260"/>
      <c r="D10" s="279"/>
      <c r="E10" s="260"/>
      <c r="F10" s="261"/>
      <c r="G10" s="259">
        <f t="shared" ref="G10:L10" si="0">G11+G15+G29+G33+G37+G43+G63+G67+G73+G78+G99+G103+G107+G112</f>
        <v>106349069</v>
      </c>
      <c r="H10" s="259">
        <f t="shared" si="0"/>
        <v>0</v>
      </c>
      <c r="I10" s="259">
        <f t="shared" si="0"/>
        <v>141349069</v>
      </c>
      <c r="J10" s="259">
        <f t="shared" si="0"/>
        <v>140307794</v>
      </c>
      <c r="K10" s="259">
        <f t="shared" si="0"/>
        <v>0</v>
      </c>
      <c r="L10" s="259">
        <f t="shared" si="0"/>
        <v>140307794</v>
      </c>
    </row>
    <row r="11" spans="1:12" ht="78.75" x14ac:dyDescent="0.2">
      <c r="A11" s="343" t="str">
        <f>IF(B11&gt;0,VLOOKUP(B11,КВСР!A2:B1167,2),IF(C11&gt;0,VLOOKUP(C11,КФСР!A2:B1514,2),IF(D11&gt;0,VLOOKUP(D11,Программа!A$3:B$4973,2),IF(F11&gt;0,VLOOKUP(F11,КВР!A$1:B$5001,2),IF(E11&gt;0,VLOOKUP(E11,Направление!A$1:B$4591,2))))))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" s="304"/>
      <c r="C11" s="305">
        <v>106</v>
      </c>
      <c r="D11" s="300"/>
      <c r="E11" s="299"/>
      <c r="F11" s="306"/>
      <c r="G11" s="451">
        <f>G12</f>
        <v>53095</v>
      </c>
      <c r="H11" s="451">
        <f t="shared" ref="H11:I13" si="1">H12</f>
        <v>0</v>
      </c>
      <c r="I11" s="451">
        <f t="shared" si="1"/>
        <v>53095</v>
      </c>
      <c r="J11" s="451">
        <f t="shared" ref="J11:L13" si="2">J12</f>
        <v>53095</v>
      </c>
      <c r="K11" s="451">
        <f t="shared" si="2"/>
        <v>0</v>
      </c>
      <c r="L11" s="451">
        <f t="shared" si="2"/>
        <v>53095</v>
      </c>
    </row>
    <row r="12" spans="1:12" ht="15.75" x14ac:dyDescent="0.2">
      <c r="A12" s="328" t="str">
        <f>IF(B12&gt;0,VLOOKUP(B12,КВСР!A3:B1168,2),IF(C12&gt;0,VLOOKUP(C12,КФСР!A3:B1515,2),IF(D12&gt;0,VLOOKUP(D12,Программа!A$3:B$4973,2),IF(F12&gt;0,VLOOKUP(F12,КВР!A$1:B$5001,2),IF(E12&gt;0,VLOOKUP(E12,Направление!A$1:B$4591,2))))))</f>
        <v>Непрограммные расходы бюджета</v>
      </c>
      <c r="B12" s="298"/>
      <c r="C12" s="299"/>
      <c r="D12" s="300" t="s">
        <v>618</v>
      </c>
      <c r="E12" s="299"/>
      <c r="F12" s="301"/>
      <c r="G12" s="407">
        <f>G13</f>
        <v>53095</v>
      </c>
      <c r="H12" s="407">
        <f t="shared" si="1"/>
        <v>0</v>
      </c>
      <c r="I12" s="407">
        <f t="shared" si="1"/>
        <v>53095</v>
      </c>
      <c r="J12" s="407">
        <f t="shared" si="2"/>
        <v>53095</v>
      </c>
      <c r="K12" s="407">
        <f t="shared" si="2"/>
        <v>0</v>
      </c>
      <c r="L12" s="407">
        <f t="shared" si="2"/>
        <v>53095</v>
      </c>
    </row>
    <row r="13" spans="1:12" ht="63" x14ac:dyDescent="0.2">
      <c r="A13" s="329" t="str">
        <f>IF(B13&gt;0,VLOOKUP(B13,КВСР!A4:B1169,2),IF(C13&gt;0,VLOOKUP(C13,КФСР!A4:B1516,2),IF(D13&gt;0,VLOOKUP(D13,Программа!A$3:B$4973,2),IF(F13&gt;0,VLOOKUP(F13,КВР!A$1:B$5001,2),IF(E13&gt;0,VLOOKUP(E13,Направление!A$1:B$4591,2))))))</f>
        <v>Межбюджетные трансферты на обеспечение мероприятий по осуществлению внешнего муниципального контроля</v>
      </c>
      <c r="B13" s="210"/>
      <c r="C13" s="211"/>
      <c r="D13" s="269"/>
      <c r="E13" s="211">
        <v>29386</v>
      </c>
      <c r="F13" s="212"/>
      <c r="G13" s="117">
        <f>G14</f>
        <v>53095</v>
      </c>
      <c r="H13" s="117">
        <f t="shared" si="1"/>
        <v>0</v>
      </c>
      <c r="I13" s="117">
        <f t="shared" si="1"/>
        <v>53095</v>
      </c>
      <c r="J13" s="117">
        <f t="shared" si="2"/>
        <v>53095</v>
      </c>
      <c r="K13" s="117">
        <f t="shared" si="2"/>
        <v>0</v>
      </c>
      <c r="L13" s="117">
        <f t="shared" si="2"/>
        <v>53095</v>
      </c>
    </row>
    <row r="14" spans="1:12" ht="15.75" x14ac:dyDescent="0.2">
      <c r="A14" s="329" t="str">
        <f>IF(B14&gt;0,VLOOKUP(B14,КВСР!A5:B1170,2),IF(C14&gt;0,VLOOKUP(C14,КФСР!A5:B1517,2),IF(D14&gt;0,VLOOKUP(D14,Программа!A$3:B$4973,2),IF(F14&gt;0,VLOOKUP(F14,КВР!A$1:B$5001,2),IF(E14&gt;0,VLOOKUP(E14,Направление!A$1:B$4591,2))))))</f>
        <v xml:space="preserve"> Межбюджетные трансферты</v>
      </c>
      <c r="B14" s="210"/>
      <c r="C14" s="211"/>
      <c r="D14" s="269"/>
      <c r="E14" s="211"/>
      <c r="F14" s="212">
        <v>500</v>
      </c>
      <c r="G14" s="291">
        <v>53095</v>
      </c>
      <c r="H14" s="291"/>
      <c r="I14" s="292">
        <f>G14+H14</f>
        <v>53095</v>
      </c>
      <c r="J14" s="291">
        <v>53095</v>
      </c>
      <c r="K14" s="291"/>
      <c r="L14" s="292">
        <f>J14+K14</f>
        <v>53095</v>
      </c>
    </row>
    <row r="15" spans="1:12" ht="31.5" x14ac:dyDescent="0.2">
      <c r="A15" s="330" t="str">
        <f>IF(B15&gt;0,VLOOKUP(B15,КВСР!A6:B1171,2),IF(C15&gt;0,VLOOKUP(C15,КФСР!A6:B1518,2),IF(D15&gt;0,VLOOKUP(D15,Программа!A$3:B$4973,2),IF(F15&gt;0,VLOOKUP(F15,КВР!A$1:B$5001,2),IF(E15&gt;0,VLOOKUP(E15,Направление!A$1:B$4591,2))))))</f>
        <v>Другие общегосударственные вопросы</v>
      </c>
      <c r="B15" s="183"/>
      <c r="C15" s="184">
        <v>113</v>
      </c>
      <c r="D15" s="269"/>
      <c r="E15" s="211"/>
      <c r="F15" s="212"/>
      <c r="G15" s="145">
        <f>G16</f>
        <v>18923407</v>
      </c>
      <c r="H15" s="145">
        <f t="shared" ref="H15:I15" si="3">H16</f>
        <v>0</v>
      </c>
      <c r="I15" s="145">
        <f t="shared" si="3"/>
        <v>18923407</v>
      </c>
      <c r="J15" s="145">
        <f t="shared" ref="J15:L15" si="4">J16</f>
        <v>17751081</v>
      </c>
      <c r="K15" s="145">
        <f t="shared" si="4"/>
        <v>0</v>
      </c>
      <c r="L15" s="145">
        <f t="shared" si="4"/>
        <v>17751081</v>
      </c>
    </row>
    <row r="16" spans="1:12" ht="15.75" x14ac:dyDescent="0.2">
      <c r="A16" s="328" t="str">
        <f>IF(B16&gt;0,VLOOKUP(B16,КВСР!A7:B1172,2),IF(C16&gt;0,VLOOKUP(C16,КФСР!A7:B1519,2),IF(D16&gt;0,VLOOKUP(D16,Программа!A$3:B$4973,2),IF(F16&gt;0,VLOOKUP(F16,КВР!A$1:B$5001,2),IF(E16&gt;0,VLOOKUP(E16,Направление!A$1:B$4591,2))))))</f>
        <v>Непрограммные расходы бюджета</v>
      </c>
      <c r="B16" s="298"/>
      <c r="C16" s="299"/>
      <c r="D16" s="300" t="s">
        <v>618</v>
      </c>
      <c r="E16" s="299"/>
      <c r="F16" s="301"/>
      <c r="G16" s="407">
        <f>G17+G23+G25+G27+G19+G21</f>
        <v>18923407</v>
      </c>
      <c r="H16" s="407">
        <f t="shared" ref="H16:I16" si="5">H17+H23+H25+H27+H19+H21</f>
        <v>0</v>
      </c>
      <c r="I16" s="407">
        <f t="shared" si="5"/>
        <v>18923407</v>
      </c>
      <c r="J16" s="407">
        <f>J17+J23+J25+J27+J19+J21</f>
        <v>17751081</v>
      </c>
      <c r="K16" s="407">
        <f t="shared" ref="K16:L16" si="6">K17+K23+K25+K27+K19+K21</f>
        <v>0</v>
      </c>
      <c r="L16" s="407">
        <f t="shared" si="6"/>
        <v>17751081</v>
      </c>
    </row>
    <row r="17" spans="1:12" ht="47.25" x14ac:dyDescent="0.2">
      <c r="A17" s="329" t="str">
        <f>IF(B17&gt;0,VLOOKUP(B17,КВСР!A8:B1173,2),IF(C17&gt;0,VLOOKUP(C17,КФСР!A8:B1520,2),IF(D17&gt;0,VLOOKUP(D17,Программа!A$3:B$4973,2),IF(F17&gt;0,VLOOKUP(F17,КВР!A$1:B$5001,2),IF(E17&gt;0,VLOOKUP(E17,Направление!A$1:B$4591,2))))))</f>
        <v>Ежегодная премия лицам удостоившихся звания "Почетный гражданин города Тутаева"</v>
      </c>
      <c r="B17" s="210"/>
      <c r="C17" s="211"/>
      <c r="D17" s="269"/>
      <c r="E17" s="211">
        <v>20120</v>
      </c>
      <c r="F17" s="212"/>
      <c r="G17" s="117">
        <f>G18</f>
        <v>108000</v>
      </c>
      <c r="H17" s="117">
        <f t="shared" ref="H17:I17" si="7">H18</f>
        <v>0</v>
      </c>
      <c r="I17" s="117">
        <f t="shared" si="7"/>
        <v>108000</v>
      </c>
      <c r="J17" s="117">
        <f t="shared" ref="J17:L17" si="8">J18</f>
        <v>120000</v>
      </c>
      <c r="K17" s="117">
        <f t="shared" si="8"/>
        <v>0</v>
      </c>
      <c r="L17" s="117">
        <f t="shared" si="8"/>
        <v>120000</v>
      </c>
    </row>
    <row r="18" spans="1:12" ht="31.5" x14ac:dyDescent="0.2">
      <c r="A18" s="329" t="str">
        <f>IF(B18&gt;0,VLOOKUP(B18,КВСР!A9:B1174,2),IF(C18&gt;0,VLOOKUP(C18,КФСР!A9:B1521,2),IF(D18&gt;0,VLOOKUP(D18,Программа!A$3:B$4973,2),IF(F18&gt;0,VLOOKUP(F18,КВР!A$1:B$5001,2),IF(E18&gt;0,VLOOKUP(E18,Направление!A$1:B$4591,2))))))</f>
        <v>Социальное обеспечение и иные выплаты населению</v>
      </c>
      <c r="B18" s="210"/>
      <c r="C18" s="211"/>
      <c r="D18" s="269"/>
      <c r="E18" s="211"/>
      <c r="F18" s="212">
        <v>300</v>
      </c>
      <c r="G18" s="291">
        <v>108000</v>
      </c>
      <c r="H18" s="291"/>
      <c r="I18" s="292">
        <f>G18+H18</f>
        <v>108000</v>
      </c>
      <c r="J18" s="291">
        <v>120000</v>
      </c>
      <c r="K18" s="291"/>
      <c r="L18" s="292">
        <f>J18+K18</f>
        <v>120000</v>
      </c>
    </row>
    <row r="19" spans="1:12" ht="31.9" customHeight="1" x14ac:dyDescent="0.2">
      <c r="A19" s="329" t="str">
        <f>IF(B19&gt;0,VLOOKUP(B19,КВСР!A10:B1175,2),IF(C19&gt;0,VLOOKUP(C19,КФСР!A10:B1522,2),IF(D19&gt;0,VLOOKUP(D19,Программа!A$3:B$4973,2),IF(F19&gt;0,VLOOKUP(F19,КВР!A$1:B$5001,2),IF(E19&gt;0,VLOOKUP(E19,Направление!A$1:B$4591,2))))))</f>
        <v>Выплаты по обязательствам муниципального образования</v>
      </c>
      <c r="B19" s="210"/>
      <c r="C19" s="211"/>
      <c r="D19" s="269"/>
      <c r="E19" s="211">
        <v>20130</v>
      </c>
      <c r="F19" s="212"/>
      <c r="G19" s="114">
        <f>G20</f>
        <v>1184326</v>
      </c>
      <c r="H19" s="114">
        <f t="shared" ref="H19:I19" si="9">H20</f>
        <v>0</v>
      </c>
      <c r="I19" s="114">
        <f t="shared" si="9"/>
        <v>1184326</v>
      </c>
      <c r="J19" s="114">
        <f t="shared" ref="J19:L19" si="10">J20</f>
        <v>0</v>
      </c>
      <c r="K19" s="114">
        <f t="shared" si="10"/>
        <v>0</v>
      </c>
      <c r="L19" s="114">
        <f t="shared" si="10"/>
        <v>0</v>
      </c>
    </row>
    <row r="20" spans="1:12" ht="15.75" x14ac:dyDescent="0.2">
      <c r="A20" s="329" t="str">
        <f>IF(B20&gt;0,VLOOKUP(B20,КВСР!A11:B1176,2),IF(C20&gt;0,VLOOKUP(C20,КФСР!A11:B1523,2),IF(D20&gt;0,VLOOKUP(D20,Программа!A$3:B$4973,2),IF(F20&gt;0,VLOOKUP(F20,КВР!A$1:B$5001,2),IF(E20&gt;0,VLOOKUP(E20,Направление!A$1:B$4591,2))))))</f>
        <v>Иные бюджетные ассигнования</v>
      </c>
      <c r="B20" s="210"/>
      <c r="C20" s="211"/>
      <c r="D20" s="269"/>
      <c r="E20" s="211"/>
      <c r="F20" s="212">
        <v>800</v>
      </c>
      <c r="G20" s="291">
        <v>1184326</v>
      </c>
      <c r="H20" s="291"/>
      <c r="I20" s="292">
        <f>G20+H20</f>
        <v>1184326</v>
      </c>
      <c r="J20" s="291">
        <v>0</v>
      </c>
      <c r="K20" s="291"/>
      <c r="L20" s="292">
        <f>J20+K20</f>
        <v>0</v>
      </c>
    </row>
    <row r="21" spans="1:12" ht="47.25" x14ac:dyDescent="0.2">
      <c r="A21" s="329" t="str">
        <f>IF(B21&gt;0,VLOOKUP(B21,КВСР!A12:B1177,2),IF(C21&gt;0,VLOOKUP(C21,КФСР!A12:B1524,2),IF(D21&gt;0,VLOOKUP(D21,Программа!A$3:B$4973,2),IF(F21&gt;0,VLOOKUP(F21,КВР!A$1:B$5001,2),IF(E21&gt;0,VLOOKUP(E21,Направление!A$1:B$4591,2))))))</f>
        <v xml:space="preserve">Поддержка  социально ориентированных некоммерческих организаций </v>
      </c>
      <c r="B21" s="210"/>
      <c r="C21" s="211"/>
      <c r="D21" s="269"/>
      <c r="E21" s="211">
        <v>20310</v>
      </c>
      <c r="F21" s="212"/>
      <c r="G21" s="114">
        <f>G22</f>
        <v>500000</v>
      </c>
      <c r="H21" s="114">
        <f t="shared" ref="H21:I21" si="11">H22</f>
        <v>0</v>
      </c>
      <c r="I21" s="114">
        <f t="shared" si="11"/>
        <v>500000</v>
      </c>
      <c r="J21" s="114">
        <f t="shared" ref="J21:L21" si="12">J22</f>
        <v>500000</v>
      </c>
      <c r="K21" s="114">
        <f t="shared" si="12"/>
        <v>0</v>
      </c>
      <c r="L21" s="114">
        <f t="shared" si="12"/>
        <v>500000</v>
      </c>
    </row>
    <row r="22" spans="1:12" ht="47.25" x14ac:dyDescent="0.2">
      <c r="A22" s="329" t="str">
        <f>IF(B22&gt;0,VLOOKUP(B22,КВСР!A13:B1178,2),IF(C22&gt;0,VLOOKUP(C22,КФСР!A13:B1525,2),IF(D22&gt;0,VLOOKUP(D22,Программа!A$3:B$4973,2),IF(F22&gt;0,VLOOKUP(F22,КВР!A$1:B$5001,2),IF(E22&gt;0,VLOOKUP(E22,Направление!A$1:B$4591,2))))))</f>
        <v>Предоставление субсидий бюджетным, автономным учреждениям и иным некоммерческим организациям</v>
      </c>
      <c r="B22" s="210"/>
      <c r="C22" s="211"/>
      <c r="D22" s="269"/>
      <c r="E22" s="211"/>
      <c r="F22" s="212">
        <v>600</v>
      </c>
      <c r="G22" s="291">
        <v>500000</v>
      </c>
      <c r="H22" s="291"/>
      <c r="I22" s="292">
        <f>G22+H22</f>
        <v>500000</v>
      </c>
      <c r="J22" s="291">
        <v>500000</v>
      </c>
      <c r="K22" s="291"/>
      <c r="L22" s="292">
        <f>J22+K22</f>
        <v>500000</v>
      </c>
    </row>
    <row r="23" spans="1:12" ht="47.25" x14ac:dyDescent="0.2">
      <c r="A23" s="329" t="str">
        <f>IF(B23&gt;0,VLOOKUP(B23,КВСР!A10:B1175,2),IF(C23&gt;0,VLOOKUP(C23,КФСР!A10:B1522,2),IF(D23&gt;0,VLOOKUP(D23,Программа!A$3:B$4973,2),IF(F23&gt;0,VLOOKUP(F23,КВР!A$1:B$5001,2),IF(E23&gt;0,VLOOKUP(E23,Направление!A$1:B$4591,2))))))</f>
        <v xml:space="preserve">Межбюджетные трансферты на содержание органов местного самоуправления </v>
      </c>
      <c r="B23" s="210"/>
      <c r="C23" s="211"/>
      <c r="D23" s="269"/>
      <c r="E23" s="211">
        <v>29016</v>
      </c>
      <c r="F23" s="212"/>
      <c r="G23" s="114">
        <f>G24</f>
        <v>16681081</v>
      </c>
      <c r="H23" s="114">
        <f t="shared" ref="H23:I23" si="13">H24</f>
        <v>0</v>
      </c>
      <c r="I23" s="114">
        <f t="shared" si="13"/>
        <v>16681081</v>
      </c>
      <c r="J23" s="114">
        <f t="shared" ref="J23:L23" si="14">J24</f>
        <v>16681081</v>
      </c>
      <c r="K23" s="114">
        <f t="shared" si="14"/>
        <v>0</v>
      </c>
      <c r="L23" s="114">
        <f t="shared" si="14"/>
        <v>16681081</v>
      </c>
    </row>
    <row r="24" spans="1:12" ht="15.75" x14ac:dyDescent="0.2">
      <c r="A24" s="329" t="str">
        <f>IF(B24&gt;0,VLOOKUP(B24,КВСР!A11:B1176,2),IF(C24&gt;0,VLOOKUP(C24,КФСР!A11:B1523,2),IF(D24&gt;0,VLOOKUP(D24,Программа!A$3:B$4973,2),IF(F24&gt;0,VLOOKUP(F24,КВР!A$1:B$5001,2),IF(E24&gt;0,VLOOKUP(E24,Направление!A$1:B$4591,2))))))</f>
        <v xml:space="preserve"> Межбюджетные трансферты</v>
      </c>
      <c r="B24" s="210"/>
      <c r="C24" s="211"/>
      <c r="D24" s="269"/>
      <c r="E24" s="211"/>
      <c r="F24" s="212">
        <v>500</v>
      </c>
      <c r="G24" s="291">
        <v>16681081</v>
      </c>
      <c r="H24" s="291"/>
      <c r="I24" s="292">
        <f>G24+H24</f>
        <v>16681081</v>
      </c>
      <c r="J24" s="291">
        <v>16681081</v>
      </c>
      <c r="K24" s="291"/>
      <c r="L24" s="292">
        <f>J24+K24</f>
        <v>16681081</v>
      </c>
    </row>
    <row r="25" spans="1:12" ht="110.25" x14ac:dyDescent="0.2">
      <c r="A25" s="329" t="str">
        <f>IF(B25&gt;0,VLOOKUP(B25,КВСР!A12:B1177,2),IF(C25&gt;0,VLOOKUP(C25,КФСР!A12:B1524,2),IF(D25&gt;0,VLOOKUP(D25,Программа!A$3:B$4973,2),IF(F25&gt;0,VLOOKUP(F25,КВР!A$1:B$5001,2),IF(E25&gt;0,VLOOKUP(E25,Направление!A$1:B$4591,2))))))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5" s="210"/>
      <c r="C25" s="211"/>
      <c r="D25" s="269"/>
      <c r="E25" s="211">
        <v>29026</v>
      </c>
      <c r="F25" s="212"/>
      <c r="G25" s="117">
        <f>G26</f>
        <v>150000</v>
      </c>
      <c r="H25" s="117">
        <f t="shared" ref="H25:I25" si="15">H26</f>
        <v>0</v>
      </c>
      <c r="I25" s="117">
        <f t="shared" si="15"/>
        <v>150000</v>
      </c>
      <c r="J25" s="117">
        <f t="shared" ref="J25:L25" si="16">J26</f>
        <v>150000</v>
      </c>
      <c r="K25" s="117">
        <f t="shared" si="16"/>
        <v>0</v>
      </c>
      <c r="L25" s="117">
        <f t="shared" si="16"/>
        <v>150000</v>
      </c>
    </row>
    <row r="26" spans="1:12" ht="15.75" x14ac:dyDescent="0.2">
      <c r="A26" s="329" t="str">
        <f>IF(B26&gt;0,VLOOKUP(B26,КВСР!A13:B1178,2),IF(C26&gt;0,VLOOKUP(C26,КФСР!A13:B1525,2),IF(D26&gt;0,VLOOKUP(D26,Программа!A$3:B$4973,2),IF(F26&gt;0,VLOOKUP(F26,КВР!A$1:B$5001,2),IF(E26&gt;0,VLOOKUP(E26,Направление!A$1:B$4591,2))))))</f>
        <v xml:space="preserve"> Межбюджетные трансферты</v>
      </c>
      <c r="B26" s="210"/>
      <c r="C26" s="211"/>
      <c r="D26" s="269"/>
      <c r="E26" s="211"/>
      <c r="F26" s="212">
        <v>500</v>
      </c>
      <c r="G26" s="292">
        <v>150000</v>
      </c>
      <c r="H26" s="292"/>
      <c r="I26" s="292">
        <f>G26+H26</f>
        <v>150000</v>
      </c>
      <c r="J26" s="292">
        <v>150000</v>
      </c>
      <c r="K26" s="292"/>
      <c r="L26" s="292">
        <f>J26+K26</f>
        <v>150000</v>
      </c>
    </row>
    <row r="27" spans="1:12" ht="63" x14ac:dyDescent="0.2">
      <c r="A27" s="329" t="str">
        <f>IF(B27&gt;0,VLOOKUP(B27,КВСР!A16:B1181,2),IF(C27&gt;0,VLOOKUP(C27,КФСР!A16:B1528,2),IF(D27&gt;0,VLOOKUP(D27,Программа!A$3:B$4973,2),IF(F27&gt;0,VLOOKUP(F27,КВР!A$1:B$5001,2),IF(E27&gt;0,VLOOKUP(E27,Направление!A$1:B$4591,2))))))</f>
        <v>Межбюджетные трансферты на обеспечение мероприятий по содержанию  военно- мемориального комплекса пл. Юности</v>
      </c>
      <c r="B27" s="210"/>
      <c r="C27" s="211"/>
      <c r="D27" s="269"/>
      <c r="E27" s="211">
        <v>29686</v>
      </c>
      <c r="F27" s="212"/>
      <c r="G27" s="117">
        <f>G28</f>
        <v>300000</v>
      </c>
      <c r="H27" s="117">
        <f t="shared" ref="H27:I27" si="17">H28</f>
        <v>0</v>
      </c>
      <c r="I27" s="117">
        <f t="shared" si="17"/>
        <v>300000</v>
      </c>
      <c r="J27" s="117">
        <f t="shared" ref="J27:L27" si="18">J28</f>
        <v>300000</v>
      </c>
      <c r="K27" s="117">
        <f t="shared" si="18"/>
        <v>0</v>
      </c>
      <c r="L27" s="117">
        <f t="shared" si="18"/>
        <v>300000</v>
      </c>
    </row>
    <row r="28" spans="1:12" ht="15.75" x14ac:dyDescent="0.2">
      <c r="A28" s="329" t="str">
        <f>IF(B28&gt;0,VLOOKUP(B28,КВСР!A17:B1182,2),IF(C28&gt;0,VLOOKUP(C28,КФСР!A17:B1529,2),IF(D28&gt;0,VLOOKUP(D28,Программа!A$3:B$4973,2),IF(F28&gt;0,VLOOKUP(F28,КВР!A$1:B$5001,2),IF(E28&gt;0,VLOOKUP(E28,Направление!A$1:B$4591,2))))))</f>
        <v xml:space="preserve"> Межбюджетные трансферты</v>
      </c>
      <c r="B28" s="210"/>
      <c r="C28" s="211"/>
      <c r="D28" s="269"/>
      <c r="E28" s="211"/>
      <c r="F28" s="212">
        <v>500</v>
      </c>
      <c r="G28" s="292">
        <v>300000</v>
      </c>
      <c r="H28" s="292"/>
      <c r="I28" s="292">
        <f>G28+H28</f>
        <v>300000</v>
      </c>
      <c r="J28" s="292">
        <v>300000</v>
      </c>
      <c r="K28" s="292"/>
      <c r="L28" s="292">
        <f>J28+K28</f>
        <v>300000</v>
      </c>
    </row>
    <row r="29" spans="1:12" ht="63" x14ac:dyDescent="0.2">
      <c r="A29" s="329" t="str">
        <f>IF(B29&gt;0,VLOOKUP(B29,КВСР!A16:B1181,2),IF(C29&gt;0,VLOOKUP(C29,КФСР!A16:B1528,2),IF(D29&gt;0,VLOOKUP(D29,Программа!A$3:B$4973,2),IF(F29&gt;0,VLOOKUP(F29,КВР!A$1:B$5001,2),IF(E29&gt;0,VLOOKUP(E29,Направление!A$1:B$4591,2))))))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29" s="183"/>
      <c r="C29" s="184">
        <v>309</v>
      </c>
      <c r="D29" s="269"/>
      <c r="E29" s="211"/>
      <c r="F29" s="212"/>
      <c r="G29" s="145">
        <f>G30</f>
        <v>2000000</v>
      </c>
      <c r="H29" s="145">
        <f t="shared" ref="H29:I31" si="19">H30</f>
        <v>0</v>
      </c>
      <c r="I29" s="145">
        <f t="shared" si="19"/>
        <v>2000000</v>
      </c>
      <c r="J29" s="145">
        <f t="shared" ref="J29:L31" si="20">J30</f>
        <v>2000000</v>
      </c>
      <c r="K29" s="145">
        <f t="shared" si="20"/>
        <v>0</v>
      </c>
      <c r="L29" s="145">
        <f t="shared" si="20"/>
        <v>2000000</v>
      </c>
    </row>
    <row r="30" spans="1:12" ht="15.75" x14ac:dyDescent="0.2">
      <c r="A30" s="329" t="str">
        <f>IF(B30&gt;0,VLOOKUP(B30,КВСР!A17:B1182,2),IF(C30&gt;0,VLOOKUP(C30,КФСР!A17:B1529,2),IF(D30&gt;0,VLOOKUP(D30,Программа!A$3:B$4973,2),IF(F30&gt;0,VLOOKUP(F30,КВР!A$1:B$5001,2),IF(E30&gt;0,VLOOKUP(E30,Направление!A$1:B$4591,2))))))</f>
        <v>Непрограммные расходы бюджета</v>
      </c>
      <c r="B30" s="210"/>
      <c r="C30" s="211"/>
      <c r="D30" s="269" t="s">
        <v>618</v>
      </c>
      <c r="E30" s="211"/>
      <c r="F30" s="212"/>
      <c r="G30" s="121">
        <f>G31</f>
        <v>2000000</v>
      </c>
      <c r="H30" s="121">
        <f t="shared" si="19"/>
        <v>0</v>
      </c>
      <c r="I30" s="121">
        <f t="shared" si="19"/>
        <v>2000000</v>
      </c>
      <c r="J30" s="121">
        <f t="shared" si="20"/>
        <v>2000000</v>
      </c>
      <c r="K30" s="121">
        <f t="shared" si="20"/>
        <v>0</v>
      </c>
      <c r="L30" s="121">
        <f t="shared" si="20"/>
        <v>2000000</v>
      </c>
    </row>
    <row r="31" spans="1:12" ht="94.5" x14ac:dyDescent="0.2">
      <c r="A31" s="329" t="str">
        <f>IF(B31&gt;0,VLOOKUP(B31,КВСР!A18:B1183,2),IF(C31&gt;0,VLOOKUP(C31,КФСР!A18:B1530,2),IF(D31&gt;0,VLOOKUP(D31,Программа!A$3:B$4973,2),IF(F31&gt;0,VLOOKUP(F31,КВР!A$1:B$5001,2),IF(E31&gt;0,VLOOKUP(E31,Направление!A$1:B$4591,2))))))</f>
        <v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v>
      </c>
      <c r="B31" s="210"/>
      <c r="C31" s="211"/>
      <c r="D31" s="269"/>
      <c r="E31" s="211">
        <v>29566</v>
      </c>
      <c r="F31" s="212"/>
      <c r="G31" s="121">
        <f>G32</f>
        <v>2000000</v>
      </c>
      <c r="H31" s="121">
        <f t="shared" si="19"/>
        <v>0</v>
      </c>
      <c r="I31" s="121">
        <f t="shared" si="19"/>
        <v>2000000</v>
      </c>
      <c r="J31" s="121">
        <f t="shared" si="20"/>
        <v>2000000</v>
      </c>
      <c r="K31" s="121">
        <f t="shared" si="20"/>
        <v>0</v>
      </c>
      <c r="L31" s="121">
        <f t="shared" si="20"/>
        <v>2000000</v>
      </c>
    </row>
    <row r="32" spans="1:12" ht="15.75" x14ac:dyDescent="0.2">
      <c r="A32" s="329" t="str">
        <f>IF(B32&gt;0,VLOOKUP(B32,КВСР!A19:B1184,2),IF(C32&gt;0,VLOOKUP(C32,КФСР!A19:B1531,2),IF(D32&gt;0,VLOOKUP(D32,Программа!A$3:B$4973,2),IF(F32&gt;0,VLOOKUP(F32,КВР!A$1:B$5001,2),IF(E32&gt;0,VLOOKUP(E32,Направление!A$1:B$4591,2))))))</f>
        <v xml:space="preserve"> Межбюджетные трансферты</v>
      </c>
      <c r="B32" s="210"/>
      <c r="C32" s="211"/>
      <c r="D32" s="269"/>
      <c r="E32" s="211"/>
      <c r="F32" s="212">
        <v>500</v>
      </c>
      <c r="G32" s="293">
        <v>2000000</v>
      </c>
      <c r="H32" s="293"/>
      <c r="I32" s="292">
        <f>G32+H32</f>
        <v>2000000</v>
      </c>
      <c r="J32" s="293">
        <v>2000000</v>
      </c>
      <c r="K32" s="293"/>
      <c r="L32" s="292">
        <f>J32+K32</f>
        <v>2000000</v>
      </c>
    </row>
    <row r="33" spans="1:12" ht="47.25" x14ac:dyDescent="0.2">
      <c r="A33" s="330" t="str">
        <f>IF(B33&gt;0,VLOOKUP(B33,КВСР!A20:B1185,2),IF(C33&gt;0,VLOOKUP(C33,КФСР!A20:B1532,2),IF(D33&gt;0,VLOOKUP(D33,Программа!A$3:B$4973,2),IF(F33&gt;0,VLOOKUP(F33,КВР!A$1:B$5001,2),IF(E33&gt;0,VLOOKUP(E33,Направление!A$1:B$4591,2))))))</f>
        <v>Другие вопросы в области национальной безопасности и правоохранительной деятельности</v>
      </c>
      <c r="B33" s="183"/>
      <c r="C33" s="184">
        <v>314</v>
      </c>
      <c r="D33" s="269"/>
      <c r="E33" s="211"/>
      <c r="F33" s="212"/>
      <c r="G33" s="452">
        <f>G34</f>
        <v>150000</v>
      </c>
      <c r="H33" s="452">
        <f t="shared" ref="H33:I35" si="21">H34</f>
        <v>0</v>
      </c>
      <c r="I33" s="452">
        <f t="shared" si="21"/>
        <v>150000</v>
      </c>
      <c r="J33" s="452">
        <f t="shared" ref="J33:L35" si="22">J34</f>
        <v>150000</v>
      </c>
      <c r="K33" s="452">
        <f t="shared" si="22"/>
        <v>0</v>
      </c>
      <c r="L33" s="452">
        <f t="shared" si="22"/>
        <v>150000</v>
      </c>
    </row>
    <row r="34" spans="1:12" ht="15.75" x14ac:dyDescent="0.2">
      <c r="A34" s="328" t="str">
        <f>IF(B34&gt;0,VLOOKUP(B34,КВСР!A21:B1186,2),IF(C34&gt;0,VLOOKUP(C34,КФСР!A21:B1533,2),IF(D34&gt;0,VLOOKUP(D34,Программа!A$3:B$4973,2),IF(F34&gt;0,VLOOKUP(F34,КВР!A$1:B$5001,2),IF(E34&gt;0,VLOOKUP(E34,Направление!A$1:B$4591,2))))))</f>
        <v>Непрограммные расходы бюджета</v>
      </c>
      <c r="B34" s="298"/>
      <c r="C34" s="299"/>
      <c r="D34" s="300" t="s">
        <v>618</v>
      </c>
      <c r="E34" s="299"/>
      <c r="F34" s="301"/>
      <c r="G34" s="453">
        <f>G35</f>
        <v>150000</v>
      </c>
      <c r="H34" s="453">
        <f t="shared" si="21"/>
        <v>0</v>
      </c>
      <c r="I34" s="453">
        <f t="shared" si="21"/>
        <v>150000</v>
      </c>
      <c r="J34" s="453">
        <f t="shared" si="22"/>
        <v>150000</v>
      </c>
      <c r="K34" s="453">
        <f t="shared" si="22"/>
        <v>0</v>
      </c>
      <c r="L34" s="453">
        <f t="shared" si="22"/>
        <v>150000</v>
      </c>
    </row>
    <row r="35" spans="1:12" ht="47.25" x14ac:dyDescent="0.2">
      <c r="A35" s="329" t="str">
        <f>IF(B35&gt;0,VLOOKUP(B35,КВСР!A22:B1187,2),IF(C35&gt;0,VLOOKUP(C35,КФСР!A22:B1534,2),IF(D35&gt;0,VLOOKUP(D35,Программа!A$3:B$4973,2),IF(F35&gt;0,VLOOKUP(F35,КВР!A$1:B$5001,2),IF(E35&gt;0,VLOOKUP(E35,Направление!A$1:B$4591,2))))))</f>
        <v>Межбюджетные трансферты на обеспечение деятельности народных дружин</v>
      </c>
      <c r="B35" s="210"/>
      <c r="C35" s="211"/>
      <c r="D35" s="269"/>
      <c r="E35" s="211">
        <v>29486</v>
      </c>
      <c r="F35" s="212"/>
      <c r="G35" s="121">
        <f>G36</f>
        <v>150000</v>
      </c>
      <c r="H35" s="121">
        <f t="shared" si="21"/>
        <v>0</v>
      </c>
      <c r="I35" s="121">
        <f t="shared" si="21"/>
        <v>150000</v>
      </c>
      <c r="J35" s="121">
        <f t="shared" si="22"/>
        <v>150000</v>
      </c>
      <c r="K35" s="121">
        <f t="shared" si="22"/>
        <v>0</v>
      </c>
      <c r="L35" s="121">
        <f t="shared" si="22"/>
        <v>150000</v>
      </c>
    </row>
    <row r="36" spans="1:12" ht="15.75" x14ac:dyDescent="0.2">
      <c r="A36" s="329" t="str">
        <f>IF(B36&gt;0,VLOOKUP(B36,КВСР!A23:B1188,2),IF(C36&gt;0,VLOOKUP(C36,КФСР!A23:B1535,2),IF(D36&gt;0,VLOOKUP(D36,Программа!A$3:B$4973,2),IF(F36&gt;0,VLOOKUP(F36,КВР!A$1:B$5001,2),IF(E36&gt;0,VLOOKUP(E36,Направление!A$1:B$4591,2))))))</f>
        <v xml:space="preserve"> Межбюджетные трансферты</v>
      </c>
      <c r="B36" s="210"/>
      <c r="C36" s="211"/>
      <c r="D36" s="269"/>
      <c r="E36" s="211"/>
      <c r="F36" s="212">
        <v>500</v>
      </c>
      <c r="G36" s="293">
        <v>150000</v>
      </c>
      <c r="H36" s="293"/>
      <c r="I36" s="292">
        <f>G36+H36</f>
        <v>150000</v>
      </c>
      <c r="J36" s="293">
        <v>150000</v>
      </c>
      <c r="K36" s="293"/>
      <c r="L36" s="292">
        <f>J36+K36</f>
        <v>150000</v>
      </c>
    </row>
    <row r="37" spans="1:12" ht="15.75" x14ac:dyDescent="0.2">
      <c r="A37" s="330" t="str">
        <f>IF(B37&gt;0,VLOOKUP(B37,КВСР!A4:B1169,2),IF(C37&gt;0,VLOOKUP(C37,КФСР!A4:B1516,2),IF(D37&gt;0,VLOOKUP(D37,Программа!A$3:B$4973,2),IF(F37&gt;0,VLOOKUP(F37,КВР!A$1:B$5001,2),IF(E37&gt;0,VLOOKUP(E37,Направление!A$1:B$4591,2))))))</f>
        <v>Транспорт</v>
      </c>
      <c r="B37" s="183"/>
      <c r="C37" s="184">
        <v>408</v>
      </c>
      <c r="D37" s="269"/>
      <c r="E37" s="211"/>
      <c r="F37" s="212"/>
      <c r="G37" s="452">
        <f>G38</f>
        <v>6600000</v>
      </c>
      <c r="H37" s="452">
        <f t="shared" ref="H37:I37" si="23">H38</f>
        <v>0</v>
      </c>
      <c r="I37" s="452">
        <f t="shared" si="23"/>
        <v>6600000</v>
      </c>
      <c r="J37" s="452">
        <f t="shared" ref="J37:L37" si="24">J38</f>
        <v>7200000</v>
      </c>
      <c r="K37" s="452">
        <f t="shared" si="24"/>
        <v>0</v>
      </c>
      <c r="L37" s="452">
        <f t="shared" si="24"/>
        <v>7200000</v>
      </c>
    </row>
    <row r="38" spans="1:12" ht="15.75" x14ac:dyDescent="0.2">
      <c r="A38" s="329" t="str">
        <f>IF(B38&gt;0,VLOOKUP(B38,КВСР!A5:B1170,2),IF(C38&gt;0,VLOOKUP(C38,КФСР!A5:B1517,2),IF(D38&gt;0,VLOOKUP(D38,Программа!A$3:B$4973,2),IF(F38&gt;0,VLOOKUP(F38,КВР!A$1:B$5001,2),IF(E38&gt;0,VLOOKUP(E38,Направление!A$1:B$4591,2))))))</f>
        <v>Непрограммные расходы бюджета</v>
      </c>
      <c r="B38" s="179"/>
      <c r="C38" s="180"/>
      <c r="D38" s="182" t="s">
        <v>618</v>
      </c>
      <c r="E38" s="180"/>
      <c r="F38" s="182"/>
      <c r="G38" s="121">
        <f>G39+G41</f>
        <v>6600000</v>
      </c>
      <c r="H38" s="121">
        <f t="shared" ref="H38:I38" si="25">H39+H41</f>
        <v>0</v>
      </c>
      <c r="I38" s="121">
        <f t="shared" si="25"/>
        <v>6600000</v>
      </c>
      <c r="J38" s="121">
        <f t="shared" ref="J38" si="26">J39+J41</f>
        <v>7200000</v>
      </c>
      <c r="K38" s="121">
        <f t="shared" ref="K38:L38" si="27">K39+K41</f>
        <v>0</v>
      </c>
      <c r="L38" s="121">
        <f t="shared" si="27"/>
        <v>7200000</v>
      </c>
    </row>
    <row r="39" spans="1:12" ht="63" x14ac:dyDescent="0.2">
      <c r="A39" s="329" t="str">
        <f>IF(B39&gt;0,VLOOKUP(B39,КВСР!A6:B1171,2),IF(C39&gt;0,VLOOKUP(C39,КФСР!A6:B1518,2),IF(D39&gt;0,VLOOKUP(D39,Программа!A$3:B$4973,2),IF(F39&gt;0,VLOOKUP(F39,КВР!A$1:B$5001,2),IF(E39&gt;0,VLOOKUP(E39,Направление!A$1:B$4591,2))))))</f>
        <v>Межбюджетные трансферты на обеспечение мероприятий по осуществлению грузопассажирских  перевозок на речном транспорте</v>
      </c>
      <c r="B39" s="179"/>
      <c r="C39" s="180"/>
      <c r="D39" s="181"/>
      <c r="E39" s="180">
        <v>29166</v>
      </c>
      <c r="F39" s="182"/>
      <c r="G39" s="117">
        <f>G40</f>
        <v>6000000</v>
      </c>
      <c r="H39" s="117">
        <f t="shared" ref="H39:I39" si="28">H40</f>
        <v>0</v>
      </c>
      <c r="I39" s="117">
        <f t="shared" si="28"/>
        <v>6000000</v>
      </c>
      <c r="J39" s="117">
        <f t="shared" ref="J39:L39" si="29">J40</f>
        <v>6600000</v>
      </c>
      <c r="K39" s="117">
        <f t="shared" si="29"/>
        <v>0</v>
      </c>
      <c r="L39" s="117">
        <f t="shared" si="29"/>
        <v>6600000</v>
      </c>
    </row>
    <row r="40" spans="1:12" ht="15.75" x14ac:dyDescent="0.2">
      <c r="A40" s="329" t="str">
        <f>IF(B40&gt;0,VLOOKUP(B40,КВСР!A7:B1172,2),IF(C40&gt;0,VLOOKUP(C40,КФСР!A7:B1519,2),IF(D40&gt;0,VLOOKUP(D40,Программа!A$3:B$4973,2),IF(F40&gt;0,VLOOKUP(F40,КВР!A$1:B$5001,2),IF(E40&gt;0,VLOOKUP(E40,Направление!A$1:B$4591,2))))))</f>
        <v xml:space="preserve"> Межбюджетные трансферты</v>
      </c>
      <c r="B40" s="179"/>
      <c r="C40" s="180"/>
      <c r="D40" s="181"/>
      <c r="E40" s="180"/>
      <c r="F40" s="182">
        <v>500</v>
      </c>
      <c r="G40" s="291">
        <v>6000000</v>
      </c>
      <c r="H40" s="291"/>
      <c r="I40" s="292">
        <f>G40+H40</f>
        <v>6000000</v>
      </c>
      <c r="J40" s="291">
        <v>6600000</v>
      </c>
      <c r="K40" s="291"/>
      <c r="L40" s="292">
        <f>J40+K40</f>
        <v>6600000</v>
      </c>
    </row>
    <row r="41" spans="1:12" ht="78.75" x14ac:dyDescent="0.2">
      <c r="A41" s="329" t="str">
        <f>IF(B41&gt;0,VLOOKUP(B41,КВСР!A8:B1173,2),IF(C41&gt;0,VLOOKUP(C41,КФСР!A8:B1520,2),IF(D41&gt;0,VLOOKUP(D41,Программа!A$3:B$4973,2),IF(F41&gt;0,VLOOKUP(F41,КВР!A$1:B$5001,2),IF(E41&gt;0,VLOOKUP(E41,Направление!A$1:B$4591,2))))))</f>
        <v>Межбюджетные трансферты на обеспечение мероприятий по осуществлению пассажирских  перевозок на автомобильном  транспорте</v>
      </c>
      <c r="B41" s="179"/>
      <c r="C41" s="180"/>
      <c r="D41" s="181"/>
      <c r="E41" s="180">
        <v>29176</v>
      </c>
      <c r="F41" s="182"/>
      <c r="G41" s="114">
        <f>G42</f>
        <v>600000</v>
      </c>
      <c r="H41" s="114">
        <f t="shared" ref="H41:I41" si="30">H42</f>
        <v>0</v>
      </c>
      <c r="I41" s="114">
        <f t="shared" si="30"/>
        <v>600000</v>
      </c>
      <c r="J41" s="114">
        <f t="shared" ref="J41:L41" si="31">J42</f>
        <v>600000</v>
      </c>
      <c r="K41" s="114">
        <f t="shared" si="31"/>
        <v>0</v>
      </c>
      <c r="L41" s="114">
        <f t="shared" si="31"/>
        <v>600000</v>
      </c>
    </row>
    <row r="42" spans="1:12" ht="15.75" x14ac:dyDescent="0.2">
      <c r="A42" s="329" t="str">
        <f>IF(B42&gt;0,VLOOKUP(B42,КВСР!A9:B1174,2),IF(C42&gt;0,VLOOKUP(C42,КФСР!A9:B1521,2),IF(D42&gt;0,VLOOKUP(D42,Программа!A$3:B$4973,2),IF(F42&gt;0,VLOOKUP(F42,КВР!A$1:B$5001,2),IF(E42&gt;0,VLOOKUP(E42,Направление!A$1:B$4591,2))))))</f>
        <v xml:space="preserve"> Межбюджетные трансферты</v>
      </c>
      <c r="B42" s="179"/>
      <c r="C42" s="180"/>
      <c r="D42" s="181"/>
      <c r="E42" s="180"/>
      <c r="F42" s="182">
        <v>500</v>
      </c>
      <c r="G42" s="292">
        <v>600000</v>
      </c>
      <c r="H42" s="292"/>
      <c r="I42" s="292">
        <f>G42+H42</f>
        <v>600000</v>
      </c>
      <c r="J42" s="292">
        <v>600000</v>
      </c>
      <c r="K42" s="292"/>
      <c r="L42" s="292">
        <f>J42+K42</f>
        <v>600000</v>
      </c>
    </row>
    <row r="43" spans="1:12" ht="15.75" x14ac:dyDescent="0.2">
      <c r="A43" s="330" t="str">
        <f>IF(B43&gt;0,VLOOKUP(B43,КВСР!A10:B1175,2),IF(C43&gt;0,VLOOKUP(C43,КФСР!A10:B1522,2),IF(D43&gt;0,VLOOKUP(D43,Программа!A$3:B$4973,2),IF(F43&gt;0,VLOOKUP(F43,КВР!A$1:B$5001,2),IF(E43&gt;0,VLOOKUP(E43,Направление!A$1:B$4591,2))))))</f>
        <v>Дорожное хозяйство</v>
      </c>
      <c r="B43" s="183"/>
      <c r="C43" s="184">
        <v>409</v>
      </c>
      <c r="D43" s="269"/>
      <c r="E43" s="211"/>
      <c r="F43" s="212"/>
      <c r="G43" s="280">
        <f t="shared" ref="G43:H43" si="32">G44+G48</f>
        <v>38000000</v>
      </c>
      <c r="H43" s="280">
        <f t="shared" si="32"/>
        <v>0</v>
      </c>
      <c r="I43" s="280">
        <f>I44+I48</f>
        <v>73000000</v>
      </c>
      <c r="J43" s="280">
        <f t="shared" ref="J43:L43" si="33">J44+J48</f>
        <v>70800000</v>
      </c>
      <c r="K43" s="280">
        <f t="shared" si="33"/>
        <v>0</v>
      </c>
      <c r="L43" s="280">
        <f t="shared" si="33"/>
        <v>70800000</v>
      </c>
    </row>
    <row r="44" spans="1:12" ht="78.75" hidden="1" x14ac:dyDescent="0.2">
      <c r="A44" s="329" t="str">
        <f>IF(B44&gt;0,VLOOKUP(B44,КВСР!A11:B1176,2),IF(C44&gt;0,VLOOKUP(C44,КФСР!A11:B1523,2),IF(D44&gt;0,VLOOKUP(D44,Программа!A$3:B$4973,2),IF(F44&gt;0,VLOOKUP(F44,КВР!A$1:B$5001,2),IF(E44&gt;0,VLOOKUP(E44,Направление!A$1:B$4591,2))))))</f>
        <v xml:space="preserve">Муниципальная программа "Формирование современной городской среды на территории городского поселения Тутаев"
</v>
      </c>
      <c r="B44" s="179"/>
      <c r="C44" s="180"/>
      <c r="D44" s="181" t="s">
        <v>256</v>
      </c>
      <c r="E44" s="180"/>
      <c r="F44" s="182"/>
      <c r="G44" s="114">
        <f>G45</f>
        <v>0</v>
      </c>
      <c r="H44" s="114">
        <f t="shared" ref="H44:I46" si="34">H45</f>
        <v>0</v>
      </c>
      <c r="I44" s="114">
        <f t="shared" si="34"/>
        <v>0</v>
      </c>
      <c r="J44" s="114">
        <f t="shared" ref="J44:L46" si="35">J45</f>
        <v>0</v>
      </c>
      <c r="K44" s="114">
        <f t="shared" si="35"/>
        <v>0</v>
      </c>
      <c r="L44" s="114">
        <f t="shared" si="35"/>
        <v>0</v>
      </c>
    </row>
    <row r="45" spans="1:12" ht="31.5" hidden="1" x14ac:dyDescent="0.2">
      <c r="A45" s="329" t="str">
        <f>IF(B45&gt;0,VLOOKUP(B45,КВСР!A12:B1177,2),IF(C45&gt;0,VLOOKUP(C45,КФСР!A12:B1524,2),IF(D45&gt;0,VLOOKUP(D45,Программа!A$3:B$4973,2),IF(F45&gt;0,VLOOKUP(F45,КВР!A$1:B$5001,2),IF(E45&gt;0,VLOOKUP(E45,Направление!A$1:B$4591,2))))))</f>
        <v>Повышение уровня благоустройства дворовых территорий</v>
      </c>
      <c r="B45" s="179"/>
      <c r="C45" s="180"/>
      <c r="D45" s="181" t="s">
        <v>610</v>
      </c>
      <c r="E45" s="180"/>
      <c r="F45" s="182"/>
      <c r="G45" s="58">
        <f>G46</f>
        <v>0</v>
      </c>
      <c r="H45" s="58">
        <f t="shared" si="34"/>
        <v>0</v>
      </c>
      <c r="I45" s="58">
        <f t="shared" si="34"/>
        <v>0</v>
      </c>
      <c r="J45" s="58">
        <f t="shared" si="35"/>
        <v>0</v>
      </c>
      <c r="K45" s="58">
        <f t="shared" si="35"/>
        <v>0</v>
      </c>
      <c r="L45" s="58">
        <f t="shared" si="35"/>
        <v>0</v>
      </c>
    </row>
    <row r="46" spans="1:12" ht="78.75" hidden="1" x14ac:dyDescent="0.2">
      <c r="A46" s="329" t="str">
        <f>IF(B46&gt;0,VLOOKUP(B46,КВСР!A13:B1178,2),IF(C46&gt;0,VLOOKUP(C46,КФСР!A13:B1525,2),IF(D46&gt;0,VLOOKUP(D46,Программа!A$3:B$4973,2),IF(F46&gt;0,VLOOKUP(F46,КВР!A$1:B$5001,2),IF(E46&gt;0,VLOOKUP(E46,Направление!A$1:B$4591,2))))))</f>
        <v>Межбюджетные трансферты на обеспечение мероприятий по формированию современной городской среды в области дорожного хозяйства</v>
      </c>
      <c r="B46" s="179"/>
      <c r="C46" s="180"/>
      <c r="D46" s="181"/>
      <c r="E46" s="180">
        <v>29646</v>
      </c>
      <c r="F46" s="182"/>
      <c r="G46" s="58">
        <f>G47</f>
        <v>0</v>
      </c>
      <c r="H46" s="58">
        <f t="shared" si="34"/>
        <v>0</v>
      </c>
      <c r="I46" s="58">
        <f t="shared" si="34"/>
        <v>0</v>
      </c>
      <c r="J46" s="58">
        <f t="shared" si="35"/>
        <v>0</v>
      </c>
      <c r="K46" s="58">
        <f t="shared" si="35"/>
        <v>0</v>
      </c>
      <c r="L46" s="58">
        <f t="shared" si="35"/>
        <v>0</v>
      </c>
    </row>
    <row r="47" spans="1:12" ht="15.75" hidden="1" x14ac:dyDescent="0.2">
      <c r="A47" s="329" t="str">
        <f>IF(B47&gt;0,VLOOKUP(B47,КВСР!A14:B1179,2),IF(C47&gt;0,VLOOKUP(C47,КФСР!A14:B1526,2),IF(D47&gt;0,VLOOKUP(D47,Программа!A$3:B$4973,2),IF(F47&gt;0,VLOOKUP(F47,КВР!A$1:B$5001,2),IF(E47&gt;0,VLOOKUP(E47,Направление!A$1:B$4591,2))))))</f>
        <v xml:space="preserve"> Межбюджетные трансферты</v>
      </c>
      <c r="B47" s="179"/>
      <c r="C47" s="180"/>
      <c r="D47" s="181"/>
      <c r="E47" s="180"/>
      <c r="F47" s="182">
        <v>500</v>
      </c>
      <c r="G47" s="294">
        <v>0</v>
      </c>
      <c r="H47" s="294"/>
      <c r="I47" s="292">
        <f>G47+H47</f>
        <v>0</v>
      </c>
      <c r="J47" s="294">
        <v>0</v>
      </c>
      <c r="K47" s="294"/>
      <c r="L47" s="292">
        <f>J47+K47</f>
        <v>0</v>
      </c>
    </row>
    <row r="48" spans="1:12" ht="78.75" x14ac:dyDescent="0.2">
      <c r="A48" s="329" t="str">
        <f>IF(B48&gt;0,VLOOKUP(B48,КВСР!A15:B1180,2),IF(C48&gt;0,VLOOKUP(C48,КФСР!A15:B1527,2),IF(D48&gt;0,VLOOKUP(D48,Программа!A$3:B$4973,2),IF(F48&gt;0,VLOOKUP(F48,КВР!A$1:B$5001,2),IF(E48&gt;0,VLOOKUP(E48,Направление!A$1:B$4591,2))))))</f>
        <v xml:space="preserve">Муниципальная программа "Развитие и содержание дорожного хозяйства на территории  городского поселения Тутаев"
</v>
      </c>
      <c r="B48" s="179"/>
      <c r="C48" s="180"/>
      <c r="D48" s="181" t="s">
        <v>254</v>
      </c>
      <c r="E48" s="180"/>
      <c r="F48" s="182"/>
      <c r="G48" s="114">
        <f>G49+G60</f>
        <v>38000000</v>
      </c>
      <c r="H48" s="114">
        <f t="shared" ref="H48" si="36">H49+H60</f>
        <v>0</v>
      </c>
      <c r="I48" s="114">
        <f>I49+I60</f>
        <v>73000000</v>
      </c>
      <c r="J48" s="114">
        <f t="shared" ref="J48" si="37">J49+J60</f>
        <v>70800000</v>
      </c>
      <c r="K48" s="114">
        <f t="shared" ref="K48" si="38">K49+K60</f>
        <v>0</v>
      </c>
      <c r="L48" s="114">
        <f>SUM(J48:K48)</f>
        <v>70800000</v>
      </c>
    </row>
    <row r="49" spans="1:12" ht="47.25" x14ac:dyDescent="0.2">
      <c r="A49" s="329" t="str">
        <f>IF(B49&gt;0,VLOOKUP(B49,КВСР!A16:B1181,2),IF(C49&gt;0,VLOOKUP(C49,КФСР!A16:B1528,2),IF(D49&gt;0,VLOOKUP(D49,Программа!A$3:B$4973,2),IF(F49&gt;0,VLOOKUP(F49,КВР!A$1:B$5001,2),IF(E49&gt;0,VLOOKUP(E49,Направление!A$1:B$4591,2))))))</f>
        <v xml:space="preserve"> Дорожная деятельность в отношении дорожной сети   городского поселения Тутаев </v>
      </c>
      <c r="B49" s="179"/>
      <c r="C49" s="180"/>
      <c r="D49" s="181" t="s">
        <v>616</v>
      </c>
      <c r="E49" s="180"/>
      <c r="F49" s="182"/>
      <c r="G49" s="114">
        <f>G52+G54+G56</f>
        <v>37500000</v>
      </c>
      <c r="H49" s="114">
        <f>H52+H54+H56+H58+H50</f>
        <v>0</v>
      </c>
      <c r="I49" s="114">
        <f>I50+I52+I54+I56+I58</f>
        <v>72500000</v>
      </c>
      <c r="J49" s="114">
        <f t="shared" ref="J49:L49" si="39">J50+J52+J54+J56+J58</f>
        <v>70300000</v>
      </c>
      <c r="K49" s="114">
        <f t="shared" si="39"/>
        <v>0</v>
      </c>
      <c r="L49" s="114">
        <f t="shared" si="39"/>
        <v>70300000</v>
      </c>
    </row>
    <row r="50" spans="1:12" ht="87.75" customHeight="1" x14ac:dyDescent="0.2">
      <c r="A50" s="329" t="str">
        <f>IF(B50&gt;0,VLOOKUP(B50,КВСР!A17:B1182,2),IF(C50&gt;0,VLOOKUP(C50,КФСР!A17:B1529,2),IF(D50&gt;0,VLOOKUP(D50,Программа!A$3:B$4973,2),IF(F50&gt;0,VLOOKUP(F50,КВР!A$1:B$5001,2),IF(E50&gt;0,VLOOKUP(E50,Направление!A$1:B$4591,2))))))</f>
        <v>Межбюджетные трансферты на обеспечение  мероприятий по  разработке схем организации дорожного движения в рамках агломерации "Ярославская"</v>
      </c>
      <c r="B50" s="179"/>
      <c r="C50" s="180"/>
      <c r="D50" s="181"/>
      <c r="E50" s="180">
        <v>23906</v>
      </c>
      <c r="F50" s="182"/>
      <c r="G50" s="114">
        <f>G51</f>
        <v>0</v>
      </c>
      <c r="H50" s="114">
        <f t="shared" ref="H50:H52" si="40">H51</f>
        <v>3888889</v>
      </c>
      <c r="I50" s="114">
        <f t="shared" ref="I50" si="41">SUM(G50:H50)</f>
        <v>3888889</v>
      </c>
      <c r="J50" s="114">
        <f t="shared" ref="J50:K52" si="42">J51</f>
        <v>0</v>
      </c>
      <c r="K50" s="114">
        <f t="shared" si="42"/>
        <v>3422223</v>
      </c>
      <c r="L50" s="114">
        <f t="shared" ref="L50" si="43">SUM(J50:K50)</f>
        <v>3422223</v>
      </c>
    </row>
    <row r="51" spans="1:12" ht="13.5" customHeight="1" x14ac:dyDescent="0.2">
      <c r="A51" s="329" t="str">
        <f>IF(B51&gt;0,VLOOKUP(B51,КВСР!A18:B1183,2),IF(C51&gt;0,VLOOKUP(C51,КФСР!A18:B1530,2),IF(D51&gt;0,VLOOKUP(D51,Программа!A$3:B$4973,2),IF(F51&gt;0,VLOOKUP(F51,КВР!A$1:B$5001,2),IF(E51&gt;0,VLOOKUP(E51,Направление!A$1:B$4591,2))))))</f>
        <v xml:space="preserve"> Межбюджетные трансферты</v>
      </c>
      <c r="B51" s="179"/>
      <c r="C51" s="180"/>
      <c r="D51" s="181"/>
      <c r="E51" s="180"/>
      <c r="F51" s="182">
        <v>500</v>
      </c>
      <c r="G51" s="291"/>
      <c r="H51" s="291">
        <v>3888889</v>
      </c>
      <c r="I51" s="292">
        <f>G51+H51</f>
        <v>3888889</v>
      </c>
      <c r="J51" s="291"/>
      <c r="K51" s="291">
        <v>3422223</v>
      </c>
      <c r="L51" s="292">
        <f>J51+K51</f>
        <v>3422223</v>
      </c>
    </row>
    <row r="52" spans="1:12" ht="63" x14ac:dyDescent="0.2">
      <c r="A52" s="329" t="str">
        <f>IF(B52&gt;0,VLOOKUP(B52,КВСР!A17:B1182,2),IF(C52&gt;0,VLOOKUP(C52,КФСР!A17:B1529,2),IF(D52&gt;0,VLOOKUP(D52,Программа!A$3:B$4973,2),IF(F52&gt;0,VLOOKUP(F52,КВР!A$1:B$5001,2),IF(E52&gt;0,VLOOKUP(E52,Направление!A$1:B$4591,2))))))</f>
        <v>Межбюджетные трансферты на обеспечение   мероприятий в области  дорожного хозяйства  на  ремонт и содержание автомобильных дорог</v>
      </c>
      <c r="B52" s="179"/>
      <c r="C52" s="180"/>
      <c r="D52" s="181"/>
      <c r="E52" s="180">
        <v>29086</v>
      </c>
      <c r="F52" s="182"/>
      <c r="G52" s="114">
        <f>G53</f>
        <v>23500000</v>
      </c>
      <c r="H52" s="114">
        <f t="shared" si="40"/>
        <v>-3888889</v>
      </c>
      <c r="I52" s="114">
        <f t="shared" ref="I52:I61" si="44">SUM(G52:H52)</f>
        <v>19611111</v>
      </c>
      <c r="J52" s="114">
        <f t="shared" si="42"/>
        <v>24500000</v>
      </c>
      <c r="K52" s="114">
        <f t="shared" si="42"/>
        <v>-3422223</v>
      </c>
      <c r="L52" s="114">
        <f t="shared" ref="L52:L61" si="45">SUM(J52:K52)</f>
        <v>21077777</v>
      </c>
    </row>
    <row r="53" spans="1:12" ht="15.75" x14ac:dyDescent="0.2">
      <c r="A53" s="329" t="str">
        <f>IF(B53&gt;0,VLOOKUP(B53,КВСР!A18:B1183,2),IF(C53&gt;0,VLOOKUP(C53,КФСР!A18:B1530,2),IF(D53&gt;0,VLOOKUP(D53,Программа!A$3:B$4973,2),IF(F53&gt;0,VLOOKUP(F53,КВР!A$1:B$5001,2),IF(E53&gt;0,VLOOKUP(E53,Направление!A$1:B$4591,2))))))</f>
        <v xml:space="preserve"> Межбюджетные трансферты</v>
      </c>
      <c r="B53" s="179"/>
      <c r="C53" s="180"/>
      <c r="D53" s="181"/>
      <c r="E53" s="180"/>
      <c r="F53" s="182">
        <v>500</v>
      </c>
      <c r="G53" s="291">
        <v>23500000</v>
      </c>
      <c r="H53" s="291">
        <v>-3888889</v>
      </c>
      <c r="I53" s="292">
        <f>G53+H53</f>
        <v>19611111</v>
      </c>
      <c r="J53" s="291">
        <v>24500000</v>
      </c>
      <c r="K53" s="291">
        <v>-3422223</v>
      </c>
      <c r="L53" s="292">
        <f>J53+K53</f>
        <v>21077777</v>
      </c>
    </row>
    <row r="54" spans="1:12" ht="63" x14ac:dyDescent="0.2">
      <c r="A54" s="329" t="str">
        <f>IF(B54&gt;0,VLOOKUP(B54,КВСР!A19:B1184,2),IF(C54&gt;0,VLOOKUP(C54,КФСР!A19:B1531,2),IF(D54&gt;0,VLOOKUP(D54,Программа!A$3:B$4973,2),IF(F54&gt;0,VLOOKUP(F54,КВР!A$1:B$5001,2),IF(E54&gt;0,VLOOKUP(E54,Направление!A$1:B$4591,2))))))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B54" s="179"/>
      <c r="C54" s="180"/>
      <c r="D54" s="181"/>
      <c r="E54" s="180">
        <v>29096</v>
      </c>
      <c r="F54" s="182"/>
      <c r="G54" s="114">
        <f>G55</f>
        <v>1265000</v>
      </c>
      <c r="H54" s="114">
        <f t="shared" ref="H54" si="46">H55</f>
        <v>0</v>
      </c>
      <c r="I54" s="114">
        <f t="shared" si="44"/>
        <v>1265000</v>
      </c>
      <c r="J54" s="114">
        <f t="shared" ref="J54:K54" si="47">J55</f>
        <v>1265000</v>
      </c>
      <c r="K54" s="114">
        <f t="shared" si="47"/>
        <v>0</v>
      </c>
      <c r="L54" s="114">
        <f t="shared" si="45"/>
        <v>1265000</v>
      </c>
    </row>
    <row r="55" spans="1:12" ht="15.75" x14ac:dyDescent="0.2">
      <c r="A55" s="329" t="str">
        <f>IF(B55&gt;0,VLOOKUP(B55,КВСР!A20:B1185,2),IF(C55&gt;0,VLOOKUP(C55,КФСР!A20:B1532,2),IF(D55&gt;0,VLOOKUP(D55,Программа!A$3:B$4973,2),IF(F55&gt;0,VLOOKUP(F55,КВР!A$1:B$5001,2),IF(E55&gt;0,VLOOKUP(E55,Направление!A$1:B$4591,2))))))</f>
        <v xml:space="preserve"> Межбюджетные трансферты</v>
      </c>
      <c r="B55" s="179"/>
      <c r="C55" s="180"/>
      <c r="D55" s="181"/>
      <c r="E55" s="180"/>
      <c r="F55" s="182">
        <v>500</v>
      </c>
      <c r="G55" s="291">
        <v>1265000</v>
      </c>
      <c r="H55" s="291"/>
      <c r="I55" s="292">
        <f>G55+H55</f>
        <v>1265000</v>
      </c>
      <c r="J55" s="291">
        <v>1265000</v>
      </c>
      <c r="K55" s="291"/>
      <c r="L55" s="292">
        <f>J55+K55</f>
        <v>1265000</v>
      </c>
    </row>
    <row r="56" spans="1:12" ht="63" x14ac:dyDescent="0.2">
      <c r="A56" s="329" t="str">
        <f>IF(B56&gt;0,VLOOKUP(B56,КВСР!A21:B1186,2),IF(C56&gt;0,VLOOKUP(C56,КФСР!A21:B1533,2),IF(D56&gt;0,VLOOKUP(D56,Программа!A$3:B$4973,2),IF(F56&gt;0,VLOOKUP(F56,КВР!A$1:B$5001,2),IF(E56&gt;0,VLOOKUP(E56,Направление!A$1:B$4591,2))))))</f>
        <v>Межбюджетные трансферты на обеспечение содержания и организации деятельности в области  дорожного хозяйства</v>
      </c>
      <c r="B56" s="179"/>
      <c r="C56" s="180"/>
      <c r="D56" s="181"/>
      <c r="E56" s="180">
        <v>29696</v>
      </c>
      <c r="F56" s="182"/>
      <c r="G56" s="114">
        <f>G57</f>
        <v>12735000</v>
      </c>
      <c r="H56" s="114">
        <f t="shared" ref="H56" si="48">H57</f>
        <v>0</v>
      </c>
      <c r="I56" s="114">
        <f t="shared" si="44"/>
        <v>12735000</v>
      </c>
      <c r="J56" s="114">
        <f t="shared" ref="J56:K56" si="49">J57</f>
        <v>13735000</v>
      </c>
      <c r="K56" s="114">
        <f t="shared" si="49"/>
        <v>0</v>
      </c>
      <c r="L56" s="114">
        <f t="shared" si="45"/>
        <v>13735000</v>
      </c>
    </row>
    <row r="57" spans="1:12" ht="15.75" x14ac:dyDescent="0.2">
      <c r="A57" s="329" t="str">
        <f>IF(B57&gt;0,VLOOKUP(B57,КВСР!A22:B1187,2),IF(C57&gt;0,VLOOKUP(C57,КФСР!A22:B1534,2),IF(D57&gt;0,VLOOKUP(D57,Программа!A$3:B$4973,2),IF(F57&gt;0,VLOOKUP(F57,КВР!A$1:B$5001,2),IF(E57&gt;0,VLOOKUP(E57,Направление!A$1:B$4591,2))))))</f>
        <v xml:space="preserve"> Межбюджетные трансферты</v>
      </c>
      <c r="B57" s="179"/>
      <c r="C57" s="180"/>
      <c r="D57" s="181"/>
      <c r="E57" s="180"/>
      <c r="F57" s="182">
        <v>500</v>
      </c>
      <c r="G57" s="291">
        <v>12735000</v>
      </c>
      <c r="H57" s="291"/>
      <c r="I57" s="292">
        <f>G57+H57</f>
        <v>12735000</v>
      </c>
      <c r="J57" s="291">
        <v>13735000</v>
      </c>
      <c r="K57" s="291"/>
      <c r="L57" s="292">
        <f>J57+K57</f>
        <v>13735000</v>
      </c>
    </row>
    <row r="58" spans="1:12" ht="47.25" x14ac:dyDescent="0.2">
      <c r="A58" s="503" t="str">
        <f>IF(B58&gt;0,VLOOKUP(B58,КВСР!A23:B1188,2),IF(C58&gt;0,VLOOKUP(C58,КФСР!A23:B1535,2),IF(D58&gt;0,VLOOKUP(D58,Программа!A$3:B$4973,2),IF(F58&gt;0,VLOOKUP(F58,КВР!A$1:B$5001,2),IF(E58&gt;0,VLOOKUP(E58,Направление!A$1:B$4591,2))))))</f>
        <v>Комплексное развитие транспортной инфраструктуры городской агломерации «Ярославская»</v>
      </c>
      <c r="B58" s="181"/>
      <c r="C58" s="181"/>
      <c r="D58" s="181"/>
      <c r="E58" s="181" t="s">
        <v>628</v>
      </c>
      <c r="F58" s="182"/>
      <c r="G58" s="114">
        <f>G59</f>
        <v>35000000</v>
      </c>
      <c r="H58" s="114">
        <f>H59</f>
        <v>0</v>
      </c>
      <c r="I58" s="114">
        <f t="shared" si="44"/>
        <v>35000000</v>
      </c>
      <c r="J58" s="114">
        <f>J59</f>
        <v>30800000</v>
      </c>
      <c r="K58" s="114">
        <f>K59</f>
        <v>0</v>
      </c>
      <c r="L58" s="114">
        <f t="shared" si="45"/>
        <v>30800000</v>
      </c>
    </row>
    <row r="59" spans="1:12" ht="15.75" x14ac:dyDescent="0.2">
      <c r="A59" s="329" t="str">
        <f>IF(B59&gt;0,VLOOKUP(B59,КВСР!A24:B1189,2),IF(C59&gt;0,VLOOKUP(C59,КФСР!A24:B1536,2),IF(D59&gt;0,VLOOKUP(D59,Программа!A$3:B$4973,2),IF(F59&gt;0,VLOOKUP(F59,КВР!A$1:B$5001,2),IF(E59&gt;0,VLOOKUP(E59,Направление!A$1:B$4591,2))))))</f>
        <v xml:space="preserve"> Межбюджетные трансферты</v>
      </c>
      <c r="B59" s="179"/>
      <c r="C59" s="180"/>
      <c r="D59" s="181"/>
      <c r="E59" s="180"/>
      <c r="F59" s="182">
        <v>500</v>
      </c>
      <c r="G59" s="291">
        <v>35000000</v>
      </c>
      <c r="H59" s="291"/>
      <c r="I59" s="292">
        <f>SUM(G59:H59)</f>
        <v>35000000</v>
      </c>
      <c r="J59" s="291">
        <v>30800000</v>
      </c>
      <c r="K59" s="291"/>
      <c r="L59" s="292">
        <f>SUM(J59:K59)</f>
        <v>30800000</v>
      </c>
    </row>
    <row r="60" spans="1:12" ht="63" x14ac:dyDescent="0.2">
      <c r="A60" s="329" t="str">
        <f>IF(B60&gt;0,VLOOKUP(B60,КВСР!A23:B1188,2),IF(C60&gt;0,VLOOKUP(C60,КФСР!A23:B1535,2),IF(D60&gt;0,VLOOKUP(D60,Программа!A$3:B$4973,2),IF(F60&gt;0,VLOOKUP(F60,КВР!A$1:B$5001,2),IF(E60&gt;0,VLOOKUP(E60,Направление!A$1:B$4591,2))))))</f>
        <v>Реализация мероприятий губернаторского проекта "Решаем вместе!" (инициативное бюджетирование)</v>
      </c>
      <c r="B60" s="179"/>
      <c r="C60" s="180"/>
      <c r="D60" s="181" t="s">
        <v>619</v>
      </c>
      <c r="E60" s="180"/>
      <c r="F60" s="182"/>
      <c r="G60" s="114">
        <f>G61</f>
        <v>500000</v>
      </c>
      <c r="H60" s="114">
        <f t="shared" ref="H60:H61" si="50">H61</f>
        <v>0</v>
      </c>
      <c r="I60" s="114">
        <f t="shared" si="44"/>
        <v>500000</v>
      </c>
      <c r="J60" s="114">
        <f t="shared" ref="J60:K61" si="51">J61</f>
        <v>500000</v>
      </c>
      <c r="K60" s="114">
        <f t="shared" si="51"/>
        <v>0</v>
      </c>
      <c r="L60" s="114">
        <f t="shared" si="45"/>
        <v>500000</v>
      </c>
    </row>
    <row r="61" spans="1:12" ht="78.75" x14ac:dyDescent="0.2">
      <c r="A61" s="506" t="str">
        <f>IF(B61&gt;0,VLOOKUP(B61,КВСР!A24:B1189,2),IF(C61&gt;0,VLOOKUP(C61,КФСР!A24:B1536,2),IF(D61&gt;0,VLOOKUP(D61,Программа!A$3:B$4973,2),IF(F61&gt;0,VLOOKUP(F61,КВР!A$1:B$5001,2),IF(E61&gt;0,VLOOKUP(E61,Направление!A$1:B$4591,2))))))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B61" s="179"/>
      <c r="C61" s="180"/>
      <c r="D61" s="181"/>
      <c r="E61" s="180">
        <v>25356</v>
      </c>
      <c r="F61" s="182"/>
      <c r="G61" s="114">
        <f>G62</f>
        <v>500000</v>
      </c>
      <c r="H61" s="114">
        <f t="shared" si="50"/>
        <v>0</v>
      </c>
      <c r="I61" s="114">
        <f t="shared" si="44"/>
        <v>500000</v>
      </c>
      <c r="J61" s="114">
        <f t="shared" si="51"/>
        <v>500000</v>
      </c>
      <c r="K61" s="114">
        <f t="shared" si="51"/>
        <v>0</v>
      </c>
      <c r="L61" s="114">
        <f t="shared" si="45"/>
        <v>500000</v>
      </c>
    </row>
    <row r="62" spans="1:12" ht="15.75" x14ac:dyDescent="0.2">
      <c r="A62" s="329" t="str">
        <f>IF(B62&gt;0,VLOOKUP(B62,КВСР!A25:B1190,2),IF(C62&gt;0,VLOOKUP(C62,КФСР!A25:B1537,2),IF(D62&gt;0,VLOOKUP(D62,Программа!A$3:B$4973,2),IF(F62&gt;0,VLOOKUP(F62,КВР!A$1:B$5001,2),IF(E62&gt;0,VLOOKUP(E62,Направление!A$1:B$4591,2))))))</f>
        <v xml:space="preserve"> Межбюджетные трансферты</v>
      </c>
      <c r="B62" s="179"/>
      <c r="C62" s="180"/>
      <c r="D62" s="181"/>
      <c r="E62" s="180"/>
      <c r="F62" s="182">
        <v>500</v>
      </c>
      <c r="G62" s="291">
        <v>500000</v>
      </c>
      <c r="H62" s="291"/>
      <c r="I62" s="292">
        <f>G62+H62</f>
        <v>500000</v>
      </c>
      <c r="J62" s="291">
        <v>500000</v>
      </c>
      <c r="K62" s="291"/>
      <c r="L62" s="292">
        <f>J62+K62</f>
        <v>500000</v>
      </c>
    </row>
    <row r="63" spans="1:12" ht="31.5" x14ac:dyDescent="0.2">
      <c r="A63" s="330" t="str">
        <f>IF(B63&gt;0,VLOOKUP(B63,КВСР!A26:B1191,2),IF(C63&gt;0,VLOOKUP(C63,КФСР!A26:B1538,2),IF(D63&gt;0,VLOOKUP(D63,Программа!A$3:B$4973,2),IF(F63&gt;0,VLOOKUP(F63,КВР!A$1:B$5001,2),IF(E63&gt;0,VLOOKUP(E63,Направление!A$1:B$4591,2))))))</f>
        <v>Другие вопросы в области национальной экономики</v>
      </c>
      <c r="B63" s="183"/>
      <c r="C63" s="184">
        <v>412</v>
      </c>
      <c r="D63" s="185"/>
      <c r="E63" s="184"/>
      <c r="F63" s="186"/>
      <c r="G63" s="145">
        <f>+G64</f>
        <v>250000</v>
      </c>
      <c r="H63" s="145">
        <f t="shared" ref="H63:L63" si="52">+H64</f>
        <v>0</v>
      </c>
      <c r="I63" s="145">
        <f t="shared" si="52"/>
        <v>250000</v>
      </c>
      <c r="J63" s="145">
        <f t="shared" si="52"/>
        <v>250000</v>
      </c>
      <c r="K63" s="145">
        <f t="shared" si="52"/>
        <v>0</v>
      </c>
      <c r="L63" s="145">
        <f t="shared" si="52"/>
        <v>250000</v>
      </c>
    </row>
    <row r="64" spans="1:12" ht="15.75" x14ac:dyDescent="0.2">
      <c r="A64" s="328" t="str">
        <f>IF(B64&gt;0,VLOOKUP(B64,КВСР!A31:B1196,2),IF(C64&gt;0,VLOOKUP(C64,КФСР!A31:B1543,2),IF(D64&gt;0,VLOOKUP(D64,Программа!A$3:B$4973,2),IF(F64&gt;0,VLOOKUP(F64,КВР!A$1:B$5001,2),IF(E64&gt;0,VLOOKUP(E64,Направление!A$1:B$4591,2))))))</f>
        <v>Непрограммные расходы бюджета</v>
      </c>
      <c r="B64" s="298"/>
      <c r="C64" s="299"/>
      <c r="D64" s="301" t="s">
        <v>618</v>
      </c>
      <c r="E64" s="299"/>
      <c r="F64" s="301"/>
      <c r="G64" s="407">
        <f>G65</f>
        <v>250000</v>
      </c>
      <c r="H64" s="407">
        <f t="shared" ref="H64:L64" si="53">H65</f>
        <v>0</v>
      </c>
      <c r="I64" s="407">
        <f t="shared" si="53"/>
        <v>250000</v>
      </c>
      <c r="J64" s="407">
        <f t="shared" si="53"/>
        <v>250000</v>
      </c>
      <c r="K64" s="407">
        <f t="shared" si="53"/>
        <v>0</v>
      </c>
      <c r="L64" s="407">
        <f t="shared" si="53"/>
        <v>250000</v>
      </c>
    </row>
    <row r="65" spans="1:12" ht="94.5" x14ac:dyDescent="0.2">
      <c r="A65" s="329" t="str">
        <f>IF(B65&gt;0,VLOOKUP(B65,КВСР!A32:B1197,2),IF(C65&gt;0,VLOOKUP(C65,КФСР!A32:B1544,2),IF(D65&gt;0,VLOOKUP(D65,Программа!A$3:B$4973,2),IF(F65&gt;0,VLOOKUP(F65,КВР!A$1:B$5001,2),IF(E65&gt;0,VLOOKUP(E65,Направление!A$1:B$4591,2))))))</f>
        <v>Межбюджетные трансферты на обеспечение мероприятий  по землеустройству и землепользованию,   определению кадастровой стоимости и приобретению прав собственности на землю</v>
      </c>
      <c r="B65" s="179"/>
      <c r="C65" s="180"/>
      <c r="D65" s="182"/>
      <c r="E65" s="180">
        <v>29276</v>
      </c>
      <c r="F65" s="182"/>
      <c r="G65" s="114">
        <f>G66</f>
        <v>250000</v>
      </c>
      <c r="H65" s="114">
        <f t="shared" ref="H65:L65" si="54">H66</f>
        <v>0</v>
      </c>
      <c r="I65" s="114">
        <f t="shared" si="54"/>
        <v>250000</v>
      </c>
      <c r="J65" s="114">
        <f t="shared" si="54"/>
        <v>250000</v>
      </c>
      <c r="K65" s="114">
        <f t="shared" si="54"/>
        <v>0</v>
      </c>
      <c r="L65" s="114">
        <f t="shared" si="54"/>
        <v>250000</v>
      </c>
    </row>
    <row r="66" spans="1:12" ht="15.75" x14ac:dyDescent="0.2">
      <c r="A66" s="329" t="str">
        <f>IF(B66&gt;0,VLOOKUP(B66,КВСР!A33:B1198,2),IF(C66&gt;0,VLOOKUP(C66,КФСР!A33:B1545,2),IF(D66&gt;0,VLOOKUP(D66,Программа!A$3:B$4973,2),IF(F66&gt;0,VLOOKUP(F66,КВР!A$1:B$5001,2),IF(E66&gt;0,VLOOKUP(E66,Направление!A$1:B$4591,2))))))</f>
        <v xml:space="preserve"> Межбюджетные трансферты</v>
      </c>
      <c r="B66" s="179"/>
      <c r="C66" s="180"/>
      <c r="D66" s="182"/>
      <c r="E66" s="180"/>
      <c r="F66" s="182">
        <v>500</v>
      </c>
      <c r="G66" s="292">
        <v>250000</v>
      </c>
      <c r="H66" s="292"/>
      <c r="I66" s="292">
        <f>G66+H66</f>
        <v>250000</v>
      </c>
      <c r="J66" s="292">
        <v>250000</v>
      </c>
      <c r="K66" s="292"/>
      <c r="L66" s="292">
        <f>J66+K66</f>
        <v>250000</v>
      </c>
    </row>
    <row r="67" spans="1:12" ht="15.75" x14ac:dyDescent="0.2">
      <c r="A67" s="330" t="str">
        <f>IF(B67&gt;0,VLOOKUP(B67,КВСР!A34:B1199,2),IF(C67&gt;0,VLOOKUP(C67,КФСР!A34:B1546,2),IF(D67&gt;0,VLOOKUP(D67,Программа!A$3:B$4973,2),IF(F67&gt;0,VLOOKUP(F67,КВР!A$1:B$5001,2),IF(E67&gt;0,VLOOKUP(E67,Направление!A$1:B$4591,2))))))</f>
        <v>Жилищное хозяйство</v>
      </c>
      <c r="B67" s="183"/>
      <c r="C67" s="184">
        <v>501</v>
      </c>
      <c r="D67" s="186"/>
      <c r="E67" s="184"/>
      <c r="F67" s="186"/>
      <c r="G67" s="280">
        <f>G68</f>
        <v>5100000</v>
      </c>
      <c r="H67" s="280">
        <f t="shared" ref="H67:L67" si="55">H68</f>
        <v>0</v>
      </c>
      <c r="I67" s="280">
        <f t="shared" si="55"/>
        <v>5100000</v>
      </c>
      <c r="J67" s="280">
        <f t="shared" si="55"/>
        <v>5100000</v>
      </c>
      <c r="K67" s="280">
        <f t="shared" si="55"/>
        <v>0</v>
      </c>
      <c r="L67" s="280">
        <f t="shared" si="55"/>
        <v>5100000</v>
      </c>
    </row>
    <row r="68" spans="1:12" ht="15.75" x14ac:dyDescent="0.2">
      <c r="A68" s="328" t="str">
        <f>IF(B68&gt;0,VLOOKUP(B68,КВСР!A39:B1204,2),IF(C68&gt;0,VLOOKUP(C68,КФСР!A39:B1551,2),IF(D68&gt;0,VLOOKUP(D68,Программа!A$3:B$4973,2),IF(F68&gt;0,VLOOKUP(F68,КВР!A$1:B$5001,2),IF(E68&gt;0,VLOOKUP(E68,Направление!A$1:B$4591,2))))))</f>
        <v>Непрограммные расходы бюджета</v>
      </c>
      <c r="B68" s="298"/>
      <c r="C68" s="299"/>
      <c r="D68" s="301" t="s">
        <v>618</v>
      </c>
      <c r="E68" s="299"/>
      <c r="F68" s="301"/>
      <c r="G68" s="407">
        <f>G69+G71</f>
        <v>5100000</v>
      </c>
      <c r="H68" s="407">
        <f t="shared" ref="H68:I68" si="56">H69+H71</f>
        <v>0</v>
      </c>
      <c r="I68" s="407">
        <f t="shared" si="56"/>
        <v>5100000</v>
      </c>
      <c r="J68" s="407">
        <f t="shared" ref="J68" si="57">J69+J71</f>
        <v>5100000</v>
      </c>
      <c r="K68" s="407">
        <f t="shared" ref="K68:L68" si="58">K69+K71</f>
        <v>0</v>
      </c>
      <c r="L68" s="407">
        <f t="shared" si="58"/>
        <v>5100000</v>
      </c>
    </row>
    <row r="69" spans="1:12" ht="47.25" x14ac:dyDescent="0.2">
      <c r="A69" s="329" t="str">
        <f>IF(B69&gt;0,VLOOKUP(B69,КВСР!A40:B1205,2),IF(C69&gt;0,VLOOKUP(C69,КФСР!A40:B1552,2),IF(D69&gt;0,VLOOKUP(D69,Программа!A$3:B$4973,2),IF(F69&gt;0,VLOOKUP(F69,КВР!A$1:B$5001,2),IF(E69&gt;0,VLOOKUP(E69,Направление!A$1:B$4591,2))))))</f>
        <v>Взнос на капитальный  ремонт  жилых помещений муниципального жилищного фонда</v>
      </c>
      <c r="B69" s="179"/>
      <c r="C69" s="180"/>
      <c r="D69" s="182"/>
      <c r="E69" s="180">
        <v>20090</v>
      </c>
      <c r="F69" s="182"/>
      <c r="G69" s="117">
        <f>G70</f>
        <v>3600000</v>
      </c>
      <c r="H69" s="117">
        <f t="shared" ref="H69:I69" si="59">H70</f>
        <v>0</v>
      </c>
      <c r="I69" s="117">
        <f t="shared" si="59"/>
        <v>3600000</v>
      </c>
      <c r="J69" s="117">
        <f t="shared" ref="J69:L69" si="60">J70</f>
        <v>3600000</v>
      </c>
      <c r="K69" s="117">
        <f t="shared" si="60"/>
        <v>0</v>
      </c>
      <c r="L69" s="117">
        <f t="shared" si="60"/>
        <v>3600000</v>
      </c>
    </row>
    <row r="70" spans="1:12" ht="63" x14ac:dyDescent="0.2">
      <c r="A70" s="329" t="str">
        <f>IF(B70&gt;0,VLOOKUP(B70,КВСР!A41:B1206,2),IF(C70&gt;0,VLOOKUP(C70,КФСР!A41:B1553,2),IF(D70&gt;0,VLOOKUP(D70,Программа!A$3:B$4973,2),IF(F70&gt;0,VLOOKUP(F70,КВР!A$1:B$5001,2),IF(E70&gt;0,VLOOKUP(E70,Направление!A$1:B$4591,2))))))</f>
        <v xml:space="preserve">Закупка товаров, работ и услуг для обеспечения государственных (муниципальных) нужд
</v>
      </c>
      <c r="B70" s="179"/>
      <c r="C70" s="180"/>
      <c r="D70" s="182"/>
      <c r="E70" s="180"/>
      <c r="F70" s="182">
        <v>200</v>
      </c>
      <c r="G70" s="292">
        <v>3600000</v>
      </c>
      <c r="H70" s="292"/>
      <c r="I70" s="292">
        <f>G70+H70</f>
        <v>3600000</v>
      </c>
      <c r="J70" s="292">
        <v>3600000</v>
      </c>
      <c r="K70" s="292"/>
      <c r="L70" s="292">
        <f>J70+K70</f>
        <v>3600000</v>
      </c>
    </row>
    <row r="71" spans="1:12" ht="78.75" x14ac:dyDescent="0.2">
      <c r="A71" s="329" t="str">
        <f>IF(B71&gt;0,VLOOKUP(B71,КВСР!A42:B1207,2),IF(C71&gt;0,VLOOKUP(C71,КФСР!A42:B1554,2),IF(D71&gt;0,VLOOKUP(D71,Программа!A$3:B$4973,2),IF(F71&gt;0,VLOOKUP(F71,КВР!A$1:B$5001,2),IF(E71&gt;0,VLOOKUP(E71,Направление!A$1:B$4591,2))))))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B71" s="179"/>
      <c r="C71" s="180"/>
      <c r="D71" s="182"/>
      <c r="E71" s="180">
        <v>29376</v>
      </c>
      <c r="F71" s="182"/>
      <c r="G71" s="114">
        <f>G72</f>
        <v>1500000</v>
      </c>
      <c r="H71" s="114">
        <f t="shared" ref="H71:I71" si="61">H72</f>
        <v>0</v>
      </c>
      <c r="I71" s="114">
        <f t="shared" si="61"/>
        <v>1500000</v>
      </c>
      <c r="J71" s="114">
        <f t="shared" ref="J71:L71" si="62">J72</f>
        <v>1500000</v>
      </c>
      <c r="K71" s="114">
        <f t="shared" si="62"/>
        <v>0</v>
      </c>
      <c r="L71" s="114">
        <f t="shared" si="62"/>
        <v>1500000</v>
      </c>
    </row>
    <row r="72" spans="1:12" ht="15.75" x14ac:dyDescent="0.2">
      <c r="A72" s="329" t="str">
        <f>IF(B72&gt;0,VLOOKUP(B72,КВСР!A43:B1208,2),IF(C72&gt;0,VLOOKUP(C72,КФСР!A43:B1555,2),IF(D72&gt;0,VLOOKUP(D72,Программа!A$3:B$4973,2),IF(F72&gt;0,VLOOKUP(F72,КВР!A$1:B$5001,2),IF(E72&gt;0,VLOOKUP(E72,Направление!A$1:B$4591,2))))))</f>
        <v xml:space="preserve"> Межбюджетные трансферты</v>
      </c>
      <c r="B72" s="179"/>
      <c r="C72" s="180"/>
      <c r="D72" s="182"/>
      <c r="E72" s="180"/>
      <c r="F72" s="182">
        <v>500</v>
      </c>
      <c r="G72" s="291">
        <v>1500000</v>
      </c>
      <c r="H72" s="291"/>
      <c r="I72" s="292">
        <f>G72+H72</f>
        <v>1500000</v>
      </c>
      <c r="J72" s="291">
        <v>1500000</v>
      </c>
      <c r="K72" s="291"/>
      <c r="L72" s="292">
        <f>J72+K72</f>
        <v>1500000</v>
      </c>
    </row>
    <row r="73" spans="1:12" ht="15.75" x14ac:dyDescent="0.2">
      <c r="A73" s="330" t="str">
        <f>IF(B73&gt;0,VLOOKUP(B73,КВСР!A46:B1211,2),IF(C73&gt;0,VLOOKUP(C73,КФСР!A46:B1558,2),IF(D73&gt;0,VLOOKUP(D73,Программа!A$3:B$4973,2),IF(F73&gt;0,VLOOKUP(F73,КВР!A$1:B$5001,2),IF(E73&gt;0,VLOOKUP(E73,Направление!A$1:B$4591,2))))))</f>
        <v>Коммунальное хозяйство</v>
      </c>
      <c r="B73" s="183"/>
      <c r="C73" s="184">
        <v>502</v>
      </c>
      <c r="D73" s="186"/>
      <c r="E73" s="184"/>
      <c r="F73" s="186"/>
      <c r="G73" s="145">
        <f>G74</f>
        <v>1500000</v>
      </c>
      <c r="H73" s="145">
        <f t="shared" ref="H73:L73" si="63">H74</f>
        <v>0</v>
      </c>
      <c r="I73" s="145">
        <f t="shared" si="63"/>
        <v>1500000</v>
      </c>
      <c r="J73" s="145">
        <f t="shared" si="63"/>
        <v>1500000</v>
      </c>
      <c r="K73" s="145">
        <f t="shared" si="63"/>
        <v>0</v>
      </c>
      <c r="L73" s="145">
        <f t="shared" si="63"/>
        <v>1500000</v>
      </c>
    </row>
    <row r="74" spans="1:12" ht="47.25" x14ac:dyDescent="0.2">
      <c r="A74" s="329" t="str">
        <f>IF(B74&gt;0,VLOOKUP(B74,КВСР!A48:B1213,2),IF(C74&gt;0,VLOOKUP(C74,КФСР!A48:B1560,2),IF(D74&gt;0,VLOOKUP(D74,Программа!A$3:B$4973,2),IF(F74&gt;0,VLOOKUP(F74,КВР!A$1:B$5001,2),IF(E74&gt;0,VLOOKUP(E74,Направление!A$1:B$4591,2))))))</f>
        <v xml:space="preserve">Муниципальная программа "Обеспечение населения городского поселения Тутаев банными услугами" </v>
      </c>
      <c r="B74" s="210"/>
      <c r="C74" s="211"/>
      <c r="D74" s="212" t="s">
        <v>721</v>
      </c>
      <c r="E74" s="211"/>
      <c r="F74" s="212"/>
      <c r="G74" s="114">
        <f>G75</f>
        <v>1500000</v>
      </c>
      <c r="H74" s="114">
        <f t="shared" ref="H74:I76" si="64">H75</f>
        <v>0</v>
      </c>
      <c r="I74" s="114">
        <f t="shared" si="64"/>
        <v>1500000</v>
      </c>
      <c r="J74" s="114">
        <f t="shared" ref="J74:L76" si="65">J75</f>
        <v>1500000</v>
      </c>
      <c r="K74" s="114">
        <f t="shared" si="65"/>
        <v>0</v>
      </c>
      <c r="L74" s="114">
        <f t="shared" si="65"/>
        <v>1500000</v>
      </c>
    </row>
    <row r="75" spans="1:12" ht="47.25" x14ac:dyDescent="0.2">
      <c r="A75" s="329" t="str">
        <f>IF(B75&gt;0,VLOOKUP(B75,КВСР!A49:B1214,2),IF(C75&gt;0,VLOOKUP(C75,КФСР!A49:B1561,2),IF(D75&gt;0,VLOOKUP(D75,Программа!A$3:B$4973,2),IF(F75&gt;0,VLOOKUP(F75,КВР!A$1:B$5001,2),IF(E75&gt;0,VLOOKUP(E75,Направление!A$1:B$4591,2))))))</f>
        <v>Обеспечение развития и доступности банных услуг для всех категорий граждан  городского поселения Тутаев</v>
      </c>
      <c r="B75" s="210"/>
      <c r="C75" s="211"/>
      <c r="D75" s="212" t="s">
        <v>722</v>
      </c>
      <c r="E75" s="211"/>
      <c r="F75" s="212"/>
      <c r="G75" s="114">
        <f>G76</f>
        <v>1500000</v>
      </c>
      <c r="H75" s="114">
        <f t="shared" si="64"/>
        <v>0</v>
      </c>
      <c r="I75" s="114">
        <f t="shared" si="64"/>
        <v>1500000</v>
      </c>
      <c r="J75" s="114">
        <f t="shared" si="65"/>
        <v>1500000</v>
      </c>
      <c r="K75" s="114">
        <f t="shared" si="65"/>
        <v>0</v>
      </c>
      <c r="L75" s="114">
        <f t="shared" si="65"/>
        <v>1500000</v>
      </c>
    </row>
    <row r="76" spans="1:12" ht="54.6" customHeight="1" x14ac:dyDescent="0.2">
      <c r="A76" s="329" t="str">
        <f>IF(B76&gt;0,VLOOKUP(B76,КВСР!A50:B1215,2),IF(C76&gt;0,VLOOKUP(C76,КФСР!A50:B1562,2),IF(D76&gt;0,VLOOKUP(D76,Программа!A$3:B$4973,2),IF(F76&gt;0,VLOOKUP(F76,КВР!A$1:B$5001,2),IF(E76&gt;0,VLOOKUP(E76,Направление!A$1:B$4591,2))))))</f>
        <v>Обеспечение мероприятий по организации населению услуг бань в общих отделениях</v>
      </c>
      <c r="B76" s="210"/>
      <c r="C76" s="211"/>
      <c r="D76" s="212"/>
      <c r="E76" s="211">
        <v>20170</v>
      </c>
      <c r="F76" s="212"/>
      <c r="G76" s="114">
        <f>G77</f>
        <v>1500000</v>
      </c>
      <c r="H76" s="114">
        <f t="shared" si="64"/>
        <v>0</v>
      </c>
      <c r="I76" s="114">
        <f t="shared" si="64"/>
        <v>1500000</v>
      </c>
      <c r="J76" s="114">
        <f t="shared" si="65"/>
        <v>1500000</v>
      </c>
      <c r="K76" s="114">
        <f t="shared" si="65"/>
        <v>0</v>
      </c>
      <c r="L76" s="114">
        <f t="shared" si="65"/>
        <v>1500000</v>
      </c>
    </row>
    <row r="77" spans="1:12" ht="15.75" x14ac:dyDescent="0.2">
      <c r="A77" s="329" t="str">
        <f>IF(B77&gt;0,VLOOKUP(B77,КВСР!A51:B1216,2),IF(C77&gt;0,VLOOKUP(C77,КФСР!A51:B1563,2),IF(D77&gt;0,VLOOKUP(D77,Программа!A$3:B$4973,2),IF(F77&gt;0,VLOOKUP(F77,КВР!A$1:B$5001,2),IF(E77&gt;0,VLOOKUP(E77,Направление!A$1:B$4591,2))))))</f>
        <v>Иные бюджетные ассигнования</v>
      </c>
      <c r="B77" s="210"/>
      <c r="C77" s="211"/>
      <c r="D77" s="212"/>
      <c r="E77" s="211"/>
      <c r="F77" s="212">
        <v>800</v>
      </c>
      <c r="G77" s="292">
        <v>1500000</v>
      </c>
      <c r="H77" s="292"/>
      <c r="I77" s="292">
        <f>G77+H77</f>
        <v>1500000</v>
      </c>
      <c r="J77" s="292">
        <v>1500000</v>
      </c>
      <c r="K77" s="292"/>
      <c r="L77" s="292">
        <f>J77+K77</f>
        <v>1500000</v>
      </c>
    </row>
    <row r="78" spans="1:12" ht="15.75" x14ac:dyDescent="0.2">
      <c r="A78" s="330" t="str">
        <f>IF(B78&gt;0,VLOOKUP(B78,КВСР!A64:B1229,2),IF(C78&gt;0,VLOOKUP(C78,КФСР!A64:B1576,2),IF(D78&gt;0,VLOOKUP(D78,Программа!A$3:B$4973,2),IF(F78&gt;0,VLOOKUP(F78,КВР!A$1:B$5001,2),IF(E78&gt;0,VLOOKUP(E78,Направление!A$1:B$4591,2))))))</f>
        <v>Благоустройство</v>
      </c>
      <c r="B78" s="183"/>
      <c r="C78" s="184">
        <v>503</v>
      </c>
      <c r="D78" s="186"/>
      <c r="E78" s="184"/>
      <c r="F78" s="186"/>
      <c r="G78" s="280">
        <f t="shared" ref="G78:L78" si="66">+G79+G83</f>
        <v>28841767</v>
      </c>
      <c r="H78" s="280">
        <f t="shared" si="66"/>
        <v>0</v>
      </c>
      <c r="I78" s="280">
        <f t="shared" si="66"/>
        <v>28841767</v>
      </c>
      <c r="J78" s="280">
        <f t="shared" si="66"/>
        <v>30572818</v>
      </c>
      <c r="K78" s="280">
        <f t="shared" si="66"/>
        <v>0</v>
      </c>
      <c r="L78" s="280">
        <f t="shared" si="66"/>
        <v>30572818</v>
      </c>
    </row>
    <row r="79" spans="1:12" ht="78.75" x14ac:dyDescent="0.2">
      <c r="A79" s="329" t="str">
        <f>IF(B79&gt;0,VLOOKUP(B79,КВСР!A65:B1230,2),IF(C79&gt;0,VLOOKUP(C79,КФСР!A65:B1577,2),IF(D79&gt;0,VLOOKUP(D79,Программа!A$3:B$4973,2),IF(F79&gt;0,VLOOKUP(F79,КВР!A$1:B$5001,2),IF(E79&gt;0,VLOOKUP(E79,Направление!A$1:B$4591,2))))))</f>
        <v xml:space="preserve">Муниципальная программа "Формирование современной городской среды на территории городского поселения Тутаев"
</v>
      </c>
      <c r="B79" s="210"/>
      <c r="C79" s="211"/>
      <c r="D79" s="212" t="s">
        <v>256</v>
      </c>
      <c r="E79" s="211"/>
      <c r="F79" s="212"/>
      <c r="G79" s="117">
        <f>G80</f>
        <v>1500000</v>
      </c>
      <c r="H79" s="117">
        <f t="shared" ref="H79:I79" si="67">H80</f>
        <v>0</v>
      </c>
      <c r="I79" s="117">
        <f t="shared" si="67"/>
        <v>1500000</v>
      </c>
      <c r="J79" s="117">
        <f t="shared" ref="J79:L79" si="68">J80</f>
        <v>1500000</v>
      </c>
      <c r="K79" s="117">
        <f t="shared" si="68"/>
        <v>0</v>
      </c>
      <c r="L79" s="117">
        <f t="shared" si="68"/>
        <v>1500000</v>
      </c>
    </row>
    <row r="80" spans="1:12" ht="31.5" x14ac:dyDescent="0.2">
      <c r="A80" s="329" t="str">
        <f>IF(B80&gt;0,VLOOKUP(B80,КВСР!A66:B1231,2),IF(C80&gt;0,VLOOKUP(C80,КФСР!A66:B1578,2),IF(D80&gt;0,VLOOKUP(D80,Программа!A$3:B$4973,2),IF(F80&gt;0,VLOOKUP(F80,КВР!A$1:B$5001,2),IF(E80&gt;0,VLOOKUP(E80,Направление!A$1:B$4591,2))))))</f>
        <v>Повышение уровня благоустройства дворовых территорий</v>
      </c>
      <c r="B80" s="210"/>
      <c r="C80" s="211"/>
      <c r="D80" s="212" t="s">
        <v>610</v>
      </c>
      <c r="E80" s="211"/>
      <c r="F80" s="212"/>
      <c r="G80" s="114">
        <f>G81</f>
        <v>1500000</v>
      </c>
      <c r="H80" s="114">
        <f>H81</f>
        <v>0</v>
      </c>
      <c r="I80" s="114">
        <f>I81</f>
        <v>1500000</v>
      </c>
      <c r="J80" s="114">
        <f>J81</f>
        <v>1500000</v>
      </c>
      <c r="K80" s="114">
        <f>K81</f>
        <v>0</v>
      </c>
      <c r="L80" s="114">
        <f>L81</f>
        <v>1500000</v>
      </c>
    </row>
    <row r="81" spans="1:12" ht="63" x14ac:dyDescent="0.2">
      <c r="A81" s="329" t="str">
        <f>IF(B81&gt;0,VLOOKUP(B81,КВСР!A66:B1231,2),IF(C81&gt;0,VLOOKUP(C81,КФСР!A66:B1578,2),IF(D81&gt;0,VLOOKUP(D81,Программа!A$3:B$4973,2),IF(F81&gt;0,VLOOKUP(F81,КВР!A$1:B$5001,2),IF(E81&gt;0,VLOOKUP(E81,Направление!A$1:B$4591,2))))))</f>
        <v xml:space="preserve">Межбюджетные трансферты на обеспечение мероприятий по  формированию современной городской среды </v>
      </c>
      <c r="B81" s="210"/>
      <c r="C81" s="211"/>
      <c r="D81" s="212"/>
      <c r="E81" s="211">
        <v>29456</v>
      </c>
      <c r="F81" s="212"/>
      <c r="G81" s="117">
        <f>G82</f>
        <v>1500000</v>
      </c>
      <c r="H81" s="117">
        <f t="shared" ref="H81:I81" si="69">H82</f>
        <v>0</v>
      </c>
      <c r="I81" s="117">
        <f t="shared" si="69"/>
        <v>1500000</v>
      </c>
      <c r="J81" s="117">
        <f t="shared" ref="J81:L81" si="70">J82</f>
        <v>1500000</v>
      </c>
      <c r="K81" s="117">
        <f t="shared" si="70"/>
        <v>0</v>
      </c>
      <c r="L81" s="117">
        <f t="shared" si="70"/>
        <v>1500000</v>
      </c>
    </row>
    <row r="82" spans="1:12" ht="15.75" x14ac:dyDescent="0.2">
      <c r="A82" s="329" t="str">
        <f>IF(B82&gt;0,VLOOKUP(B82,КВСР!A67:B1232,2),IF(C82&gt;0,VLOOKUP(C82,КФСР!A67:B1579,2),IF(D82&gt;0,VLOOKUP(D82,Программа!A$3:B$4973,2),IF(F82&gt;0,VLOOKUP(F82,КВР!A$1:B$5001,2),IF(E82&gt;0,VLOOKUP(E82,Направление!A$1:B$4591,2))))))</f>
        <v xml:space="preserve"> Межбюджетные трансферты</v>
      </c>
      <c r="B82" s="210"/>
      <c r="C82" s="211"/>
      <c r="D82" s="212"/>
      <c r="E82" s="211"/>
      <c r="F82" s="212">
        <v>500</v>
      </c>
      <c r="G82" s="291">
        <v>1500000</v>
      </c>
      <c r="H82" s="291"/>
      <c r="I82" s="292">
        <f>G82+H82</f>
        <v>1500000</v>
      </c>
      <c r="J82" s="291">
        <v>1500000</v>
      </c>
      <c r="K82" s="291"/>
      <c r="L82" s="292">
        <f>J82+K82</f>
        <v>1500000</v>
      </c>
    </row>
    <row r="83" spans="1:12" ht="63" x14ac:dyDescent="0.2">
      <c r="A83" s="329" t="str">
        <f>IF(B83&gt;0,VLOOKUP(B83,КВСР!A70:B1235,2),IF(C83&gt;0,VLOOKUP(C83,КФСР!A70:B1582,2),IF(D83&gt;0,VLOOKUP(D83,Программа!A$3:B$4973,2),IF(F83&gt;0,VLOOKUP(F83,КВР!A$1:B$5001,2),IF(E83&gt;0,VLOOKUP(E83,Направление!A$1:B$4591,2))))))</f>
        <v>Муниципальная программа "Благоустройство и озеленение территории городского поселения Тутаев"</v>
      </c>
      <c r="B83" s="210"/>
      <c r="C83" s="211"/>
      <c r="D83" s="212" t="s">
        <v>252</v>
      </c>
      <c r="E83" s="211"/>
      <c r="F83" s="212"/>
      <c r="G83" s="117">
        <f>G84+G93+G96</f>
        <v>27341767</v>
      </c>
      <c r="H83" s="117">
        <f t="shared" ref="H83:I83" si="71">H84+H93+H96</f>
        <v>0</v>
      </c>
      <c r="I83" s="117">
        <f t="shared" si="71"/>
        <v>27341767</v>
      </c>
      <c r="J83" s="117">
        <f t="shared" ref="J83" si="72">J84+J93+J96</f>
        <v>29072818</v>
      </c>
      <c r="K83" s="117">
        <f t="shared" ref="K83:L83" si="73">K84+K93+K96</f>
        <v>0</v>
      </c>
      <c r="L83" s="117">
        <f t="shared" si="73"/>
        <v>29072818</v>
      </c>
    </row>
    <row r="84" spans="1:12" ht="47.25" x14ac:dyDescent="0.2">
      <c r="A84" s="329" t="str">
        <f>IF(B84&gt;0,VLOOKUP(B84,КВСР!A70:B1235,2),IF(C84&gt;0,VLOOKUP(C84,КФСР!A70:B1582,2),IF(D84&gt;0,VLOOKUP(D84,Программа!A$3:B$4973,2),IF(F84&gt;0,VLOOKUP(F84,КВР!A$1:B$5001,2),IF(E84&gt;0,VLOOKUP(E84,Направление!A$1:B$4591,2))))))</f>
        <v>Благоустройство и озеленение  территории городского поселения Тутаев</v>
      </c>
      <c r="B84" s="210"/>
      <c r="C84" s="211"/>
      <c r="D84" s="212" t="s">
        <v>611</v>
      </c>
      <c r="E84" s="211"/>
      <c r="F84" s="212"/>
      <c r="G84" s="117">
        <f>G85+G87+G89+G91</f>
        <v>26041767</v>
      </c>
      <c r="H84" s="117">
        <f t="shared" ref="H84:I84" si="74">H85+H87+H89+H91</f>
        <v>0</v>
      </c>
      <c r="I84" s="117">
        <f t="shared" si="74"/>
        <v>26041767</v>
      </c>
      <c r="J84" s="117">
        <f t="shared" ref="J84" si="75">J85+J87+J89+J91</f>
        <v>27772818</v>
      </c>
      <c r="K84" s="117">
        <f t="shared" ref="K84:L84" si="76">K85+K87+K89+K91</f>
        <v>0</v>
      </c>
      <c r="L84" s="117">
        <f t="shared" si="76"/>
        <v>27772818</v>
      </c>
    </row>
    <row r="85" spans="1:12" ht="47.25" x14ac:dyDescent="0.2">
      <c r="A85" s="329" t="str">
        <f>IF(B85&gt;0,VLOOKUP(B85,КВСР!A71:B1236,2),IF(C85&gt;0,VLOOKUP(C85,КФСР!A71:B1583,2),IF(D85&gt;0,VLOOKUP(D85,Программа!A$3:B$4973,2),IF(F85&gt;0,VLOOKUP(F85,КВР!A$1:B$5001,2),IF(E85&gt;0,VLOOKUP(E85,Направление!A$1:B$4591,2))))))</f>
        <v>Межбюджетные трансферты на обеспечение мероприятий по уличному освещению</v>
      </c>
      <c r="B85" s="179"/>
      <c r="C85" s="180"/>
      <c r="D85" s="182"/>
      <c r="E85" s="180">
        <v>29236</v>
      </c>
      <c r="F85" s="182"/>
      <c r="G85" s="117">
        <f>G86</f>
        <v>12840000</v>
      </c>
      <c r="H85" s="117">
        <f t="shared" ref="H85:I85" si="77">H86</f>
        <v>0</v>
      </c>
      <c r="I85" s="117">
        <f t="shared" si="77"/>
        <v>12840000</v>
      </c>
      <c r="J85" s="117">
        <f t="shared" ref="J85:L85" si="78">J86</f>
        <v>13738800</v>
      </c>
      <c r="K85" s="117">
        <f t="shared" si="78"/>
        <v>0</v>
      </c>
      <c r="L85" s="117">
        <f t="shared" si="78"/>
        <v>13738800</v>
      </c>
    </row>
    <row r="86" spans="1:12" ht="15.75" x14ac:dyDescent="0.2">
      <c r="A86" s="329" t="str">
        <f>IF(B86&gt;0,VLOOKUP(B86,КВСР!A72:B1237,2),IF(C86&gt;0,VLOOKUP(C86,КФСР!A72:B1584,2),IF(D86&gt;0,VLOOKUP(D86,Программа!A$3:B$4973,2),IF(F86&gt;0,VLOOKUP(F86,КВР!A$1:B$5001,2),IF(E86&gt;0,VLOOKUP(E86,Направление!A$1:B$4591,2))))))</f>
        <v xml:space="preserve"> Межбюджетные трансферты</v>
      </c>
      <c r="B86" s="179"/>
      <c r="C86" s="180"/>
      <c r="D86" s="182"/>
      <c r="E86" s="180"/>
      <c r="F86" s="182">
        <v>500</v>
      </c>
      <c r="G86" s="292">
        <v>12840000</v>
      </c>
      <c r="H86" s="292"/>
      <c r="I86" s="292">
        <f>G86+H86</f>
        <v>12840000</v>
      </c>
      <c r="J86" s="292">
        <v>13738800</v>
      </c>
      <c r="K86" s="292"/>
      <c r="L86" s="292">
        <f>J86+K86</f>
        <v>13738800</v>
      </c>
    </row>
    <row r="87" spans="1:12" ht="78.75" x14ac:dyDescent="0.2">
      <c r="A87" s="329" t="str">
        <f>IF(B87&gt;0,VLOOKUP(B87,КВСР!A73:B1238,2),IF(C87&gt;0,VLOOKUP(C87,КФСР!A73:B1585,2),IF(D87&gt;0,VLOOKUP(D87,Программа!A$3:B$4973,2),IF(F87&gt;0,VLOOKUP(F87,КВР!A$1:B$5001,2),IF(E87&gt;0,VLOOKUP(E87,Направление!A$1:B$4591,2))))))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B87" s="179"/>
      <c r="C87" s="180"/>
      <c r="D87" s="182"/>
      <c r="E87" s="180">
        <v>29246</v>
      </c>
      <c r="F87" s="182"/>
      <c r="G87" s="117">
        <f>G88</f>
        <v>2000000</v>
      </c>
      <c r="H87" s="117">
        <f t="shared" ref="H87:I87" si="79">H88</f>
        <v>0</v>
      </c>
      <c r="I87" s="117">
        <f t="shared" si="79"/>
        <v>2000000</v>
      </c>
      <c r="J87" s="117">
        <f t="shared" ref="J87:L87" si="80">J88</f>
        <v>2000000</v>
      </c>
      <c r="K87" s="117">
        <f t="shared" si="80"/>
        <v>0</v>
      </c>
      <c r="L87" s="117">
        <f t="shared" si="80"/>
        <v>2000000</v>
      </c>
    </row>
    <row r="88" spans="1:12" ht="15.75" x14ac:dyDescent="0.2">
      <c r="A88" s="329" t="str">
        <f>IF(B88&gt;0,VLOOKUP(B88,КВСР!A74:B1239,2),IF(C88&gt;0,VLOOKUP(C88,КФСР!A74:B1586,2),IF(D88&gt;0,VLOOKUP(D88,Программа!A$3:B$4973,2),IF(F88&gt;0,VLOOKUP(F88,КВР!A$1:B$5001,2),IF(E88&gt;0,VLOOKUP(E88,Направление!A$1:B$4591,2))))))</f>
        <v xml:space="preserve"> Межбюджетные трансферты</v>
      </c>
      <c r="B88" s="179"/>
      <c r="C88" s="180"/>
      <c r="D88" s="181"/>
      <c r="E88" s="180"/>
      <c r="F88" s="182">
        <v>500</v>
      </c>
      <c r="G88" s="291">
        <v>2000000</v>
      </c>
      <c r="H88" s="291"/>
      <c r="I88" s="292">
        <f>G88+H88</f>
        <v>2000000</v>
      </c>
      <c r="J88" s="291">
        <v>2000000</v>
      </c>
      <c r="K88" s="291"/>
      <c r="L88" s="292">
        <f>J88+K88</f>
        <v>2000000</v>
      </c>
    </row>
    <row r="89" spans="1:12" ht="63" x14ac:dyDescent="0.2">
      <c r="A89" s="329" t="str">
        <f>IF(B89&gt;0,VLOOKUP(B89,КВСР!A75:B1240,2),IF(C89&gt;0,VLOOKUP(C89,КФСР!A75:B1587,2),IF(D89&gt;0,VLOOKUP(D89,Программа!A$3:B$4973,2),IF(F89&gt;0,VLOOKUP(F89,КВР!A$1:B$5001,2),IF(E89&gt;0,VLOOKUP(E89,Направление!A$1:B$4591,2))))))</f>
        <v>Межбюджетные трансферты на содержание и организацию деятельности по благоустройству на территории поселения</v>
      </c>
      <c r="B89" s="179"/>
      <c r="C89" s="180"/>
      <c r="D89" s="181"/>
      <c r="E89" s="180">
        <v>29256</v>
      </c>
      <c r="F89" s="182"/>
      <c r="G89" s="114">
        <f>G90</f>
        <v>7235000</v>
      </c>
      <c r="H89" s="114">
        <f t="shared" ref="H89:I89" si="81">H90</f>
        <v>0</v>
      </c>
      <c r="I89" s="114">
        <f t="shared" si="81"/>
        <v>7235000</v>
      </c>
      <c r="J89" s="114">
        <f t="shared" ref="J89:L89" si="82">J90</f>
        <v>7235000</v>
      </c>
      <c r="K89" s="114">
        <f t="shared" si="82"/>
        <v>0</v>
      </c>
      <c r="L89" s="114">
        <f t="shared" si="82"/>
        <v>7235000</v>
      </c>
    </row>
    <row r="90" spans="1:12" ht="15.75" x14ac:dyDescent="0.2">
      <c r="A90" s="329" t="str">
        <f>IF(B90&gt;0,VLOOKUP(B90,КВСР!A76:B1241,2),IF(C90&gt;0,VLOOKUP(C90,КФСР!A76:B1588,2),IF(D90&gt;0,VLOOKUP(D90,Программа!A$3:B$4973,2),IF(F90&gt;0,VLOOKUP(F90,КВР!A$1:B$5001,2),IF(E90&gt;0,VLOOKUP(E90,Направление!A$1:B$4591,2))))))</f>
        <v xml:space="preserve"> Межбюджетные трансферты</v>
      </c>
      <c r="B90" s="179"/>
      <c r="C90" s="180"/>
      <c r="D90" s="181"/>
      <c r="E90" s="180"/>
      <c r="F90" s="182">
        <v>500</v>
      </c>
      <c r="G90" s="291">
        <v>7235000</v>
      </c>
      <c r="H90" s="291"/>
      <c r="I90" s="292">
        <f>G90+H90</f>
        <v>7235000</v>
      </c>
      <c r="J90" s="291">
        <v>7235000</v>
      </c>
      <c r="K90" s="291"/>
      <c r="L90" s="292">
        <f>J90+K90</f>
        <v>7235000</v>
      </c>
    </row>
    <row r="91" spans="1:12" ht="47.25" x14ac:dyDescent="0.2">
      <c r="A91" s="329" t="str">
        <f>IF(B91&gt;0,VLOOKUP(B91,КВСР!A77:B1242,2),IF(C91&gt;0,VLOOKUP(C91,КФСР!A77:B1589,2),IF(D91&gt;0,VLOOKUP(D91,Программа!A$3:B$4973,2),IF(F91&gt;0,VLOOKUP(F91,КВР!A$1:B$5001,2),IF(E91&gt;0,VLOOKUP(E91,Направление!A$1:B$4591,2))))))</f>
        <v>Межбюджетные трансферты на обеспечение мероприятий в области благоустройства и озеленения</v>
      </c>
      <c r="B91" s="179"/>
      <c r="C91" s="180"/>
      <c r="D91" s="182"/>
      <c r="E91" s="180">
        <v>29266</v>
      </c>
      <c r="F91" s="182"/>
      <c r="G91" s="114">
        <f>G92</f>
        <v>3966767</v>
      </c>
      <c r="H91" s="114">
        <f t="shared" ref="H91:I91" si="83">H92</f>
        <v>0</v>
      </c>
      <c r="I91" s="114">
        <f t="shared" si="83"/>
        <v>3966767</v>
      </c>
      <c r="J91" s="114">
        <f t="shared" ref="J91:L91" si="84">J92</f>
        <v>4799018</v>
      </c>
      <c r="K91" s="114">
        <f t="shared" si="84"/>
        <v>0</v>
      </c>
      <c r="L91" s="114">
        <f t="shared" si="84"/>
        <v>4799018</v>
      </c>
    </row>
    <row r="92" spans="1:12" ht="15.75" x14ac:dyDescent="0.2">
      <c r="A92" s="329" t="str">
        <f>IF(B92&gt;0,VLOOKUP(B92,КВСР!A78:B1243,2),IF(C92&gt;0,VLOOKUP(C92,КФСР!A78:B1590,2),IF(D92&gt;0,VLOOKUP(D92,Программа!A$3:B$4973,2),IF(F92&gt;0,VLOOKUP(F92,КВР!A$1:B$5001,2),IF(E92&gt;0,VLOOKUP(E92,Направление!A$1:B$4591,2))))))</f>
        <v xml:space="preserve"> Межбюджетные трансферты</v>
      </c>
      <c r="B92" s="179"/>
      <c r="C92" s="180"/>
      <c r="D92" s="182"/>
      <c r="E92" s="180"/>
      <c r="F92" s="182">
        <v>500</v>
      </c>
      <c r="G92" s="291">
        <f>5466767-1500000</f>
        <v>3966767</v>
      </c>
      <c r="H92" s="291">
        <v>0</v>
      </c>
      <c r="I92" s="292">
        <f>G92+H92</f>
        <v>3966767</v>
      </c>
      <c r="J92" s="291">
        <f>6299018-1500000</f>
        <v>4799018</v>
      </c>
      <c r="K92" s="291">
        <v>0</v>
      </c>
      <c r="L92" s="292">
        <f>J92+K92</f>
        <v>4799018</v>
      </c>
    </row>
    <row r="93" spans="1:12" ht="63" x14ac:dyDescent="0.2">
      <c r="A93" s="329" t="str">
        <f>IF(B93&gt;0,VLOOKUP(B93,КВСР!A79:B1244,2),IF(C93&gt;0,VLOOKUP(C93,КФСР!A79:B1591,2),IF(D93&gt;0,VLOOKUP(D93,Программа!A$3:B$4973,2),IF(F93&gt;0,VLOOKUP(F93,КВР!A$1:B$5001,2),IF(E93&gt;0,VLOOKUP(E93,Направление!A$1:B$4591,2))))))</f>
        <v>Реализация мероприятий губернаторского проекта "Решаем вместе!" (инициативное бюджетирование)</v>
      </c>
      <c r="B93" s="179"/>
      <c r="C93" s="180"/>
      <c r="D93" s="212" t="s">
        <v>613</v>
      </c>
      <c r="E93" s="180"/>
      <c r="F93" s="182"/>
      <c r="G93" s="114">
        <f>G94</f>
        <v>500000</v>
      </c>
      <c r="H93" s="114">
        <f t="shared" ref="H93:I94" si="85">H94</f>
        <v>0</v>
      </c>
      <c r="I93" s="114">
        <f t="shared" si="85"/>
        <v>500000</v>
      </c>
      <c r="J93" s="114">
        <f t="shared" ref="J93:L94" si="86">J94</f>
        <v>500000</v>
      </c>
      <c r="K93" s="114">
        <f t="shared" si="86"/>
        <v>0</v>
      </c>
      <c r="L93" s="114">
        <f t="shared" si="86"/>
        <v>500000</v>
      </c>
    </row>
    <row r="94" spans="1:12" ht="78.75" x14ac:dyDescent="0.2">
      <c r="A94" s="329" t="str">
        <f>IF(B94&gt;0,VLOOKUP(B94,КВСР!A79:B1244,2),IF(C94&gt;0,VLOOKUP(C94,КФСР!A79:B1591,2),IF(D94&gt;0,VLOOKUP(D94,Программа!A$3:B$4973,2),IF(F94&gt;0,VLOOKUP(F94,КВР!A$1:B$5001,2),IF(E94&gt;0,VLOOKUP(E94,Направление!A$1:B$4591,2))))))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B94" s="179"/>
      <c r="C94" s="180"/>
      <c r="D94" s="182"/>
      <c r="E94" s="180">
        <v>25356</v>
      </c>
      <c r="F94" s="182"/>
      <c r="G94" s="114">
        <f>G95</f>
        <v>500000</v>
      </c>
      <c r="H94" s="114">
        <f t="shared" si="85"/>
        <v>0</v>
      </c>
      <c r="I94" s="114">
        <f t="shared" si="85"/>
        <v>500000</v>
      </c>
      <c r="J94" s="114">
        <f t="shared" si="86"/>
        <v>500000</v>
      </c>
      <c r="K94" s="114">
        <f t="shared" si="86"/>
        <v>0</v>
      </c>
      <c r="L94" s="114">
        <f t="shared" si="86"/>
        <v>500000</v>
      </c>
    </row>
    <row r="95" spans="1:12" ht="15.75" x14ac:dyDescent="0.2">
      <c r="A95" s="329" t="str">
        <f>IF(B95&gt;0,VLOOKUP(B95,КВСР!A80:B1245,2),IF(C95&gt;0,VLOOKUP(C95,КФСР!A80:B1592,2),IF(D95&gt;0,VLOOKUP(D95,Программа!A$3:B$4973,2),IF(F95&gt;0,VLOOKUP(F95,КВР!A$1:B$5001,2),IF(E95&gt;0,VLOOKUP(E95,Направление!A$1:B$4591,2))))))</f>
        <v xml:space="preserve"> Межбюджетные трансферты</v>
      </c>
      <c r="B95" s="179"/>
      <c r="C95" s="180"/>
      <c r="D95" s="182"/>
      <c r="E95" s="180"/>
      <c r="F95" s="182">
        <v>500</v>
      </c>
      <c r="G95" s="292">
        <v>500000</v>
      </c>
      <c r="H95" s="292"/>
      <c r="I95" s="292">
        <f>G95+H95</f>
        <v>500000</v>
      </c>
      <c r="J95" s="292">
        <v>500000</v>
      </c>
      <c r="K95" s="292"/>
      <c r="L95" s="292">
        <f>J95+K95</f>
        <v>500000</v>
      </c>
    </row>
    <row r="96" spans="1:12" ht="31.5" x14ac:dyDescent="0.2">
      <c r="A96" s="329" t="str">
        <f>IF(B96&gt;0,VLOOKUP(B96,КВСР!A81:B1246,2),IF(C96&gt;0,VLOOKUP(C96,КФСР!A81:B1593,2),IF(D96&gt;0,VLOOKUP(D96,Программа!A$3:B$4973,2),IF(F96&gt;0,VLOOKUP(F96,КВР!A$1:B$5001,2),IF(E96&gt;0,VLOOKUP(E96,Направление!A$1:B$4591,2))))))</f>
        <v>Содержание и благоустройство мест захоронений</v>
      </c>
      <c r="B96" s="179"/>
      <c r="C96" s="180"/>
      <c r="D96" s="182" t="s">
        <v>689</v>
      </c>
      <c r="E96" s="180"/>
      <c r="F96" s="182"/>
      <c r="G96" s="117">
        <f>G97</f>
        <v>800000</v>
      </c>
      <c r="H96" s="117">
        <f t="shared" ref="H96:I97" si="87">H97</f>
        <v>0</v>
      </c>
      <c r="I96" s="117">
        <f t="shared" si="87"/>
        <v>800000</v>
      </c>
      <c r="J96" s="117">
        <f t="shared" ref="J96:L97" si="88">J97</f>
        <v>800000</v>
      </c>
      <c r="K96" s="117">
        <f t="shared" si="88"/>
        <v>0</v>
      </c>
      <c r="L96" s="117">
        <f t="shared" si="88"/>
        <v>800000</v>
      </c>
    </row>
    <row r="97" spans="1:12" ht="47.25" x14ac:dyDescent="0.2">
      <c r="A97" s="329" t="str">
        <f>IF(B97&gt;0,VLOOKUP(B97,КВСР!A82:B1247,2),IF(C97&gt;0,VLOOKUP(C97,КФСР!A82:B1594,2),IF(D97&gt;0,VLOOKUP(D97,Программа!A$3:B$4973,2),IF(F97&gt;0,VLOOKUP(F97,КВР!A$1:B$5001,2),IF(E97&gt;0,VLOOKUP(E97,Направление!A$1:B$4591,2))))))</f>
        <v>Межбюджетные трансферты на обеспечение мероприятий по  содержанию мест захоронения</v>
      </c>
      <c r="B97" s="179"/>
      <c r="C97" s="180"/>
      <c r="D97" s="182"/>
      <c r="E97" s="180">
        <v>29316</v>
      </c>
      <c r="F97" s="182"/>
      <c r="G97" s="117">
        <f>G98</f>
        <v>800000</v>
      </c>
      <c r="H97" s="117">
        <f t="shared" si="87"/>
        <v>0</v>
      </c>
      <c r="I97" s="117">
        <f t="shared" si="87"/>
        <v>800000</v>
      </c>
      <c r="J97" s="117">
        <f t="shared" si="88"/>
        <v>800000</v>
      </c>
      <c r="K97" s="117">
        <f t="shared" si="88"/>
        <v>0</v>
      </c>
      <c r="L97" s="117">
        <f t="shared" si="88"/>
        <v>800000</v>
      </c>
    </row>
    <row r="98" spans="1:12" ht="15.75" x14ac:dyDescent="0.2">
      <c r="A98" s="329" t="str">
        <f>IF(B98&gt;0,VLOOKUP(B98,КВСР!A83:B1248,2),IF(C98&gt;0,VLOOKUP(C98,КФСР!A83:B1595,2),IF(D98&gt;0,VLOOKUP(D98,Программа!A$3:B$4973,2),IF(F98&gt;0,VLOOKUP(F98,КВР!A$1:B$5001,2),IF(E98&gt;0,VLOOKUP(E98,Направление!A$1:B$4591,2))))))</f>
        <v xml:space="preserve"> Межбюджетные трансферты</v>
      </c>
      <c r="B98" s="179"/>
      <c r="C98" s="180"/>
      <c r="D98" s="182"/>
      <c r="E98" s="180"/>
      <c r="F98" s="182">
        <v>500</v>
      </c>
      <c r="G98" s="292">
        <v>800000</v>
      </c>
      <c r="H98" s="292"/>
      <c r="I98" s="292">
        <f>G98+H98</f>
        <v>800000</v>
      </c>
      <c r="J98" s="292">
        <v>800000</v>
      </c>
      <c r="K98" s="292"/>
      <c r="L98" s="292">
        <f>J98+K98</f>
        <v>800000</v>
      </c>
    </row>
    <row r="99" spans="1:12" ht="15.75" x14ac:dyDescent="0.2">
      <c r="A99" s="330" t="str">
        <f>IF(B99&gt;0,VLOOKUP(B99,КВСР!A84:B1249,2),IF(C99&gt;0,VLOOKUP(C99,КФСР!A84:B1596,2),IF(D99&gt;0,VLOOKUP(D99,Программа!A$3:B$4973,2),IF(F99&gt;0,VLOOKUP(F99,КВР!A$1:B$5001,2),IF(E99&gt;0,VLOOKUP(E99,Направление!A$1:B$4591,2))))))</f>
        <v>Культура</v>
      </c>
      <c r="B99" s="179"/>
      <c r="C99" s="184">
        <v>801</v>
      </c>
      <c r="D99" s="182"/>
      <c r="E99" s="180"/>
      <c r="F99" s="182"/>
      <c r="G99" s="452">
        <f>G100</f>
        <v>1000000</v>
      </c>
      <c r="H99" s="452">
        <f t="shared" ref="H99:I101" si="89">H100</f>
        <v>0</v>
      </c>
      <c r="I99" s="452">
        <f t="shared" si="89"/>
        <v>1000000</v>
      </c>
      <c r="J99" s="452">
        <f t="shared" ref="J99:L101" si="90">J100</f>
        <v>1000000</v>
      </c>
      <c r="K99" s="452">
        <f t="shared" si="90"/>
        <v>0</v>
      </c>
      <c r="L99" s="452">
        <f t="shared" si="90"/>
        <v>1000000</v>
      </c>
    </row>
    <row r="100" spans="1:12" ht="15.75" x14ac:dyDescent="0.2">
      <c r="A100" s="329" t="str">
        <f>IF(B100&gt;0,VLOOKUP(B100,КВСР!A85:B1250,2),IF(C100&gt;0,VLOOKUP(C100,КФСР!A85:B1597,2),IF(D100&gt;0,VLOOKUP(D100,Программа!A$3:B$4973,2),IF(F100&gt;0,VLOOKUP(F100,КВР!A$1:B$5001,2),IF(E100&gt;0,VLOOKUP(E100,Направление!A$1:B$4591,2))))))</f>
        <v>Непрограммные расходы бюджета</v>
      </c>
      <c r="B100" s="179"/>
      <c r="C100" s="180"/>
      <c r="D100" s="182" t="s">
        <v>618</v>
      </c>
      <c r="E100" s="180"/>
      <c r="F100" s="182"/>
      <c r="G100" s="439">
        <f>G101</f>
        <v>1000000</v>
      </c>
      <c r="H100" s="439">
        <f t="shared" si="89"/>
        <v>0</v>
      </c>
      <c r="I100" s="439">
        <f t="shared" si="89"/>
        <v>1000000</v>
      </c>
      <c r="J100" s="439">
        <f t="shared" si="90"/>
        <v>1000000</v>
      </c>
      <c r="K100" s="439">
        <f t="shared" si="90"/>
        <v>0</v>
      </c>
      <c r="L100" s="439">
        <f t="shared" si="90"/>
        <v>1000000</v>
      </c>
    </row>
    <row r="101" spans="1:12" ht="47.25" x14ac:dyDescent="0.2">
      <c r="A101" s="329" t="str">
        <f>IF(B101&gt;0,VLOOKUP(B101,КВСР!A86:B1251,2),IF(C101&gt;0,VLOOKUP(C101,КФСР!A86:B1598,2),IF(D101&gt;0,VLOOKUP(D101,Программа!A$3:B$4973,2),IF(F101&gt;0,VLOOKUP(F101,КВР!A$1:B$5001,2),IF(E101&gt;0,VLOOKUP(E101,Направление!A$1:B$4591,2))))))</f>
        <v xml:space="preserve">Межбюджетные трансферты на обеспечение культурно-досуговых мероприятий </v>
      </c>
      <c r="B101" s="179"/>
      <c r="C101" s="180"/>
      <c r="D101" s="182"/>
      <c r="E101" s="180">
        <v>29216</v>
      </c>
      <c r="F101" s="182"/>
      <c r="G101" s="121">
        <f>G102</f>
        <v>1000000</v>
      </c>
      <c r="H101" s="121">
        <f t="shared" si="89"/>
        <v>0</v>
      </c>
      <c r="I101" s="121">
        <f t="shared" si="89"/>
        <v>1000000</v>
      </c>
      <c r="J101" s="121">
        <f t="shared" si="90"/>
        <v>1000000</v>
      </c>
      <c r="K101" s="121">
        <f t="shared" si="90"/>
        <v>0</v>
      </c>
      <c r="L101" s="121">
        <f t="shared" si="90"/>
        <v>1000000</v>
      </c>
    </row>
    <row r="102" spans="1:12" ht="15.75" x14ac:dyDescent="0.2">
      <c r="A102" s="329" t="str">
        <f>IF(B102&gt;0,VLOOKUP(B102,КВСР!A87:B1252,2),IF(C102&gt;0,VLOOKUP(C102,КФСР!A87:B1599,2),IF(D102&gt;0,VLOOKUP(D102,Программа!A$3:B$4973,2),IF(F102&gt;0,VLOOKUP(F102,КВР!A$1:B$5001,2),IF(E102&gt;0,VLOOKUP(E102,Направление!A$1:B$4591,2))))))</f>
        <v xml:space="preserve"> Межбюджетные трансферты</v>
      </c>
      <c r="B102" s="179"/>
      <c r="C102" s="180"/>
      <c r="D102" s="182"/>
      <c r="E102" s="180"/>
      <c r="F102" s="182">
        <v>500</v>
      </c>
      <c r="G102" s="293">
        <v>1000000</v>
      </c>
      <c r="H102" s="293"/>
      <c r="I102" s="292">
        <f>G102+H102</f>
        <v>1000000</v>
      </c>
      <c r="J102" s="293">
        <v>1000000</v>
      </c>
      <c r="K102" s="293"/>
      <c r="L102" s="292">
        <f>J102+K102</f>
        <v>1000000</v>
      </c>
    </row>
    <row r="103" spans="1:12" ht="15.75" x14ac:dyDescent="0.2">
      <c r="A103" s="330" t="str">
        <f>IF(B103&gt;0,VLOOKUP(B103,КВСР!A88:B1253,2),IF(C103&gt;0,VLOOKUP(C103,КФСР!A88:B1600,2),IF(D103&gt;0,VLOOKUP(D103,Программа!A$3:B$4973,2),IF(F103&gt;0,VLOOKUP(F103,КВР!A$1:B$5001,2),IF(E103&gt;0,VLOOKUP(E103,Направление!A$1:B$4591,2))))))</f>
        <v>Пенсионное обеспечение</v>
      </c>
      <c r="B103" s="183"/>
      <c r="C103" s="184">
        <v>1001</v>
      </c>
      <c r="D103" s="186"/>
      <c r="E103" s="184"/>
      <c r="F103" s="186"/>
      <c r="G103" s="145">
        <f>G104</f>
        <v>730800</v>
      </c>
      <c r="H103" s="145">
        <f t="shared" ref="H103:I105" si="91">H104</f>
        <v>0</v>
      </c>
      <c r="I103" s="145">
        <f t="shared" si="91"/>
        <v>730800</v>
      </c>
      <c r="J103" s="145">
        <f t="shared" ref="J103:L105" si="92">J104</f>
        <v>730800</v>
      </c>
      <c r="K103" s="145">
        <f t="shared" si="92"/>
        <v>0</v>
      </c>
      <c r="L103" s="145">
        <f t="shared" si="92"/>
        <v>730800</v>
      </c>
    </row>
    <row r="104" spans="1:12" ht="15.75" x14ac:dyDescent="0.2">
      <c r="A104" s="329" t="str">
        <f>IF(B104&gt;0,VLOOKUP(B104,КВСР!A89:B1254,2),IF(C104&gt;0,VLOOKUP(C104,КФСР!A89:B1601,2),IF(D104&gt;0,VLOOKUP(D104,Программа!A$3:B$4973,2),IF(F104&gt;0,VLOOKUP(F104,КВР!A$1:B$5001,2),IF(E104&gt;0,VLOOKUP(E104,Направление!A$1:B$4591,2))))))</f>
        <v>Непрограммные расходы бюджета</v>
      </c>
      <c r="B104" s="179"/>
      <c r="C104" s="180"/>
      <c r="D104" s="182" t="s">
        <v>618</v>
      </c>
      <c r="E104" s="180"/>
      <c r="F104" s="182"/>
      <c r="G104" s="114">
        <f>G105</f>
        <v>730800</v>
      </c>
      <c r="H104" s="114">
        <f t="shared" si="91"/>
        <v>0</v>
      </c>
      <c r="I104" s="114">
        <f t="shared" si="91"/>
        <v>730800</v>
      </c>
      <c r="J104" s="114">
        <f t="shared" si="92"/>
        <v>730800</v>
      </c>
      <c r="K104" s="114">
        <f t="shared" si="92"/>
        <v>0</v>
      </c>
      <c r="L104" s="114">
        <f t="shared" si="92"/>
        <v>730800</v>
      </c>
    </row>
    <row r="105" spans="1:12" ht="63" x14ac:dyDescent="0.2">
      <c r="A105" s="329" t="str">
        <f>IF(B105&gt;0,VLOOKUP(B105,КВСР!A90:B1255,2),IF(C105&gt;0,VLOOKUP(C105,КФСР!A90:B1602,2),IF(D105&gt;0,VLOOKUP(D105,Программа!A$3:B$4973,2),IF(F105&gt;0,VLOOKUP(F105,КВР!A$1:B$5001,2),IF(E105&gt;0,VLOOKUP(E105,Направление!A$1:B$4591,2))))))</f>
        <v>Межбюджетные трансферты на дополнительное пенсионное  обеспечение муниципальных служащих городского поселения Тутаев</v>
      </c>
      <c r="B105" s="179"/>
      <c r="C105" s="180"/>
      <c r="D105" s="182"/>
      <c r="E105" s="180">
        <v>29756</v>
      </c>
      <c r="F105" s="182"/>
      <c r="G105" s="117">
        <f>G106</f>
        <v>730800</v>
      </c>
      <c r="H105" s="117">
        <f t="shared" si="91"/>
        <v>0</v>
      </c>
      <c r="I105" s="117">
        <f t="shared" si="91"/>
        <v>730800</v>
      </c>
      <c r="J105" s="117">
        <f t="shared" si="92"/>
        <v>730800</v>
      </c>
      <c r="K105" s="117">
        <f t="shared" si="92"/>
        <v>0</v>
      </c>
      <c r="L105" s="117">
        <f t="shared" si="92"/>
        <v>730800</v>
      </c>
    </row>
    <row r="106" spans="1:12" ht="15.75" x14ac:dyDescent="0.2">
      <c r="A106" s="329" t="str">
        <f>IF(B106&gt;0,VLOOKUP(B106,КВСР!A91:B1256,2),IF(C106&gt;0,VLOOKUP(C106,КФСР!A91:B1603,2),IF(D106&gt;0,VLOOKUP(D106,Программа!A$3:B$4973,2),IF(F106&gt;0,VLOOKUP(F106,КВР!A$1:B$5001,2),IF(E106&gt;0,VLOOKUP(E106,Направление!A$1:B$4591,2))))))</f>
        <v xml:space="preserve"> Межбюджетные трансферты</v>
      </c>
      <c r="B106" s="179"/>
      <c r="C106" s="180"/>
      <c r="D106" s="182"/>
      <c r="E106" s="180"/>
      <c r="F106" s="182">
        <v>500</v>
      </c>
      <c r="G106" s="292">
        <v>730800</v>
      </c>
      <c r="H106" s="292"/>
      <c r="I106" s="292">
        <f>G106+H106</f>
        <v>730800</v>
      </c>
      <c r="J106" s="292">
        <v>730800</v>
      </c>
      <c r="K106" s="292"/>
      <c r="L106" s="292">
        <f>J106+K106</f>
        <v>730800</v>
      </c>
    </row>
    <row r="107" spans="1:12" ht="15.75" x14ac:dyDescent="0.2">
      <c r="A107" s="331" t="str">
        <f>IF(B107&gt;0,VLOOKUP(B107,КВСР!A92:B1257,2),IF(C107&gt;0,VLOOKUP(C107,КФСР!A92:B1604,2),IF(D107&gt;0,VLOOKUP(D107,Программа!A$3:B$4973,2),IF(F107&gt;0,VLOOKUP(F107,КВР!A$1:B$5001,2),IF(E107&gt;0,VLOOKUP(E107,Направление!A$1:B$4591,2))))))</f>
        <v>Социальное обеспечение населения</v>
      </c>
      <c r="B107" s="266"/>
      <c r="C107" s="267">
        <v>1003</v>
      </c>
      <c r="D107" s="268"/>
      <c r="E107" s="267"/>
      <c r="F107" s="268"/>
      <c r="G107" s="145">
        <f>G108</f>
        <v>1500000</v>
      </c>
      <c r="H107" s="145">
        <f t="shared" ref="H107:L107" si="93">H108</f>
        <v>0</v>
      </c>
      <c r="I107" s="145">
        <f t="shared" si="93"/>
        <v>1500000</v>
      </c>
      <c r="J107" s="145">
        <f t="shared" si="93"/>
        <v>1500000</v>
      </c>
      <c r="K107" s="145">
        <f t="shared" si="93"/>
        <v>0</v>
      </c>
      <c r="L107" s="145">
        <f t="shared" si="93"/>
        <v>1500000</v>
      </c>
    </row>
    <row r="108" spans="1:12" ht="63" x14ac:dyDescent="0.2">
      <c r="A108" s="329" t="str">
        <f>IF(B108&gt;0,VLOOKUP(B108,КВСР!A93:B1258,2),IF(C108&gt;0,VLOOKUP(C108,КФСР!A93:B1605,2),IF(D108&gt;0,VLOOKUP(D108,Программа!A$3:B$4973,2),IF(F108&gt;0,VLOOKUP(F108,КВР!A$1:B$5001,2),IF(E108&gt;0,VLOOKUP(E108,Направление!A$1:B$4591,2))))))</f>
        <v xml:space="preserve">Муниципальная программа "Предоставление молодым семьям социальных выплат на приобретение (строительство) жилья" </v>
      </c>
      <c r="B108" s="179"/>
      <c r="C108" s="180"/>
      <c r="D108" s="182" t="s">
        <v>266</v>
      </c>
      <c r="E108" s="180"/>
      <c r="F108" s="182"/>
      <c r="G108" s="117">
        <f>G109</f>
        <v>1500000</v>
      </c>
      <c r="H108" s="117">
        <f t="shared" ref="H108:I110" si="94">H109</f>
        <v>0</v>
      </c>
      <c r="I108" s="117">
        <f t="shared" si="94"/>
        <v>1500000</v>
      </c>
      <c r="J108" s="117">
        <f t="shared" ref="J108:L110" si="95">J109</f>
        <v>1500000</v>
      </c>
      <c r="K108" s="117">
        <f t="shared" si="95"/>
        <v>0</v>
      </c>
      <c r="L108" s="117">
        <f t="shared" si="95"/>
        <v>1500000</v>
      </c>
    </row>
    <row r="109" spans="1:12" ht="63" x14ac:dyDescent="0.2">
      <c r="A109" s="329" t="str">
        <f>IF(B109&gt;0,VLOOKUP(B109,КВСР!A93:B1258,2),IF(C109&gt;0,VLOOKUP(C109,КФСР!A93:B1605,2),IF(D109&gt;0,VLOOKUP(D109,Программа!A$3:B$4973,2),IF(F109&gt;0,VLOOKUP(F109,КВР!A$1:B$5001,2),IF(E109&gt;0,VLOOKUP(E109,Направление!A$1:B$4591,2))))))</f>
        <v>Поддержка молодых семей в приобретении (строительстве) жилья на территории городского поселения Тутаев</v>
      </c>
      <c r="B109" s="179"/>
      <c r="C109" s="180"/>
      <c r="D109" s="182" t="s">
        <v>267</v>
      </c>
      <c r="E109" s="180"/>
      <c r="F109" s="182"/>
      <c r="G109" s="117">
        <f>G110</f>
        <v>1500000</v>
      </c>
      <c r="H109" s="117">
        <f t="shared" si="94"/>
        <v>0</v>
      </c>
      <c r="I109" s="117">
        <f t="shared" si="94"/>
        <v>1500000</v>
      </c>
      <c r="J109" s="117">
        <f t="shared" si="95"/>
        <v>1500000</v>
      </c>
      <c r="K109" s="117">
        <f t="shared" si="95"/>
        <v>0</v>
      </c>
      <c r="L109" s="117">
        <f t="shared" si="95"/>
        <v>1500000</v>
      </c>
    </row>
    <row r="110" spans="1:12" ht="47.25" x14ac:dyDescent="0.2">
      <c r="A110" s="329" t="str">
        <f>IF(B110&gt;0,VLOOKUP(B110,КВСР!A94:B1259,2),IF(C110&gt;0,VLOOKUP(C110,КФСР!A94:B1606,2),IF(D110&gt;0,VLOOKUP(D110,Программа!A$3:B$4973,2),IF(F110&gt;0,VLOOKUP(F110,КВР!A$1:B$5001,2),IF(E110&gt;0,VLOOKUP(E110,Направление!A$1:B$4591,2))))))</f>
        <v>Обеспечение  мероприятий по поддержке молодых семей в приобретении (строительстве) жилья</v>
      </c>
      <c r="B110" s="179"/>
      <c r="C110" s="180"/>
      <c r="D110" s="182"/>
      <c r="E110" s="180" t="s">
        <v>620</v>
      </c>
      <c r="F110" s="182"/>
      <c r="G110" s="141">
        <f>G111</f>
        <v>1500000</v>
      </c>
      <c r="H110" s="141">
        <f t="shared" si="94"/>
        <v>0</v>
      </c>
      <c r="I110" s="141">
        <f t="shared" si="94"/>
        <v>1500000</v>
      </c>
      <c r="J110" s="141">
        <f t="shared" si="95"/>
        <v>1500000</v>
      </c>
      <c r="K110" s="141">
        <f t="shared" si="95"/>
        <v>0</v>
      </c>
      <c r="L110" s="141">
        <f t="shared" si="95"/>
        <v>1500000</v>
      </c>
    </row>
    <row r="111" spans="1:12" ht="31.5" x14ac:dyDescent="0.2">
      <c r="A111" s="329" t="str">
        <f>IF(B111&gt;0,VLOOKUP(B111,КВСР!A95:B1260,2),IF(C111&gt;0,VLOOKUP(C111,КФСР!A95:B1607,2),IF(D111&gt;0,VLOOKUP(D111,Программа!A$3:B$4973,2),IF(F111&gt;0,VLOOKUP(F111,КВР!A$1:B$5001,2),IF(E111&gt;0,VLOOKUP(E111,Направление!A$1:B$4591,2))))))</f>
        <v>Социальное обеспечение и иные выплаты населению</v>
      </c>
      <c r="B111" s="179"/>
      <c r="C111" s="180"/>
      <c r="D111" s="182"/>
      <c r="E111" s="180"/>
      <c r="F111" s="182">
        <v>300</v>
      </c>
      <c r="G111" s="292">
        <v>1500000</v>
      </c>
      <c r="H111" s="292"/>
      <c r="I111" s="292">
        <f>G111+H111</f>
        <v>1500000</v>
      </c>
      <c r="J111" s="292">
        <v>1500000</v>
      </c>
      <c r="K111" s="292"/>
      <c r="L111" s="292">
        <f>J111+K111</f>
        <v>1500000</v>
      </c>
    </row>
    <row r="112" spans="1:12" ht="47.25" x14ac:dyDescent="0.2">
      <c r="A112" s="330" t="str">
        <f>IF(B112&gt;0,VLOOKUP(B112,КВСР!A100:B1265,2),IF(C112&gt;0,VLOOKUP(C112,КФСР!A100:B1612,2),IF(D112&gt;0,VLOOKUP(D112,Программа!A$3:B$4973,2),IF(F112&gt;0,VLOOKUP(F112,КВР!A$1:B$5001,2),IF(E112&gt;0,VLOOKUP(E112,Направление!A$1:B$4591,2))))))</f>
        <v>Обслуживание внутреннего государственного и муниципального долга</v>
      </c>
      <c r="B112" s="183"/>
      <c r="C112" s="184">
        <v>1301</v>
      </c>
      <c r="D112" s="186"/>
      <c r="E112" s="184"/>
      <c r="F112" s="186"/>
      <c r="G112" s="452">
        <f>G113</f>
        <v>1700000</v>
      </c>
      <c r="H112" s="452">
        <f t="shared" ref="H112:I114" si="96">H113</f>
        <v>0</v>
      </c>
      <c r="I112" s="452">
        <f t="shared" si="96"/>
        <v>1700000</v>
      </c>
      <c r="J112" s="452">
        <f t="shared" ref="J112:L114" si="97">J113</f>
        <v>1700000</v>
      </c>
      <c r="K112" s="452">
        <f t="shared" si="97"/>
        <v>0</v>
      </c>
      <c r="L112" s="452">
        <f t="shared" si="97"/>
        <v>1700000</v>
      </c>
    </row>
    <row r="113" spans="1:12" ht="15.75" x14ac:dyDescent="0.2">
      <c r="A113" s="329" t="str">
        <f>IF(B113&gt;0,VLOOKUP(B113,КВСР!A101:B1266,2),IF(C113&gt;0,VLOOKUP(C113,КФСР!A101:B1613,2),IF(D113&gt;0,VLOOKUP(D113,Программа!A$3:B$4973,2),IF(F113&gt;0,VLOOKUP(F113,КВР!A$1:B$5001,2),IF(E113&gt;0,VLOOKUP(E113,Направление!A$1:B$4591,2))))))</f>
        <v>Непрограммные расходы бюджета</v>
      </c>
      <c r="B113" s="179"/>
      <c r="C113" s="180"/>
      <c r="D113" s="182" t="s">
        <v>618</v>
      </c>
      <c r="E113" s="180"/>
      <c r="F113" s="182"/>
      <c r="G113" s="121">
        <f>G114</f>
        <v>1700000</v>
      </c>
      <c r="H113" s="121">
        <f t="shared" si="96"/>
        <v>0</v>
      </c>
      <c r="I113" s="121">
        <f t="shared" si="96"/>
        <v>1700000</v>
      </c>
      <c r="J113" s="121">
        <f t="shared" si="97"/>
        <v>1700000</v>
      </c>
      <c r="K113" s="121">
        <f t="shared" si="97"/>
        <v>0</v>
      </c>
      <c r="L113" s="121">
        <f t="shared" si="97"/>
        <v>1700000</v>
      </c>
    </row>
    <row r="114" spans="1:12" ht="31.5" x14ac:dyDescent="0.2">
      <c r="A114" s="329" t="str">
        <f>IF(B114&gt;0,VLOOKUP(B114,КВСР!A102:B1267,2),IF(C114&gt;0,VLOOKUP(C114,КФСР!A102:B1614,2),IF(D114&gt;0,VLOOKUP(D114,Программа!A$3:B$4973,2),IF(F114&gt;0,VLOOKUP(F114,КВР!A$1:B$5001,2),IF(E114&gt;0,VLOOKUP(E114,Направление!A$1:B$4591,2))))))</f>
        <v>Обслуживание внутренних долговых обязательств</v>
      </c>
      <c r="B114" s="179"/>
      <c r="C114" s="180"/>
      <c r="D114" s="182"/>
      <c r="E114" s="180">
        <v>20050</v>
      </c>
      <c r="F114" s="182"/>
      <c r="G114" s="121">
        <f>G115</f>
        <v>1700000</v>
      </c>
      <c r="H114" s="121">
        <f t="shared" si="96"/>
        <v>0</v>
      </c>
      <c r="I114" s="121">
        <f t="shared" si="96"/>
        <v>1700000</v>
      </c>
      <c r="J114" s="121">
        <f t="shared" si="97"/>
        <v>1700000</v>
      </c>
      <c r="K114" s="121">
        <f t="shared" si="97"/>
        <v>0</v>
      </c>
      <c r="L114" s="121">
        <f t="shared" si="97"/>
        <v>1700000</v>
      </c>
    </row>
    <row r="115" spans="1:12" ht="31.5" x14ac:dyDescent="0.2">
      <c r="A115" s="329" t="str">
        <f>IF(B115&gt;0,VLOOKUP(B115,КВСР!A103:B1268,2),IF(C115&gt;0,VLOOKUP(C115,КФСР!A103:B1615,2),IF(D115&gt;0,VLOOKUP(D115,Программа!A$3:B$4973,2),IF(F115&gt;0,VLOOKUP(F115,КВР!A$1:B$5001,2),IF(E115&gt;0,VLOOKUP(E115,Направление!A$1:B$4591,2))))))</f>
        <v>Обслуживание государственного долга Российской Федерации</v>
      </c>
      <c r="B115" s="179"/>
      <c r="C115" s="180"/>
      <c r="D115" s="182"/>
      <c r="E115" s="180"/>
      <c r="F115" s="182">
        <v>700</v>
      </c>
      <c r="G115" s="293">
        <v>1700000</v>
      </c>
      <c r="H115" s="293"/>
      <c r="I115" s="292">
        <f>G115+H115</f>
        <v>1700000</v>
      </c>
      <c r="J115" s="293">
        <v>1700000</v>
      </c>
      <c r="K115" s="293"/>
      <c r="L115" s="292">
        <f>J115+K115</f>
        <v>1700000</v>
      </c>
    </row>
    <row r="116" spans="1:12" ht="31.5" x14ac:dyDescent="0.2">
      <c r="A116" s="326" t="str">
        <f>IF(B116&gt;0,VLOOKUP(B116,КВСР!A95:B1260,2),IF(C116&gt;0,VLOOKUP(C116,КФСР!A95:B1607,2),IF(D116&gt;0,VLOOKUP(D116,Программа!A$3:B$4973,2),IF(F116&gt;0,VLOOKUP(F116,КВР!A$1:B$5001,2),IF(E116&gt;0,VLOOKUP(E116,Направление!A$1:B$4591,2))))))</f>
        <v>Муниципальный Совет городского поселения Тутаев</v>
      </c>
      <c r="B116" s="255">
        <v>993</v>
      </c>
      <c r="C116" s="260"/>
      <c r="D116" s="261"/>
      <c r="E116" s="260"/>
      <c r="F116" s="261"/>
      <c r="G116" s="278">
        <f>G117</f>
        <v>985756</v>
      </c>
      <c r="H116" s="278">
        <f t="shared" ref="H116:I119" si="98">H117</f>
        <v>0</v>
      </c>
      <c r="I116" s="278">
        <f t="shared" si="98"/>
        <v>985756</v>
      </c>
      <c r="J116" s="278">
        <f t="shared" ref="J116:L116" si="99">J117</f>
        <v>985756</v>
      </c>
      <c r="K116" s="278">
        <f t="shared" si="99"/>
        <v>0</v>
      </c>
      <c r="L116" s="278">
        <f t="shared" si="99"/>
        <v>985756</v>
      </c>
    </row>
    <row r="117" spans="1:12" ht="94.5" x14ac:dyDescent="0.2">
      <c r="A117" s="330" t="str">
        <f>IF(B117&gt;0,VLOOKUP(B117,КВСР!A106:B1271,2),IF(C117&gt;0,VLOOKUP(C117,КФСР!A106:B1618,2),IF(D117&gt;0,VLOOKUP(D117,Программа!A$3:B$4973,2),IF(F117&gt;0,VLOOKUP(F117,КВР!A$1:B$5001,2),IF(E117&gt;0,VLOOKUP(E117,Направление!A$1:B$4591,2))))))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17" s="183"/>
      <c r="C117" s="184">
        <v>103</v>
      </c>
      <c r="D117" s="185"/>
      <c r="E117" s="184"/>
      <c r="F117" s="186"/>
      <c r="G117" s="145">
        <f>G118</f>
        <v>985756</v>
      </c>
      <c r="H117" s="145">
        <f t="shared" si="98"/>
        <v>0</v>
      </c>
      <c r="I117" s="145">
        <f t="shared" si="98"/>
        <v>985756</v>
      </c>
      <c r="J117" s="145">
        <f t="shared" ref="J117:L119" si="100">J118</f>
        <v>985756</v>
      </c>
      <c r="K117" s="145">
        <f t="shared" si="100"/>
        <v>0</v>
      </c>
      <c r="L117" s="145">
        <f t="shared" si="100"/>
        <v>985756</v>
      </c>
    </row>
    <row r="118" spans="1:12" ht="15.75" x14ac:dyDescent="0.2">
      <c r="A118" s="329" t="str">
        <f>IF(B118&gt;0,VLOOKUP(B118,КВСР!A107:B1272,2),IF(C118&gt;0,VLOOKUP(C118,КФСР!A107:B1619,2),IF(D118&gt;0,VLOOKUP(D118,Программа!A$3:B$4973,2),IF(F118&gt;0,VLOOKUP(F118,КВР!A$1:B$5001,2),IF(E118&gt;0,VLOOKUP(E118,Направление!A$1:B$4591,2))))))</f>
        <v>Непрограммные расходы бюджета</v>
      </c>
      <c r="B118" s="179"/>
      <c r="C118" s="180"/>
      <c r="D118" s="181" t="s">
        <v>618</v>
      </c>
      <c r="E118" s="180"/>
      <c r="F118" s="182"/>
      <c r="G118" s="114">
        <f>G119</f>
        <v>985756</v>
      </c>
      <c r="H118" s="114">
        <f t="shared" si="98"/>
        <v>0</v>
      </c>
      <c r="I118" s="114">
        <f t="shared" si="98"/>
        <v>985756</v>
      </c>
      <c r="J118" s="114">
        <f t="shared" si="100"/>
        <v>985756</v>
      </c>
      <c r="K118" s="114">
        <f t="shared" si="100"/>
        <v>0</v>
      </c>
      <c r="L118" s="114">
        <f t="shared" si="100"/>
        <v>985756</v>
      </c>
    </row>
    <row r="119" spans="1:12" ht="47.25" x14ac:dyDescent="0.2">
      <c r="A119" s="329" t="str">
        <f>IF(B119&gt;0,VLOOKUP(B119,КВСР!A108:B1273,2),IF(C119&gt;0,VLOOKUP(C119,КФСР!A108:B1620,2),IF(D119&gt;0,VLOOKUP(D119,Программа!A$3:B$4973,2),IF(F119&gt;0,VLOOKUP(F119,КВР!A$1:B$5001,2),IF(E119&gt;0,VLOOKUP(E119,Направление!A$1:B$4591,2))))))</f>
        <v>Содержание Председателя Муниципального Совета городского поселения Тутаев</v>
      </c>
      <c r="B119" s="179"/>
      <c r="C119" s="180"/>
      <c r="D119" s="181"/>
      <c r="E119" s="180">
        <v>20010</v>
      </c>
      <c r="F119" s="182"/>
      <c r="G119" s="114">
        <f>G120</f>
        <v>985756</v>
      </c>
      <c r="H119" s="114">
        <f t="shared" si="98"/>
        <v>0</v>
      </c>
      <c r="I119" s="114">
        <f t="shared" si="98"/>
        <v>985756</v>
      </c>
      <c r="J119" s="114">
        <f t="shared" si="100"/>
        <v>985756</v>
      </c>
      <c r="K119" s="114">
        <f t="shared" si="100"/>
        <v>0</v>
      </c>
      <c r="L119" s="114">
        <f t="shared" si="100"/>
        <v>985756</v>
      </c>
    </row>
    <row r="120" spans="1:12" ht="126" x14ac:dyDescent="0.2">
      <c r="A120" s="329" t="str">
        <f>IF(B120&gt;0,VLOOKUP(B120,КВСР!A109:B1274,2),IF(C120&gt;0,VLOOKUP(C120,КФСР!A109:B1621,2),IF(D120&gt;0,VLOOKUP(D120,Программа!A$3:B$4973,2),IF(F120&gt;0,VLOOKUP(F120,КВР!A$1:B$5001,2),IF(E120&gt;0,VLOOKUP(E120,Направление!A$1:B$4591,2))))))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0" s="179"/>
      <c r="C120" s="180"/>
      <c r="D120" s="181"/>
      <c r="E120" s="180"/>
      <c r="F120" s="182">
        <v>100</v>
      </c>
      <c r="G120" s="291">
        <v>985756</v>
      </c>
      <c r="H120" s="291"/>
      <c r="I120" s="292">
        <f>G120+H120</f>
        <v>985756</v>
      </c>
      <c r="J120" s="291">
        <v>985756</v>
      </c>
      <c r="K120" s="291"/>
      <c r="L120" s="292">
        <f>J120+K120</f>
        <v>985756</v>
      </c>
    </row>
    <row r="121" spans="1:12" ht="15.75" x14ac:dyDescent="0.2">
      <c r="A121" s="455" t="s">
        <v>69</v>
      </c>
      <c r="B121" s="456"/>
      <c r="C121" s="456"/>
      <c r="D121" s="457"/>
      <c r="E121" s="458"/>
      <c r="F121" s="456"/>
      <c r="G121" s="459">
        <f t="shared" ref="G121:L121" si="101">G116+G10</f>
        <v>107334825</v>
      </c>
      <c r="H121" s="459">
        <f t="shared" si="101"/>
        <v>0</v>
      </c>
      <c r="I121" s="459">
        <f t="shared" si="101"/>
        <v>142334825</v>
      </c>
      <c r="J121" s="459">
        <f t="shared" si="101"/>
        <v>141293550</v>
      </c>
      <c r="K121" s="459">
        <f t="shared" si="101"/>
        <v>0</v>
      </c>
      <c r="L121" s="459">
        <f t="shared" si="101"/>
        <v>141293550</v>
      </c>
    </row>
    <row r="122" spans="1:12" s="59" customFormat="1" ht="15.75" x14ac:dyDescent="0.2">
      <c r="A122" s="344" t="s">
        <v>190</v>
      </c>
      <c r="B122" s="347"/>
      <c r="C122" s="347"/>
      <c r="D122" s="348"/>
      <c r="E122" s="349"/>
      <c r="F122" s="347"/>
      <c r="G122" s="454">
        <v>2752175</v>
      </c>
      <c r="H122" s="454">
        <v>0</v>
      </c>
      <c r="I122" s="508">
        <f>G122+H122</f>
        <v>2752175</v>
      </c>
      <c r="J122" s="508">
        <v>5815450</v>
      </c>
      <c r="K122" s="509">
        <v>0</v>
      </c>
      <c r="L122" s="509">
        <f>J122+K122</f>
        <v>5815450</v>
      </c>
    </row>
    <row r="123" spans="1:12" s="59" customFormat="1" ht="15.75" x14ac:dyDescent="0.2">
      <c r="A123" s="344" t="s">
        <v>270</v>
      </c>
      <c r="B123" s="347"/>
      <c r="C123" s="347"/>
      <c r="D123" s="348"/>
      <c r="E123" s="349"/>
      <c r="F123" s="347"/>
      <c r="G123" s="138">
        <f>G121+G122</f>
        <v>110087000</v>
      </c>
      <c r="H123" s="138">
        <f t="shared" ref="H123:L123" si="102">H121+H122</f>
        <v>0</v>
      </c>
      <c r="I123" s="138">
        <f t="shared" si="102"/>
        <v>145087000</v>
      </c>
      <c r="J123" s="138">
        <f t="shared" si="102"/>
        <v>147109000</v>
      </c>
      <c r="K123" s="138">
        <f t="shared" si="102"/>
        <v>0</v>
      </c>
      <c r="L123" s="138">
        <f t="shared" si="102"/>
        <v>147109000</v>
      </c>
    </row>
    <row r="124" spans="1:12" x14ac:dyDescent="0.2">
      <c r="A124" s="345"/>
      <c r="B124" s="350"/>
      <c r="C124" s="350"/>
      <c r="D124" s="351"/>
      <c r="E124" s="352"/>
      <c r="F124" s="350"/>
      <c r="H124" s="353"/>
      <c r="I124" s="353"/>
    </row>
  </sheetData>
  <autoFilter ref="A8:L123">
    <filterColumn colId="3" showButton="0"/>
  </autoFilter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rintOptions gridLinesSet="0"/>
  <pageMargins left="0.70866141732283472" right="0.70866141732283472" top="0.74803149606299213" bottom="0.74803149606299213" header="0.51181102362204722" footer="0.51181102362204722"/>
  <pageSetup paperSize="9" scale="38" fitToHeight="101" orientation="portrait" r:id="rId1"/>
  <headerFooter>
    <oddFooter>&amp;C&amp;P</oddFooter>
  </headerFooter>
  <rowBreaks count="1" manualBreakCount="1">
    <brk id="59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F111"/>
  <sheetViews>
    <sheetView showGridLines="0" view="pageBreakPreview" topLeftCell="B1" zoomScale="115" zoomScaleSheetLayoutView="115" workbookViewId="0">
      <selection activeCell="A6" sqref="A6:F6"/>
    </sheetView>
  </sheetViews>
  <sheetFormatPr defaultColWidth="9.140625" defaultRowHeight="18" customHeight="1" x14ac:dyDescent="0.2"/>
  <cols>
    <col min="1" max="1" width="6" style="60" hidden="1" customWidth="1"/>
    <col min="2" max="2" width="58.140625" style="358" customWidth="1"/>
    <col min="3" max="3" width="13.42578125" style="363" customWidth="1"/>
    <col min="4" max="4" width="17.7109375" style="363" hidden="1" customWidth="1"/>
    <col min="5" max="5" width="19.5703125" style="52" customWidth="1"/>
    <col min="6" max="6" width="19.5703125" style="52" hidden="1" customWidth="1"/>
    <col min="7" max="16384" width="9.140625" style="52"/>
  </cols>
  <sheetData>
    <row r="1" spans="1:6" ht="18" customHeight="1" x14ac:dyDescent="0.25">
      <c r="A1" s="605" t="s">
        <v>904</v>
      </c>
      <c r="B1" s="605"/>
      <c r="C1" s="605"/>
      <c r="D1" s="605"/>
      <c r="E1" s="605"/>
      <c r="F1" s="605"/>
    </row>
    <row r="2" spans="1:6" ht="18" customHeight="1" x14ac:dyDescent="0.25">
      <c r="A2" s="605" t="s">
        <v>930</v>
      </c>
      <c r="B2" s="605"/>
      <c r="C2" s="605"/>
      <c r="D2" s="605"/>
      <c r="E2" s="605"/>
      <c r="F2" s="605"/>
    </row>
    <row r="3" spans="1:6" ht="18" customHeight="1" x14ac:dyDescent="0.25">
      <c r="A3" s="605" t="s">
        <v>901</v>
      </c>
      <c r="B3" s="605"/>
      <c r="C3" s="605"/>
      <c r="D3" s="605"/>
      <c r="E3" s="605"/>
      <c r="F3" s="605"/>
    </row>
    <row r="4" spans="1:6" ht="18" customHeight="1" x14ac:dyDescent="0.25">
      <c r="A4" s="605" t="s">
        <v>934</v>
      </c>
      <c r="B4" s="605"/>
      <c r="C4" s="605"/>
      <c r="D4" s="605"/>
      <c r="E4" s="605"/>
      <c r="F4" s="605"/>
    </row>
    <row r="5" spans="1:6" ht="3.6" customHeight="1" x14ac:dyDescent="0.25">
      <c r="A5" s="61"/>
      <c r="B5" s="356"/>
      <c r="C5" s="359"/>
      <c r="D5" s="618"/>
      <c r="E5" s="618"/>
      <c r="F5" s="618"/>
    </row>
    <row r="6" spans="1:6" ht="34.15" customHeight="1" thickBot="1" x14ac:dyDescent="0.3">
      <c r="A6" s="709" t="s">
        <v>905</v>
      </c>
      <c r="B6" s="709"/>
      <c r="C6" s="709"/>
      <c r="D6" s="709"/>
      <c r="E6" s="709"/>
      <c r="F6" s="709"/>
    </row>
    <row r="7" spans="1:6" ht="9.75" hidden="1" customHeight="1" thickBot="1" x14ac:dyDescent="0.3">
      <c r="A7" s="61"/>
      <c r="B7" s="356"/>
      <c r="C7" s="359"/>
      <c r="D7" s="710"/>
      <c r="E7" s="710"/>
      <c r="F7" s="710"/>
    </row>
    <row r="8" spans="1:6" ht="18" customHeight="1" thickBot="1" x14ac:dyDescent="0.25">
      <c r="A8" s="707" t="s">
        <v>271</v>
      </c>
      <c r="B8" s="705" t="s">
        <v>272</v>
      </c>
      <c r="C8" s="705" t="s">
        <v>273</v>
      </c>
      <c r="D8" s="705" t="s">
        <v>77</v>
      </c>
      <c r="E8" s="705" t="s">
        <v>929</v>
      </c>
      <c r="F8" s="705" t="s">
        <v>77</v>
      </c>
    </row>
    <row r="9" spans="1:6" ht="45.75" customHeight="1" thickBot="1" x14ac:dyDescent="0.25">
      <c r="A9" s="707"/>
      <c r="B9" s="706"/>
      <c r="C9" s="708"/>
      <c r="D9" s="706"/>
      <c r="E9" s="706"/>
      <c r="F9" s="706"/>
    </row>
    <row r="10" spans="1:6" s="62" customFormat="1" ht="48" thickBot="1" x14ac:dyDescent="0.25">
      <c r="A10" s="63">
        <v>1</v>
      </c>
      <c r="B10" s="322" t="str">
        <f>IF(C10&gt;0,VLOOKUP(C10,Программа!A$5:B$4973,2))</f>
        <v xml:space="preserve">Муниципальная программа "Формирование современной городской среды на территории городского поселения Тутаев"
</v>
      </c>
      <c r="C10" s="20" t="s">
        <v>256</v>
      </c>
      <c r="D10" s="449">
        <f>SUMIFS(Пр12!G$10:G$619,Пр12!$D$10:$D$619,C10)</f>
        <v>70693516</v>
      </c>
      <c r="E10" s="499">
        <f>SUMIFS(Пр12!H$10:H$619,Пр12!$D$10:$D$619,C10)</f>
        <v>482183.5</v>
      </c>
      <c r="F10" s="449">
        <f>SUMIFS(Пр12!I$10:I$619,Пр12!$D$10:$D$619,C10)</f>
        <v>70211332.5</v>
      </c>
    </row>
    <row r="11" spans="1:6" s="64" customFormat="1" ht="32.25" thickBot="1" x14ac:dyDescent="0.25">
      <c r="A11" s="65" t="s">
        <v>274</v>
      </c>
      <c r="B11" s="357" t="str">
        <f>IF(C11&gt;0,VLOOKUP(C11,Программа!A$5:B$4973,2))</f>
        <v>Повышение уровня благоустройства дворовых территорий</v>
      </c>
      <c r="C11" s="360" t="s">
        <v>610</v>
      </c>
      <c r="D11" s="450">
        <f>SUMIFS(Пр12!G$10:G$619,Пр12!$D$10:$D$619,C11)</f>
        <v>5966717</v>
      </c>
      <c r="E11" s="450">
        <f>SUMIFS(Пр12!H$10:H$619,Пр12!$D$10:$D$619,C11)</f>
        <v>482183.5</v>
      </c>
      <c r="F11" s="450">
        <f>SUMIFS(Пр12!I$10:I$619,Пр12!$D$10:$D$619,C11)</f>
        <v>5484533.5</v>
      </c>
    </row>
    <row r="12" spans="1:6" ht="32.25" hidden="1" thickBot="1" x14ac:dyDescent="0.25">
      <c r="A12" s="66" t="s">
        <v>275</v>
      </c>
      <c r="B12" s="357" t="str">
        <f>IF(C12&gt;0,VLOOKUP(C12,Программа!A$5:B$4973,2))</f>
        <v>Повышение  уровня благоустройства  мест массового отдыха  населения (городских парков)</v>
      </c>
      <c r="C12" s="360" t="s">
        <v>612</v>
      </c>
      <c r="D12" s="450">
        <f>SUMIFS(Пр12!G$10:G$619,Пр12!$D$10:$D$619,C12)</f>
        <v>0</v>
      </c>
      <c r="E12" s="450">
        <f>SUMIFS(Пр12!H$10:H$619,Пр12!$D$10:$D$619,C12)</f>
        <v>0</v>
      </c>
      <c r="F12" s="450">
        <f>SUMIFS(Пр12!I$10:I$619,Пр12!$D$10:$D$619,C12)</f>
        <v>0</v>
      </c>
    </row>
    <row r="13" spans="1:6" ht="32.25" hidden="1" thickBot="1" x14ac:dyDescent="0.25">
      <c r="A13" s="66"/>
      <c r="B13" s="357" t="str">
        <f>IF(C13&gt;0,VLOOKUP(C13,Программа!A$5:B$4973,2))</f>
        <v>Реализация проектов создания комфортной городской среды в малых городах и исторических поселениях</v>
      </c>
      <c r="C13" s="360" t="s">
        <v>846</v>
      </c>
      <c r="D13" s="450">
        <f>SUMIFS(Пр12!G$10:G$619,Пр12!$D$10:$D$619,C13)</f>
        <v>50000000</v>
      </c>
      <c r="E13" s="450">
        <f>SUMIFS(Пр12!H$10:H$619,Пр12!$D$10:$D$619,C13)</f>
        <v>0</v>
      </c>
      <c r="F13" s="450">
        <f>SUMIFS(Пр12!I$10:I$619,Пр12!$D$10:$D$619,C13)</f>
        <v>50000000</v>
      </c>
    </row>
    <row r="14" spans="1:6" ht="32.25" hidden="1" thickBot="1" x14ac:dyDescent="0.25">
      <c r="A14" s="66"/>
      <c r="B14" s="357" t="str">
        <f>IF(C14&gt;0,VLOOKUP(C14,Программа!A$5:B$4973,2))</f>
        <v>Реализация   проекта "Формирование комфортной городской среды"</v>
      </c>
      <c r="C14" s="360" t="s">
        <v>847</v>
      </c>
      <c r="D14" s="450">
        <f>SUMIFS(Пр12!G$10:G$619,Пр12!$D$10:$D$619,C14)</f>
        <v>14726799</v>
      </c>
      <c r="E14" s="450">
        <f>SUMIFS(Пр12!H$10:H$619,Пр12!$D$10:$D$619,C14)</f>
        <v>0</v>
      </c>
      <c r="F14" s="450">
        <f>SUMIFS(Пр12!I$10:I$619,Пр12!$D$10:$D$619,C14)</f>
        <v>14726799</v>
      </c>
    </row>
    <row r="15" spans="1:6" s="62" customFormat="1" ht="48" thickBot="1" x14ac:dyDescent="0.25">
      <c r="A15" s="63" t="s">
        <v>277</v>
      </c>
      <c r="B15" s="322" t="str">
        <f>IF(C15&gt;0,VLOOKUP(C15,Программа!A$5:B$4973,2))</f>
        <v>Муниципальная программа "Благоустройство и озеленение территории городского поселения Тутаев"</v>
      </c>
      <c r="C15" s="20" t="s">
        <v>252</v>
      </c>
      <c r="D15" s="449">
        <f>SUMIFS(Пр12!G$10:G$619,Пр12!$D$10:$D$619,C15)</f>
        <v>35158801</v>
      </c>
      <c r="E15" s="499">
        <f>SUMIFS(Пр12!H$10:H$619,Пр12!$D$10:$D$619,C15)</f>
        <v>17497190.66</v>
      </c>
      <c r="F15" s="449">
        <f>SUMIFS(Пр12!I$10:I$619,Пр12!$D$10:$D$619,C15)</f>
        <v>17661610.34</v>
      </c>
    </row>
    <row r="16" spans="1:6" s="64" customFormat="1" ht="32.25" thickBot="1" x14ac:dyDescent="0.25">
      <c r="A16" s="67" t="s">
        <v>278</v>
      </c>
      <c r="B16" s="357" t="str">
        <f>IF(C16&gt;0,VLOOKUP(C16,Программа!A$5:B$4973,2))</f>
        <v>Благоустройство и озеленение  территории городского поселения Тутаев</v>
      </c>
      <c r="C16" s="361" t="s">
        <v>611</v>
      </c>
      <c r="D16" s="450">
        <f>SUMIFS(Пр12!G$10:G$619,Пр12!$D$10:$D$619,C16)</f>
        <v>34158801</v>
      </c>
      <c r="E16" s="450">
        <f>SUMIFS(Пр12!H$10:H$619,Пр12!$D$10:$D$619,C16)</f>
        <v>17497190.66</v>
      </c>
      <c r="F16" s="450">
        <f>SUMIFS(Пр12!I$10:I$619,Пр12!$D$10:$D$619,C16)</f>
        <v>16661610.34</v>
      </c>
    </row>
    <row r="17" spans="1:6" ht="32.25" hidden="1" thickBot="1" x14ac:dyDescent="0.25">
      <c r="A17" s="68" t="s">
        <v>279</v>
      </c>
      <c r="B17" s="357" t="str">
        <f>IF(C17&gt;0,VLOOKUP(C17,Программа!A$5:B$4973,2))</f>
        <v>Реализация мероприятий губернаторского проекта "Решаем вместе!" (инициативное бюджетирование)</v>
      </c>
      <c r="C17" s="361" t="s">
        <v>613</v>
      </c>
      <c r="D17" s="450">
        <f>SUMIFS(Пр12!G$10:G$619,Пр12!$D$10:$D$619,C17)</f>
        <v>0</v>
      </c>
      <c r="E17" s="450">
        <f>SUMIFS(Пр12!H$10:H$619,Пр12!$D$10:$D$619,C17)</f>
        <v>0</v>
      </c>
      <c r="F17" s="450">
        <f>SUMIFS(Пр12!I$10:I$619,Пр12!$D$10:$D$619,C17)</f>
        <v>0</v>
      </c>
    </row>
    <row r="18" spans="1:6" ht="16.5" hidden="1" thickBot="1" x14ac:dyDescent="0.25">
      <c r="A18" s="68" t="s">
        <v>280</v>
      </c>
      <c r="B18" s="357" t="str">
        <f>IF(C18&gt;0,VLOOKUP(C18,Программа!A$5:B$4973,2))</f>
        <v>Содержание и благоустройство мест захоронений</v>
      </c>
      <c r="C18" s="361" t="s">
        <v>689</v>
      </c>
      <c r="D18" s="450">
        <f>SUMIFS(Пр12!G$10:G$619,Пр12!$D$10:$D$619,C18)</f>
        <v>1000000</v>
      </c>
      <c r="E18" s="450">
        <f>SUMIFS(Пр12!H$10:H$619,Пр12!$D$10:$D$619,C18)</f>
        <v>0</v>
      </c>
      <c r="F18" s="450">
        <f>SUMIFS(Пр12!I$10:I$619,Пр12!$D$10:$D$619,C18)</f>
        <v>1000000</v>
      </c>
    </row>
    <row r="19" spans="1:6" s="62" customFormat="1" ht="48" thickBot="1" x14ac:dyDescent="0.25">
      <c r="A19" s="69"/>
      <c r="B19" s="322" t="str">
        <f>IF(C19&gt;0,VLOOKUP(C19,Программа!A$5:B$4973,2))</f>
        <v xml:space="preserve">Муниципальная программа "Развитие и содержание дорожного хозяйства на территории  городского поселения Тутаев"
</v>
      </c>
      <c r="C19" s="20" t="s">
        <v>254</v>
      </c>
      <c r="D19" s="449">
        <f>SUMIFS(Пр12!G$10:G$619,Пр12!$D$10:$D$619,C19)</f>
        <v>88670360</v>
      </c>
      <c r="E19" s="499">
        <f>SUMIFS(Пр12!H$10:H$619,Пр12!$D$10:$D$619,C19)</f>
        <v>17732985.600000001</v>
      </c>
      <c r="F19" s="449">
        <f>SUMIFS(Пр12!I$10:I$619,Пр12!$D$10:$D$619,C19)</f>
        <v>70937374.400000006</v>
      </c>
    </row>
    <row r="20" spans="1:6" s="64" customFormat="1" ht="32.25" thickBot="1" x14ac:dyDescent="0.25">
      <c r="A20" s="65"/>
      <c r="B20" s="357" t="str">
        <f>IF(C20&gt;0,VLOOKUP(C20,Программа!A$5:B$4973,2))</f>
        <v xml:space="preserve"> Дорожная деятельность в отношении дорожной сети   городского поселения Тутаев </v>
      </c>
      <c r="C20" s="361" t="s">
        <v>616</v>
      </c>
      <c r="D20" s="450">
        <f>SUMIFS(Пр12!G$10:G$619,Пр12!$D$10:$D$619,C20)</f>
        <v>88670360</v>
      </c>
      <c r="E20" s="450">
        <f>SUMIFS(Пр12!H$10:H$619,Пр12!$D$10:$D$619,C20)</f>
        <v>17732985.600000001</v>
      </c>
      <c r="F20" s="450">
        <f>SUMIFS(Пр12!I$10:I$619,Пр12!$D$10:$D$619,C20)</f>
        <v>70937374.400000006</v>
      </c>
    </row>
    <row r="21" spans="1:6" ht="32.25" hidden="1" thickBot="1" x14ac:dyDescent="0.25">
      <c r="A21" s="66"/>
      <c r="B21" s="357" t="str">
        <f>IF(C21&gt;0,VLOOKUP(C21,Программа!A$5:B$4973,2))</f>
        <v>Реализация мероприятий губернаторского проекта "Решаем вместе!" (инициативное бюджетирование)</v>
      </c>
      <c r="C21" s="361" t="s">
        <v>619</v>
      </c>
      <c r="D21" s="450">
        <f>SUMIFS(Пр12!G$10:G$619,Пр12!$D$10:$D$619,C21)</f>
        <v>0</v>
      </c>
      <c r="E21" s="450">
        <f>SUMIFS(Пр12!H$10:H$619,Пр12!$D$10:$D$619,C21)</f>
        <v>0</v>
      </c>
      <c r="F21" s="450">
        <f>SUMIFS(Пр12!I$10:I$619,Пр12!$D$10:$D$619,C21)</f>
        <v>0</v>
      </c>
    </row>
    <row r="22" spans="1:6" s="62" customFormat="1" ht="48" hidden="1" thickBot="1" x14ac:dyDescent="0.25">
      <c r="A22" s="69"/>
      <c r="B22" s="322" t="str">
        <f>IF(C22&gt;0,VLOOKUP(C22,Программа!A$5:B$4973,2))</f>
        <v>Муниципальная программа "Развитие субъектов малого и среднего предпринимательства городского поселения Тутаев"</v>
      </c>
      <c r="C22" s="20" t="s">
        <v>262</v>
      </c>
      <c r="D22" s="449">
        <f>SUMIFS(Пр12!G$10:G$619,Пр12!$D$10:$D$619,C22)</f>
        <v>0</v>
      </c>
      <c r="E22" s="499">
        <f>SUMIFS(Пр12!H$10:H$619,Пр12!$D$10:$D$619,C22)</f>
        <v>0</v>
      </c>
      <c r="F22" s="449">
        <f>SUMIFS(Пр12!I$10:I$619,Пр12!$D$10:$D$619,C22)</f>
        <v>0</v>
      </c>
    </row>
    <row r="23" spans="1:6" ht="48" hidden="1" thickBot="1" x14ac:dyDescent="0.25">
      <c r="A23" s="66"/>
      <c r="B23" s="357" t="str">
        <f>IF(C23&gt;0,VLOOKUP(C23,Программа!A$5:B$4973,2))</f>
        <v>Предоставление поддержки  субъектам малого и среднего предпринимательства городского поселения Тутаев</v>
      </c>
      <c r="C23" s="361" t="s">
        <v>263</v>
      </c>
      <c r="D23" s="450">
        <f>SUMIFS(Пр12!G$10:G$619,Пр12!$D$10:$D$619,C23)</f>
        <v>0</v>
      </c>
      <c r="E23" s="450">
        <f>SUMIFS(Пр12!H$10:H$619,Пр12!$D$10:$D$619,C23)</f>
        <v>0</v>
      </c>
      <c r="F23" s="450">
        <f>SUMIFS(Пр12!I$10:I$619,Пр12!$D$10:$D$619,C23)</f>
        <v>0</v>
      </c>
    </row>
    <row r="24" spans="1:6" s="62" customFormat="1" ht="79.5" hidden="1" thickBot="1" x14ac:dyDescent="0.25">
      <c r="A24" s="69"/>
      <c r="B24" s="322" t="str">
        <f>IF(C24&gt;0,VLOOKUP(C24,Программа!A$5:B$4973,2))</f>
        <v>Муниципальная   программа "Переселение граждан из  жилищного фонда, признанного непригодным для проживания, и (или)  жилищного фонда с высоким уровнем износа на территории городского поселения Тутаев"</v>
      </c>
      <c r="C24" s="20" t="s">
        <v>265</v>
      </c>
      <c r="D24" s="449">
        <f>SUMIFS(Пр12!G$10:G$619,Пр12!$D$10:$D$619,C24)</f>
        <v>2918000</v>
      </c>
      <c r="E24" s="499">
        <f>SUMIFS(Пр12!H$10:H$619,Пр12!$D$10:$D$619,C24)</f>
        <v>0</v>
      </c>
      <c r="F24" s="449">
        <f>SUMIFS(Пр12!I$10:I$619,Пр12!$D$10:$D$619,C24)</f>
        <v>2918000</v>
      </c>
    </row>
    <row r="25" spans="1:6" s="64" customFormat="1" ht="48" hidden="1" thickBot="1" x14ac:dyDescent="0.25">
      <c r="A25" s="65"/>
      <c r="B25" s="357" t="str">
        <f>IF(C25&gt;0,VLOOKUP(C25,Программа!A$5:B$4973,2))</f>
        <v xml:space="preserve"> Обеспечение благоустроенным  жильем граждан переселяемых из  непригодного для проживания жилищного фонда городского поселения Тутаев</v>
      </c>
      <c r="C25" s="361" t="s">
        <v>615</v>
      </c>
      <c r="D25" s="450">
        <f>SUMIFS(Пр12!G$10:G$619,Пр12!$D$10:$D$619,C25)</f>
        <v>2918000</v>
      </c>
      <c r="E25" s="450">
        <f>SUMIFS(Пр12!H$10:H$619,Пр12!$D$10:$D$619,C25)</f>
        <v>0</v>
      </c>
      <c r="F25" s="450">
        <f>SUMIFS(Пр12!I$10:I$619,Пр12!$D$10:$D$619,C25)</f>
        <v>2918000</v>
      </c>
    </row>
    <row r="26" spans="1:6" s="62" customFormat="1" ht="48" thickBot="1" x14ac:dyDescent="0.25">
      <c r="A26" s="69"/>
      <c r="B26" s="322" t="str">
        <f>IF(C26&gt;0,VLOOKUP(C26,Программа!A$5:B$4973,2))</f>
        <v xml:space="preserve">Муниципальная программа "Предоставление молодым семьям социальных выплат на приобретение (строительство) жилья" </v>
      </c>
      <c r="C26" s="20" t="s">
        <v>266</v>
      </c>
      <c r="D26" s="449">
        <f>SUMIFS(Пр12!G$10:G$619,Пр12!$D$10:$D$619,C26)</f>
        <v>2347488</v>
      </c>
      <c r="E26" s="499">
        <f>SUMIFS(Пр12!H$10:H$619,Пр12!$D$10:$D$619,C26)</f>
        <v>2320452.88</v>
      </c>
      <c r="F26" s="449">
        <f>SUMIFS(Пр12!I$10:I$619,Пр12!$D$10:$D$619,C26)</f>
        <v>27035.120000000112</v>
      </c>
    </row>
    <row r="27" spans="1:6" ht="48" thickBot="1" x14ac:dyDescent="0.25">
      <c r="A27" s="66"/>
      <c r="B27" s="357" t="str">
        <f>IF(C27&gt;0,VLOOKUP(C27,Программа!A$5:B$4973,2))</f>
        <v>Поддержка молодых семей в приобретении (строительстве) жилья на территории городского поселения Тутаев</v>
      </c>
      <c r="C27" s="361" t="s">
        <v>267</v>
      </c>
      <c r="D27" s="450">
        <f>SUMIFS(Пр12!G$10:G$619,Пр12!$D$10:$D$619,C27)</f>
        <v>2347488</v>
      </c>
      <c r="E27" s="499">
        <f>SUMIFS(Пр12!H$10:H$619,Пр12!$D$10:$D$619,C27)</f>
        <v>2320452.88</v>
      </c>
      <c r="F27" s="450">
        <f>SUMIFS(Пр12!I$10:I$619,Пр12!$D$10:$D$619,C27)</f>
        <v>27035.120000000112</v>
      </c>
    </row>
    <row r="28" spans="1:6" s="62" customFormat="1" ht="63.75" thickBot="1" x14ac:dyDescent="0.25">
      <c r="A28" s="69"/>
      <c r="B28" s="322" t="str">
        <f>IF(C28&gt;0,VLOOKUP(C28,Программа!A$5:B$4973,2))</f>
        <v xml:space="preserve">Муниципальная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v>
      </c>
      <c r="C28" s="20" t="s">
        <v>268</v>
      </c>
      <c r="D28" s="449">
        <f>SUMIFS(Пр12!G$10:G$619,Пр12!$D$10:$D$619,C28)</f>
        <v>200000</v>
      </c>
      <c r="E28" s="499">
        <f>SUMIFS(Пр12!H$10:H$619,Пр12!$D$10:$D$619,C28)</f>
        <v>65067.33</v>
      </c>
      <c r="F28" s="449">
        <f>SUMIFS(Пр12!I$10:I$619,Пр12!$D$10:$D$619,C28)</f>
        <v>134932.66999999998</v>
      </c>
    </row>
    <row r="29" spans="1:6" s="64" customFormat="1" ht="48" thickBot="1" x14ac:dyDescent="0.25">
      <c r="A29" s="65"/>
      <c r="B29" s="357" t="str">
        <f>IF(C29&gt;0,VLOOKUP(C29,Программа!A$5:B$4973,2))</f>
        <v xml:space="preserve">Поддержка граждан, проживающих на территории городского поселения Тутаев, в сфере ипотечного жилищного кредитования </v>
      </c>
      <c r="C29" s="361" t="s">
        <v>617</v>
      </c>
      <c r="D29" s="450">
        <f>SUMIFS(Пр12!G$10:G$619,Пр12!$D$10:$D$619,C29)</f>
        <v>200000</v>
      </c>
      <c r="E29" s="450">
        <f>SUMIFS(Пр12!H$10:H$619,Пр12!$D$10:$D$619,C29)</f>
        <v>65067.33</v>
      </c>
      <c r="F29" s="450">
        <f>SUMIFS(Пр12!I$10:I$619,Пр12!$D$10:$D$619,C29)</f>
        <v>134932.66999999998</v>
      </c>
    </row>
    <row r="30" spans="1:6" s="64" customFormat="1" ht="48" thickBot="1" x14ac:dyDescent="0.25">
      <c r="A30" s="65"/>
      <c r="B30" s="322" t="str">
        <f>IF(C30&gt;0,VLOOKUP(C30,Программа!A$5:B$4973,2))</f>
        <v xml:space="preserve">Муниципальная программа "Обеспечение населения городского поселения Тутаев банными услугами" </v>
      </c>
      <c r="C30" s="20" t="s">
        <v>721</v>
      </c>
      <c r="D30" s="449">
        <f>SUMIFS(Пр12!G$10:G$619,Пр12!$D$10:$D$619,C30)</f>
        <v>2799250</v>
      </c>
      <c r="E30" s="449">
        <f>SUMIFS(Пр12!H$10:H$619,Пр12!$D$10:$D$619,C30)</f>
        <v>1790440.82</v>
      </c>
      <c r="F30" s="449">
        <f>SUMIFS(Пр12!I$10:I$619,Пр12!$D$10:$D$619,C30)</f>
        <v>1008809.1799999999</v>
      </c>
    </row>
    <row r="31" spans="1:6" s="64" customFormat="1" ht="32.25" thickBot="1" x14ac:dyDescent="0.25">
      <c r="A31" s="65"/>
      <c r="B31" s="357" t="str">
        <f>IF(C31&gt;0,VLOOKUP(C31,Программа!A$5:B$4973,2))</f>
        <v>Обеспечение развития и доступности банных услуг для всех категорий граждан  городского поселения Тутаев</v>
      </c>
      <c r="C31" s="361" t="s">
        <v>722</v>
      </c>
      <c r="D31" s="450">
        <f>SUMIFS(Пр12!G$10:G$619,Пр12!$D$10:$D$619,C31)</f>
        <v>2799250</v>
      </c>
      <c r="E31" s="450">
        <f>SUMIFS(Пр12!H$10:H$619,Пр12!$D$10:$D$619,C31)</f>
        <v>1790440.82</v>
      </c>
      <c r="F31" s="450">
        <f>SUMIFS(Пр12!I$10:I$619,Пр12!$D$10:$D$619,C31)</f>
        <v>1008809.1799999999</v>
      </c>
    </row>
    <row r="32" spans="1:6" s="64" customFormat="1" ht="48" hidden="1" thickBot="1" x14ac:dyDescent="0.25">
      <c r="A32" s="65"/>
      <c r="B32" s="322" t="str">
        <f>IF(C32&gt;0,VLOOKUP(C32,Программа!A$5:B$4973,2))</f>
        <v xml:space="preserve">Муниципальная программа "Градостроительная деятельность на территории городского поселения Тутаев" </v>
      </c>
      <c r="C32" s="20" t="s">
        <v>827</v>
      </c>
      <c r="D32" s="449">
        <f>SUMIFS(Пр12!G$10:G$619,Пр12!$D$10:$D$619,C32)</f>
        <v>1350000</v>
      </c>
      <c r="E32" s="449">
        <f>SUMIFS(Пр12!H$10:H$619,Пр12!$D$10:$D$619,C32)</f>
        <v>0</v>
      </c>
      <c r="F32" s="449">
        <f>SUMIFS(Пр12!I$10:I$619,Пр12!$D$10:$D$619,C32)</f>
        <v>1350000</v>
      </c>
    </row>
    <row r="33" spans="1:6" s="64" customFormat="1" ht="48" hidden="1" thickBot="1" x14ac:dyDescent="0.25">
      <c r="A33" s="65"/>
      <c r="B33" s="357" t="str">
        <f>IF(C33&gt;0,VLOOKUP(C33,Программа!A$5:B$4973,2))</f>
        <v>Внесение изменений в документы территориального планирования и градостроительного зонирования городского поселения Тутаев</v>
      </c>
      <c r="C33" s="361" t="s">
        <v>828</v>
      </c>
      <c r="D33" s="450">
        <f>SUMIFS(Пр12!G$10:G$619,Пр12!$D$10:$D$619,C33)</f>
        <v>1190000</v>
      </c>
      <c r="E33" s="450">
        <f>SUMIFS(Пр12!H$10:H$619,Пр12!$D$10:$D$619,C33)</f>
        <v>0</v>
      </c>
      <c r="F33" s="450">
        <f>SUMIFS(Пр12!I$10:I$619,Пр12!$D$10:$D$619,C33)</f>
        <v>1190000</v>
      </c>
    </row>
    <row r="34" spans="1:6" s="64" customFormat="1" ht="32.25" hidden="1" thickBot="1" x14ac:dyDescent="0.25">
      <c r="A34" s="65"/>
      <c r="B34" s="357" t="str">
        <f>IF(C34&gt;0,VLOOKUP(C34,Программа!A$5:B$4973,2))</f>
        <v>Разработка и актуализация схем инженерного обеспечения территории городского поселения Тутаев</v>
      </c>
      <c r="C34" s="361" t="s">
        <v>829</v>
      </c>
      <c r="D34" s="450">
        <f>SUMIFS(Пр12!G$10:G$619,Пр12!$D$10:$D$619,C34)</f>
        <v>160000</v>
      </c>
      <c r="E34" s="450">
        <f>SUMIFS(Пр12!H$10:H$619,Пр12!$D$10:$D$619,C34)</f>
        <v>0</v>
      </c>
      <c r="F34" s="450">
        <f>SUMIFS(Пр12!I$10:I$619,Пр12!$D$10:$D$619,C34)</f>
        <v>160000</v>
      </c>
    </row>
    <row r="35" spans="1:6" s="64" customFormat="1" ht="63.75" hidden="1" thickBot="1" x14ac:dyDescent="0.25">
      <c r="A35" s="65"/>
      <c r="B35" s="322" t="str">
        <f>IF(C35&gt;0,VLOOKUP(C35,Программа!A$5:B$4973,2))</f>
        <v xml:space="preserve">Муниципальная программа "Сохранение, использование и популяризация объектов культурного наследия на территории городского поселения Тутаев" </v>
      </c>
      <c r="C35" s="20" t="s">
        <v>831</v>
      </c>
      <c r="D35" s="449">
        <f>SUMIFS(Пр12!G$10:G$619,Пр12!$D$10:$D$619,C35)</f>
        <v>150000</v>
      </c>
      <c r="E35" s="449">
        <f>SUMIFS(Пр12!H$10:H$619,Пр12!$D$10:$D$619,C35)</f>
        <v>0</v>
      </c>
      <c r="F35" s="449">
        <f>SUMIFS(Пр12!I$10:I$619,Пр12!$D$10:$D$619,C35)</f>
        <v>150000</v>
      </c>
    </row>
    <row r="36" spans="1:6" s="64" customFormat="1" ht="32.25" hidden="1" thickBot="1" x14ac:dyDescent="0.25">
      <c r="A36" s="65"/>
      <c r="B36" s="357" t="str">
        <f>IF(C36&gt;0,VLOOKUP(C36,Программа!A$5:B$4973,2))</f>
        <v>Разработка, согласование, утверждение проекта зон охраны объектов культурного наследия</v>
      </c>
      <c r="C36" s="361" t="s">
        <v>832</v>
      </c>
      <c r="D36" s="450">
        <f>SUMIFS(Пр12!G$10:G$619,Пр12!$D$10:$D$619,C36)</f>
        <v>0</v>
      </c>
      <c r="E36" s="450">
        <f>SUMIFS(Пр12!H$10:H$619,Пр12!$D$10:$D$619,C36)</f>
        <v>0</v>
      </c>
      <c r="F36" s="450">
        <f>SUMIFS(Пр12!I$10:I$619,Пр12!$D$10:$D$619,C36)</f>
        <v>0</v>
      </c>
    </row>
    <row r="37" spans="1:6" s="64" customFormat="1" ht="32.25" hidden="1" thickBot="1" x14ac:dyDescent="0.25">
      <c r="A37" s="65"/>
      <c r="B37" s="357" t="str">
        <f>IF(C37&gt;0,VLOOKUP(C37,Программа!A$5:B$4973,2))</f>
        <v>Проведение историко-культурной экспертизы объектов культурного наследия</v>
      </c>
      <c r="C37" s="361" t="s">
        <v>833</v>
      </c>
      <c r="D37" s="450">
        <f>SUMIFS(Пр12!G$10:G$619,Пр12!$D$10:$D$619,C37)</f>
        <v>150000</v>
      </c>
      <c r="E37" s="450">
        <f>SUMIFS(Пр12!H$10:H$619,Пр12!$D$10:$D$619,C37)</f>
        <v>0</v>
      </c>
      <c r="F37" s="450">
        <f>SUMIFS(Пр12!I$10:I$619,Пр12!$D$10:$D$619,C37)</f>
        <v>150000</v>
      </c>
    </row>
    <row r="38" spans="1:6" ht="16.5" thickBot="1" x14ac:dyDescent="0.25">
      <c r="A38" s="66"/>
      <c r="B38" s="322" t="s">
        <v>69</v>
      </c>
      <c r="C38" s="20"/>
      <c r="D38" s="449">
        <f>D10+D15+D19+D22+D24+D26+D28+D30+D32+D35</f>
        <v>204287415</v>
      </c>
      <c r="E38" s="449">
        <f>E10+E15+E19+E22+E24+E26+E28+E30+E32+E35</f>
        <v>39888320.790000007</v>
      </c>
      <c r="F38" s="449">
        <f t="shared" ref="F38" si="0">F10+F15+F19+F22+F24+F26+F28+F30+F32+F35</f>
        <v>164399094.21000001</v>
      </c>
    </row>
    <row r="39" spans="1:6" ht="16.5" thickBot="1" x14ac:dyDescent="0.25">
      <c r="A39" s="68" t="s">
        <v>283</v>
      </c>
      <c r="B39" s="475" t="str">
        <f>IF(C39&gt;0,VLOOKUP(C39,Программа!A$5:B$4973,2))</f>
        <v>Непрограммные расходы бюджета</v>
      </c>
      <c r="C39" s="476" t="s">
        <v>618</v>
      </c>
      <c r="D39" s="477">
        <f>SUMIFS(Пр12!G$10:G$619,Пр12!$D$10:$D$619,C39)</f>
        <v>49505163</v>
      </c>
      <c r="E39" s="477">
        <f>SUMIFS(Пр12!H$10:H$619,Пр12!$D$10:$D$619,C39)</f>
        <v>19226150.32</v>
      </c>
      <c r="F39" s="477">
        <f>SUMIFS(Пр12!I$10:I$619,Пр12!$D$10:$D$619,C39)</f>
        <v>30279012.680000003</v>
      </c>
    </row>
    <row r="40" spans="1:6" ht="16.5" thickBot="1" x14ac:dyDescent="0.25">
      <c r="A40" s="68"/>
      <c r="B40" s="467" t="s">
        <v>284</v>
      </c>
      <c r="C40" s="478"/>
      <c r="D40" s="468">
        <f>D38+D39</f>
        <v>253792578</v>
      </c>
      <c r="E40" s="468">
        <f>E38+E39</f>
        <v>59114471.110000007</v>
      </c>
      <c r="F40" s="468">
        <f>F38+F39</f>
        <v>194678106.89000002</v>
      </c>
    </row>
    <row r="41" spans="1:6" ht="18" customHeight="1" x14ac:dyDescent="0.2">
      <c r="C41" s="362"/>
    </row>
    <row r="42" spans="1:6" ht="18" customHeight="1" x14ac:dyDescent="0.2">
      <c r="C42" s="362"/>
    </row>
    <row r="43" spans="1:6" ht="18" customHeight="1" x14ac:dyDescent="0.2">
      <c r="C43" s="362"/>
    </row>
    <row r="44" spans="1:6" ht="18" customHeight="1" x14ac:dyDescent="0.2">
      <c r="C44" s="362"/>
    </row>
    <row r="45" spans="1:6" ht="18" customHeight="1" x14ac:dyDescent="0.2">
      <c r="C45" s="362"/>
    </row>
    <row r="46" spans="1:6" ht="18" customHeight="1" x14ac:dyDescent="0.2">
      <c r="C46" s="362"/>
    </row>
    <row r="47" spans="1:6" ht="18" customHeight="1" x14ac:dyDescent="0.2">
      <c r="C47" s="362"/>
    </row>
    <row r="48" spans="1:6" ht="18" customHeight="1" x14ac:dyDescent="0.2">
      <c r="C48" s="362"/>
    </row>
    <row r="49" spans="3:3" ht="18" customHeight="1" x14ac:dyDescent="0.2">
      <c r="C49" s="362"/>
    </row>
    <row r="50" spans="3:3" ht="18" customHeight="1" x14ac:dyDescent="0.2">
      <c r="C50" s="362"/>
    </row>
    <row r="51" spans="3:3" ht="18" customHeight="1" x14ac:dyDescent="0.2">
      <c r="C51" s="362"/>
    </row>
    <row r="52" spans="3:3" ht="18" customHeight="1" x14ac:dyDescent="0.2">
      <c r="C52" s="362"/>
    </row>
    <row r="53" spans="3:3" ht="18" customHeight="1" x14ac:dyDescent="0.2">
      <c r="C53" s="362"/>
    </row>
    <row r="54" spans="3:3" ht="18" customHeight="1" x14ac:dyDescent="0.2">
      <c r="C54" s="362"/>
    </row>
    <row r="55" spans="3:3" ht="18" customHeight="1" x14ac:dyDescent="0.2">
      <c r="C55" s="362"/>
    </row>
    <row r="56" spans="3:3" ht="18" customHeight="1" x14ac:dyDescent="0.2">
      <c r="C56" s="362"/>
    </row>
    <row r="57" spans="3:3" ht="18" customHeight="1" x14ac:dyDescent="0.2">
      <c r="C57" s="362"/>
    </row>
    <row r="58" spans="3:3" ht="18" customHeight="1" x14ac:dyDescent="0.2">
      <c r="C58" s="362"/>
    </row>
    <row r="59" spans="3:3" ht="18" customHeight="1" x14ac:dyDescent="0.2">
      <c r="C59" s="362"/>
    </row>
    <row r="60" spans="3:3" ht="18" customHeight="1" x14ac:dyDescent="0.2">
      <c r="C60" s="362"/>
    </row>
    <row r="61" spans="3:3" ht="18" customHeight="1" x14ac:dyDescent="0.2">
      <c r="C61" s="362"/>
    </row>
    <row r="62" spans="3:3" ht="18" customHeight="1" x14ac:dyDescent="0.2">
      <c r="C62" s="362"/>
    </row>
    <row r="63" spans="3:3" ht="18" customHeight="1" x14ac:dyDescent="0.2">
      <c r="C63" s="362"/>
    </row>
    <row r="64" spans="3:3" ht="18" customHeight="1" x14ac:dyDescent="0.2">
      <c r="C64" s="362"/>
    </row>
    <row r="65" spans="3:3" ht="18" customHeight="1" x14ac:dyDescent="0.2">
      <c r="C65" s="362"/>
    </row>
    <row r="66" spans="3:3" ht="18" customHeight="1" x14ac:dyDescent="0.2">
      <c r="C66" s="362"/>
    </row>
    <row r="67" spans="3:3" ht="18" customHeight="1" x14ac:dyDescent="0.2">
      <c r="C67" s="362"/>
    </row>
    <row r="68" spans="3:3" ht="18" customHeight="1" x14ac:dyDescent="0.2">
      <c r="C68" s="362"/>
    </row>
    <row r="69" spans="3:3" ht="18" customHeight="1" x14ac:dyDescent="0.2">
      <c r="C69" s="362"/>
    </row>
    <row r="70" spans="3:3" ht="18" customHeight="1" x14ac:dyDescent="0.2">
      <c r="C70" s="362"/>
    </row>
    <row r="71" spans="3:3" ht="18" customHeight="1" x14ac:dyDescent="0.2">
      <c r="C71" s="362"/>
    </row>
    <row r="72" spans="3:3" ht="18" customHeight="1" x14ac:dyDescent="0.2">
      <c r="C72" s="362"/>
    </row>
    <row r="73" spans="3:3" ht="18" customHeight="1" x14ac:dyDescent="0.2">
      <c r="C73" s="362"/>
    </row>
    <row r="74" spans="3:3" ht="18" customHeight="1" x14ac:dyDescent="0.2">
      <c r="C74" s="362"/>
    </row>
    <row r="75" spans="3:3" ht="18" customHeight="1" x14ac:dyDescent="0.2">
      <c r="C75" s="362"/>
    </row>
    <row r="76" spans="3:3" ht="18" customHeight="1" x14ac:dyDescent="0.2">
      <c r="C76" s="362"/>
    </row>
    <row r="77" spans="3:3" ht="18" customHeight="1" x14ac:dyDescent="0.2">
      <c r="C77" s="362"/>
    </row>
    <row r="78" spans="3:3" ht="18" customHeight="1" x14ac:dyDescent="0.2">
      <c r="C78" s="362"/>
    </row>
    <row r="79" spans="3:3" ht="18" customHeight="1" x14ac:dyDescent="0.2">
      <c r="C79" s="362"/>
    </row>
    <row r="80" spans="3:3" ht="18" customHeight="1" x14ac:dyDescent="0.2">
      <c r="C80" s="362"/>
    </row>
    <row r="81" spans="3:3" ht="18" customHeight="1" x14ac:dyDescent="0.2">
      <c r="C81" s="362"/>
    </row>
    <row r="82" spans="3:3" ht="18" customHeight="1" x14ac:dyDescent="0.2">
      <c r="C82" s="362"/>
    </row>
    <row r="83" spans="3:3" ht="18" customHeight="1" x14ac:dyDescent="0.2">
      <c r="C83" s="362"/>
    </row>
    <row r="84" spans="3:3" ht="18" customHeight="1" x14ac:dyDescent="0.2">
      <c r="C84" s="362"/>
    </row>
    <row r="85" spans="3:3" ht="18" customHeight="1" x14ac:dyDescent="0.2">
      <c r="C85" s="362"/>
    </row>
    <row r="86" spans="3:3" ht="18" customHeight="1" x14ac:dyDescent="0.2">
      <c r="C86" s="362"/>
    </row>
    <row r="87" spans="3:3" ht="18" customHeight="1" x14ac:dyDescent="0.2">
      <c r="C87" s="362"/>
    </row>
    <row r="88" spans="3:3" ht="18" customHeight="1" x14ac:dyDescent="0.2">
      <c r="C88" s="362"/>
    </row>
    <row r="89" spans="3:3" ht="18" customHeight="1" x14ac:dyDescent="0.2">
      <c r="C89" s="362"/>
    </row>
    <row r="90" spans="3:3" ht="18" customHeight="1" x14ac:dyDescent="0.2">
      <c r="C90" s="362"/>
    </row>
    <row r="91" spans="3:3" ht="18" customHeight="1" x14ac:dyDescent="0.2">
      <c r="C91" s="362"/>
    </row>
    <row r="92" spans="3:3" ht="18" customHeight="1" x14ac:dyDescent="0.2">
      <c r="C92" s="362"/>
    </row>
    <row r="93" spans="3:3" ht="18" customHeight="1" x14ac:dyDescent="0.2">
      <c r="C93" s="362"/>
    </row>
    <row r="94" spans="3:3" ht="18" customHeight="1" x14ac:dyDescent="0.2">
      <c r="C94" s="362"/>
    </row>
    <row r="95" spans="3:3" ht="18" customHeight="1" x14ac:dyDescent="0.2">
      <c r="C95" s="362"/>
    </row>
    <row r="96" spans="3:3" ht="18" customHeight="1" x14ac:dyDescent="0.2">
      <c r="C96" s="362"/>
    </row>
    <row r="97" spans="3:3" ht="18" customHeight="1" x14ac:dyDescent="0.2">
      <c r="C97" s="362"/>
    </row>
    <row r="98" spans="3:3" ht="18" customHeight="1" x14ac:dyDescent="0.2">
      <c r="C98" s="362"/>
    </row>
    <row r="99" spans="3:3" ht="18" customHeight="1" x14ac:dyDescent="0.2">
      <c r="C99" s="362"/>
    </row>
    <row r="100" spans="3:3" ht="18" customHeight="1" x14ac:dyDescent="0.2">
      <c r="C100" s="362"/>
    </row>
    <row r="101" spans="3:3" ht="18" customHeight="1" x14ac:dyDescent="0.2">
      <c r="C101" s="362"/>
    </row>
    <row r="102" spans="3:3" ht="18" customHeight="1" x14ac:dyDescent="0.2">
      <c r="C102" s="362"/>
    </row>
    <row r="103" spans="3:3" ht="18" customHeight="1" x14ac:dyDescent="0.2">
      <c r="C103" s="362"/>
    </row>
    <row r="104" spans="3:3" ht="18" customHeight="1" x14ac:dyDescent="0.2">
      <c r="C104" s="362"/>
    </row>
    <row r="105" spans="3:3" ht="18" customHeight="1" x14ac:dyDescent="0.2">
      <c r="C105" s="362"/>
    </row>
    <row r="106" spans="3:3" ht="18" customHeight="1" x14ac:dyDescent="0.2">
      <c r="C106" s="362"/>
    </row>
    <row r="107" spans="3:3" ht="18" customHeight="1" x14ac:dyDescent="0.2">
      <c r="C107" s="362"/>
    </row>
    <row r="108" spans="3:3" ht="18" customHeight="1" x14ac:dyDescent="0.2">
      <c r="C108" s="362"/>
    </row>
    <row r="109" spans="3:3" ht="18" customHeight="1" x14ac:dyDescent="0.2">
      <c r="C109" s="362"/>
    </row>
    <row r="110" spans="3:3" ht="18" customHeight="1" x14ac:dyDescent="0.2">
      <c r="C110" s="362"/>
    </row>
    <row r="111" spans="3:3" ht="18" customHeight="1" x14ac:dyDescent="0.2">
      <c r="C111" s="362"/>
    </row>
  </sheetData>
  <autoFilter ref="A8:F40">
    <filterColumn colId="4">
      <filters blank="1">
        <filter val="1 790 441"/>
        <filter val="17 497 191"/>
        <filter val="17 732 986"/>
        <filter val="19 226 150"/>
        <filter val="2 320 453"/>
        <filter val="39 888 321"/>
        <filter val="482 184"/>
        <filter val="59 114 471"/>
        <filter val="65 067"/>
      </filters>
    </filterColumn>
  </autoFilter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7" right="0.7" top="0.75" bottom="0.75" header="0.3" footer="0.3"/>
  <pageSetup paperSize="9" scale="98" fitToHeight="0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view="pageBreakPreview" topLeftCell="B1" zoomScale="115" zoomScaleSheetLayoutView="115" workbookViewId="0">
      <selection activeCell="C14" sqref="C14"/>
    </sheetView>
  </sheetViews>
  <sheetFormatPr defaultColWidth="9.140625" defaultRowHeight="12.75" x14ac:dyDescent="0.2"/>
  <cols>
    <col min="1" max="1" width="92.28515625" style="52" hidden="1" customWidth="1"/>
    <col min="2" max="2" width="55.85546875" style="364" customWidth="1"/>
    <col min="3" max="3" width="13.140625" style="363" customWidth="1"/>
    <col min="4" max="4" width="0.140625" style="363" customWidth="1"/>
    <col min="5" max="5" width="15.5703125" style="363" hidden="1" customWidth="1"/>
    <col min="6" max="6" width="16.5703125" style="363" customWidth="1"/>
    <col min="7" max="7" width="16.28515625" style="363" hidden="1" customWidth="1"/>
    <col min="8" max="8" width="21" style="52" hidden="1" customWidth="1"/>
    <col min="9" max="9" width="16.5703125" style="52" customWidth="1"/>
    <col min="10" max="16384" width="9.140625" style="52"/>
  </cols>
  <sheetData>
    <row r="1" spans="1:10" ht="15.75" customHeight="1" x14ac:dyDescent="0.25">
      <c r="B1" s="721" t="s">
        <v>239</v>
      </c>
      <c r="C1" s="721"/>
      <c r="D1" s="721"/>
      <c r="E1" s="721"/>
      <c r="F1" s="721"/>
      <c r="G1" s="721"/>
      <c r="H1" s="721"/>
      <c r="I1" s="721"/>
      <c r="J1" s="142"/>
    </row>
    <row r="2" spans="1:10" ht="15.75" customHeight="1" x14ac:dyDescent="0.25">
      <c r="B2" s="721" t="s">
        <v>594</v>
      </c>
      <c r="C2" s="721"/>
      <c r="D2" s="721"/>
      <c r="E2" s="721"/>
      <c r="F2" s="721"/>
      <c r="G2" s="721"/>
      <c r="H2" s="721"/>
      <c r="I2" s="721"/>
      <c r="J2" s="142"/>
    </row>
    <row r="3" spans="1:10" ht="15.75" customHeight="1" x14ac:dyDescent="0.25">
      <c r="B3" s="721" t="s">
        <v>584</v>
      </c>
      <c r="C3" s="721"/>
      <c r="D3" s="721"/>
      <c r="E3" s="721"/>
      <c r="F3" s="721"/>
      <c r="G3" s="721"/>
      <c r="H3" s="721"/>
      <c r="I3" s="721"/>
      <c r="J3" s="142"/>
    </row>
    <row r="4" spans="1:10" ht="15.75" customHeight="1" x14ac:dyDescent="0.25">
      <c r="B4" s="721" t="s">
        <v>858</v>
      </c>
      <c r="C4" s="721"/>
      <c r="D4" s="721"/>
      <c r="E4" s="721"/>
      <c r="F4" s="721"/>
      <c r="G4" s="721"/>
      <c r="H4" s="721"/>
      <c r="I4" s="721"/>
      <c r="J4" s="142"/>
    </row>
    <row r="5" spans="1:10" ht="15.75" x14ac:dyDescent="0.25">
      <c r="B5" s="18"/>
      <c r="C5" s="365"/>
      <c r="D5" s="365"/>
      <c r="E5" s="365"/>
      <c r="F5" s="365"/>
      <c r="G5" s="365"/>
      <c r="H5" s="144"/>
      <c r="I5" s="144"/>
      <c r="J5" s="143"/>
    </row>
    <row r="6" spans="1:10" ht="37.5" customHeight="1" x14ac:dyDescent="0.25">
      <c r="B6" s="722" t="s">
        <v>606</v>
      </c>
      <c r="C6" s="722"/>
      <c r="D6" s="722"/>
      <c r="E6" s="722"/>
      <c r="F6" s="722"/>
      <c r="G6" s="722"/>
      <c r="H6" s="722"/>
      <c r="I6" s="722"/>
    </row>
    <row r="7" spans="1:10" ht="16.5" thickBot="1" x14ac:dyDescent="0.3">
      <c r="A7" s="70"/>
      <c r="B7" s="71"/>
      <c r="C7" s="366"/>
      <c r="D7" s="366"/>
      <c r="E7" s="719"/>
      <c r="F7" s="719"/>
      <c r="G7" s="719"/>
      <c r="H7" s="720"/>
      <c r="I7" s="720"/>
    </row>
    <row r="8" spans="1:10" ht="13.5" customHeight="1" thickBot="1" x14ac:dyDescent="0.25">
      <c r="A8" s="636" t="s">
        <v>271</v>
      </c>
      <c r="B8" s="723" t="s">
        <v>272</v>
      </c>
      <c r="C8" s="711" t="s">
        <v>273</v>
      </c>
      <c r="D8" s="711" t="s">
        <v>565</v>
      </c>
      <c r="E8" s="711" t="s">
        <v>285</v>
      </c>
      <c r="F8" s="711" t="s">
        <v>565</v>
      </c>
      <c r="G8" s="713" t="s">
        <v>579</v>
      </c>
      <c r="H8" s="715" t="s">
        <v>285</v>
      </c>
      <c r="I8" s="717" t="s">
        <v>579</v>
      </c>
    </row>
    <row r="9" spans="1:10" ht="23.25" customHeight="1" thickBot="1" x14ac:dyDescent="0.25">
      <c r="A9" s="636"/>
      <c r="B9" s="724"/>
      <c r="C9" s="725"/>
      <c r="D9" s="712"/>
      <c r="E9" s="712"/>
      <c r="F9" s="712"/>
      <c r="G9" s="714"/>
      <c r="H9" s="716"/>
      <c r="I9" s="718"/>
    </row>
    <row r="10" spans="1:10" s="62" customFormat="1" ht="48" thickBot="1" x14ac:dyDescent="0.3">
      <c r="A10" s="73" t="s">
        <v>275</v>
      </c>
      <c r="B10" s="367" t="str">
        <f>IF(C10&gt;0,VLOOKUP(C10,Программа!A$5:B$4973,2))</f>
        <v xml:space="preserve">Муниципальная программа "Формирование современной городской среды на территории городского поселения Тутаев"
</v>
      </c>
      <c r="C10" s="74" t="s">
        <v>256</v>
      </c>
      <c r="D10" s="418">
        <f>SUMIFS(Пр13!G$10:G$955,Пр13!$D$10:$D$955,C10)</f>
        <v>1500000</v>
      </c>
      <c r="E10" s="418">
        <f>SUMIFS(Пр13!H$10:H$955,Пр13!$D$10:$D$955,C10)</f>
        <v>0</v>
      </c>
      <c r="F10" s="418">
        <f>SUMIFS(Пр13!I$10:I$955,Пр13!$D$10:$D$955,C10)</f>
        <v>1500000</v>
      </c>
      <c r="G10" s="75">
        <f>SUMIFS(Пр13!J$10:J$955,Пр13!$D$10:$D$955,C10)</f>
        <v>1500000</v>
      </c>
      <c r="H10" s="214">
        <f>SUMIFS(Пр13!K$10:K$955,Пр13!$D$10:$D$955,C10)</f>
        <v>0</v>
      </c>
      <c r="I10" s="75">
        <f>SUMIFS(Пр13!L$10:L$955,Пр13!$D$10:$D$955,C10)</f>
        <v>1500000</v>
      </c>
    </row>
    <row r="11" spans="1:10" ht="32.25" thickBot="1" x14ac:dyDescent="0.3">
      <c r="A11" s="76" t="s">
        <v>286</v>
      </c>
      <c r="B11" s="376" t="str">
        <f>IF(C11&gt;0,VLOOKUP(C11,Программа!A$5:B$4973,2))</f>
        <v>Повышение уровня благоустройства дворовых территорий</v>
      </c>
      <c r="C11" s="77" t="s">
        <v>610</v>
      </c>
      <c r="D11" s="419">
        <f>SUMIFS(Пр13!G$10:G$955,Пр13!$D$10:$D$955,C11)</f>
        <v>1500000</v>
      </c>
      <c r="E11" s="419">
        <f>SUMIFS(Пр13!H$10:H$955,Пр13!$D$10:$D$955,C11)</f>
        <v>0</v>
      </c>
      <c r="F11" s="419">
        <f>SUMIFS(Пр13!I$10:I$955,Пр13!$D$10:$D$955,C11)</f>
        <v>1500000</v>
      </c>
      <c r="G11" s="420">
        <f>SUMIFS(Пр13!J$10:J$955,Пр13!$D$10:$D$955,C11)</f>
        <v>1500000</v>
      </c>
      <c r="H11" s="215">
        <f>SUMIFS(Пр13!K$10:K$955,Пр13!$D$10:$D$955,C11)</f>
        <v>0</v>
      </c>
      <c r="I11" s="146">
        <f>SUMIFS(Пр13!L$10:L$955,Пр13!$D$10:$D$955,C11)</f>
        <v>1500000</v>
      </c>
    </row>
    <row r="12" spans="1:10" ht="32.25" hidden="1" thickBot="1" x14ac:dyDescent="0.3">
      <c r="A12" s="76"/>
      <c r="B12" s="368" t="str">
        <f>IF(C12&gt;0,VLOOKUP(C12,Программа!A$5:B$4973,2))</f>
        <v>Повышение  уровня благоустройства  мест массового отдыха  населения (городских парков)</v>
      </c>
      <c r="C12" s="312" t="s">
        <v>612</v>
      </c>
      <c r="D12" s="78">
        <f>SUMIFS(Пр13!G$10:G$955,Пр13!$D$10:$D$955,C12)</f>
        <v>0</v>
      </c>
      <c r="E12" s="78">
        <f>SUMIFS(Пр13!H$10:H$955,Пр13!$D$10:$D$955,C12)</f>
        <v>0</v>
      </c>
      <c r="F12" s="78">
        <f>SUMIFS(Пр13!I$10:I$955,Пр13!$D$10:$D$955,C12)</f>
        <v>0</v>
      </c>
      <c r="G12" s="421">
        <f>SUMIFS(Пр13!J$10:J$955,Пр13!$D$10:$D$955,C12)</f>
        <v>0</v>
      </c>
      <c r="H12" s="215">
        <f>SUMIFS(Пр13!K$10:K$955,Пр13!$D$10:$D$955,C12)</f>
        <v>0</v>
      </c>
      <c r="I12" s="146">
        <f>SUMIFS(Пр13!L$10:L$955,Пр13!$D$10:$D$955,C12)</f>
        <v>0</v>
      </c>
    </row>
    <row r="13" spans="1:10" ht="48" thickBot="1" x14ac:dyDescent="0.3">
      <c r="A13" s="80" t="s">
        <v>276</v>
      </c>
      <c r="B13" s="367" t="str">
        <f>IF(C13&gt;0,VLOOKUP(C13,Программа!A$5:B$4973,2))</f>
        <v>Муниципальная программа "Благоустройство и озеленение территории городского поселения Тутаев"</v>
      </c>
      <c r="C13" s="74" t="s">
        <v>252</v>
      </c>
      <c r="D13" s="418">
        <f>SUMIFS(Пр13!G$10:G$955,Пр13!$D$10:$D$955,C13)</f>
        <v>27341767</v>
      </c>
      <c r="E13" s="418">
        <f>SUMIFS(Пр13!H$10:H$955,Пр13!$D$10:$D$955,C13)</f>
        <v>0</v>
      </c>
      <c r="F13" s="418">
        <f>SUMIFS(Пр13!I$10:I$955,Пр13!$D$10:$D$955,C13)</f>
        <v>27341767</v>
      </c>
      <c r="G13" s="75">
        <f>SUMIFS(Пр13!J$10:J$955,Пр13!$D$10:$D$955,C13)</f>
        <v>29072818</v>
      </c>
      <c r="H13" s="214">
        <f>SUMIFS(Пр13!K$10:K$955,Пр13!$D$10:$D$955,C13)</f>
        <v>0</v>
      </c>
      <c r="I13" s="75">
        <f>SUMIFS(Пр13!L$10:L$955,Пр13!$D$10:$D$955,C13)</f>
        <v>29072818</v>
      </c>
    </row>
    <row r="14" spans="1:10" ht="32.25" thickBot="1" x14ac:dyDescent="0.3">
      <c r="A14" s="79" t="s">
        <v>277</v>
      </c>
      <c r="B14" s="376" t="str">
        <f>IF(C14&gt;0,VLOOKUP(C14,Программа!A$5:B$4973,2))</f>
        <v>Благоустройство и озеленение  территории городского поселения Тутаев</v>
      </c>
      <c r="C14" s="82" t="s">
        <v>611</v>
      </c>
      <c r="D14" s="419">
        <f>SUMIFS(Пр13!G$10:G$955,Пр13!$D$10:$D$955,C14)</f>
        <v>26041767</v>
      </c>
      <c r="E14" s="419">
        <f>SUMIFS(Пр13!H$10:H$955,Пр13!$D$10:$D$955,C14)</f>
        <v>0</v>
      </c>
      <c r="F14" s="419">
        <f>SUMIFS(Пр13!I$10:I$955,Пр13!$D$10:$D$955,C14)</f>
        <v>26041767</v>
      </c>
      <c r="G14" s="420">
        <f>SUMIFS(Пр13!J$10:J$955,Пр13!$D$10:$D$955,C14)</f>
        <v>27772818</v>
      </c>
      <c r="H14" s="215">
        <f>SUMIFS(Пр13!K$10:K$955,Пр13!$D$10:$D$955,C14)</f>
        <v>0</v>
      </c>
      <c r="I14" s="146">
        <f>SUMIFS(Пр13!L$10:L$955,Пр13!$D$10:$D$955,C14)</f>
        <v>27772818</v>
      </c>
    </row>
    <row r="15" spans="1:10" ht="32.25" thickBot="1" x14ac:dyDescent="0.3">
      <c r="A15" s="80" t="s">
        <v>278</v>
      </c>
      <c r="B15" s="377" t="str">
        <f>IF(C15&gt;0,VLOOKUP(C15,Программа!A$5:B$4973,2))</f>
        <v>Реализация мероприятий губернаторского проекта "Решаем вместе!" (инициативное бюджетирование)</v>
      </c>
      <c r="C15" s="282" t="s">
        <v>613</v>
      </c>
      <c r="D15" s="422">
        <f>SUMIFS(Пр13!G$10:G$955,Пр13!$D$10:$D$955,C15)</f>
        <v>500000</v>
      </c>
      <c r="E15" s="422">
        <f>SUMIFS(Пр13!H$10:H$955,Пр13!$D$10:$D$955,C15)</f>
        <v>0</v>
      </c>
      <c r="F15" s="422">
        <f>SUMIFS(Пр13!I$10:I$955,Пр13!$D$10:$D$955,C15)</f>
        <v>500000</v>
      </c>
      <c r="G15" s="423">
        <f>SUMIFS(Пр13!J$10:J$955,Пр13!$D$10:$D$955,C15)</f>
        <v>500000</v>
      </c>
      <c r="H15" s="215">
        <f>SUMIFS(Пр13!K$10:K$955,Пр13!$D$10:$D$955,C15)</f>
        <v>0</v>
      </c>
      <c r="I15" s="146">
        <f>SUMIFS(Пр13!L$10:L$955,Пр13!$D$10:$D$955,C15)</f>
        <v>500000</v>
      </c>
    </row>
    <row r="16" spans="1:10" ht="16.5" thickBot="1" x14ac:dyDescent="0.3">
      <c r="A16" s="80"/>
      <c r="B16" s="378" t="str">
        <f>IF(C16&gt;0,VLOOKUP(C16,Программа!A$5:B$4973,2))</f>
        <v>Содержание и благоустройство мест захоронений</v>
      </c>
      <c r="C16" s="379" t="s">
        <v>689</v>
      </c>
      <c r="D16" s="424">
        <f>SUMIFS(Пр13!G$10:G$955,Пр13!$D$10:$D$955,C16)</f>
        <v>800000</v>
      </c>
      <c r="E16" s="424">
        <f>SUMIFS(Пр13!H$10:H$955,Пр13!$D$10:$D$955,C16)</f>
        <v>0</v>
      </c>
      <c r="F16" s="424">
        <f>SUMIFS(Пр13!I$10:I$955,Пр13!$D$10:$D$955,C16)</f>
        <v>800000</v>
      </c>
      <c r="G16" s="425">
        <f>SUMIFS(Пр13!J$10:J$955,Пр13!$D$10:$D$955,C16)</f>
        <v>800000</v>
      </c>
      <c r="H16" s="215">
        <f>SUMIFS(Пр13!K$10:K$955,Пр13!$D$10:$D$955,C16)</f>
        <v>0</v>
      </c>
      <c r="I16" s="146">
        <f>SUMIFS(Пр13!L$10:L$955,Пр13!$D$10:$D$955,C16)</f>
        <v>800000</v>
      </c>
    </row>
    <row r="17" spans="1:9" ht="48" thickBot="1" x14ac:dyDescent="0.3">
      <c r="A17" s="80" t="s">
        <v>281</v>
      </c>
      <c r="B17" s="367" t="str">
        <f>IF(C17&gt;0,VLOOKUP(C17,Программа!A$5:B$4973,2))</f>
        <v xml:space="preserve">Муниципальная программа "Развитие и содержание дорожного хозяйства на территории  городского поселения Тутаев"
</v>
      </c>
      <c r="C17" s="74" t="s">
        <v>254</v>
      </c>
      <c r="D17" s="418">
        <f>SUMIFS(Пр13!G$10:G$955,Пр13!$D$10:$D$955,C17)</f>
        <v>38000000</v>
      </c>
      <c r="E17" s="418">
        <f>SUMIFS(Пр13!H$10:H$955,Пр13!$D$10:$D$955,C17)</f>
        <v>0</v>
      </c>
      <c r="F17" s="418">
        <f>SUMIFS(Пр13!I$10:I$955,Пр13!$D$10:$D$955,C17)</f>
        <v>73000000</v>
      </c>
      <c r="G17" s="75">
        <f>SUMIFS(Пр13!J$10:J$955,Пр13!$D$10:$D$955,C17)</f>
        <v>70800000</v>
      </c>
      <c r="H17" s="214">
        <f>SUMIFS(Пр13!K$10:K$955,Пр13!$D$10:$D$955,C17)</f>
        <v>0</v>
      </c>
      <c r="I17" s="75">
        <f>SUMIFS(Пр13!L$10:L$955,Пр13!$D$10:$D$955,C17)</f>
        <v>70800000</v>
      </c>
    </row>
    <row r="18" spans="1:9" ht="32.25" thickBot="1" x14ac:dyDescent="0.3">
      <c r="A18" s="80"/>
      <c r="B18" s="376" t="str">
        <f>IF(C18&gt;0,VLOOKUP(C18,Программа!A$5:B$4973,2))</f>
        <v xml:space="preserve"> Дорожная деятельность в отношении дорожной сети   городского поселения Тутаев </v>
      </c>
      <c r="C18" s="82" t="s">
        <v>616</v>
      </c>
      <c r="D18" s="419">
        <f>SUMIFS(Пр13!G$10:G$955,Пр13!$D$10:$D$955,C18)</f>
        <v>37500000</v>
      </c>
      <c r="E18" s="419">
        <f>SUMIFS(Пр13!H$10:H$955,Пр13!$D$10:$D$955,C18)</f>
        <v>0</v>
      </c>
      <c r="F18" s="419">
        <f>SUMIFS(Пр13!I$10:I$955,Пр13!$D$10:$D$955,C18)</f>
        <v>72500000</v>
      </c>
      <c r="G18" s="420">
        <f>SUMIFS(Пр13!J$10:J$955,Пр13!$D$10:$D$955,C18)</f>
        <v>70300000</v>
      </c>
      <c r="H18" s="215">
        <f>SUMIFS(Пр13!K$10:K$955,Пр13!$D$10:$D$955,C18)</f>
        <v>0</v>
      </c>
      <c r="I18" s="146">
        <f>SUMIFS(Пр13!L$10:L$955,Пр13!$D$10:$D$955,C18)</f>
        <v>70300000</v>
      </c>
    </row>
    <row r="19" spans="1:9" ht="32.25" thickBot="1" x14ac:dyDescent="0.3">
      <c r="A19" s="80"/>
      <c r="B19" s="377" t="str">
        <f>IF(C19&gt;0,VLOOKUP(C19,Программа!A$5:B$4973,2))</f>
        <v>Реализация мероприятий губернаторского проекта "Решаем вместе!" (инициативное бюджетирование)</v>
      </c>
      <c r="C19" s="282" t="s">
        <v>619</v>
      </c>
      <c r="D19" s="422">
        <f>SUMIFS(Пр13!G$10:G$955,Пр13!$D$10:$D$955,C19)</f>
        <v>500000</v>
      </c>
      <c r="E19" s="422">
        <f>SUMIFS(Пр13!H$10:H$955,Пр13!$D$10:$D$955,C19)</f>
        <v>0</v>
      </c>
      <c r="F19" s="422">
        <f>SUMIFS(Пр13!I$10:I$955,Пр13!$D$10:$D$955,C19)</f>
        <v>500000</v>
      </c>
      <c r="G19" s="423">
        <f>SUMIFS(Пр13!J$10:J$955,Пр13!$D$10:$D$955,C19)</f>
        <v>500000</v>
      </c>
      <c r="H19" s="215">
        <f>SUMIFS(Пр13!K$10:K$955,Пр13!$D$10:$D$955,C19)</f>
        <v>0</v>
      </c>
      <c r="I19" s="146">
        <f>SUMIFS(Пр13!L$10:L$955,Пр13!$D$10:$D$955,C19)</f>
        <v>500000</v>
      </c>
    </row>
    <row r="20" spans="1:9" ht="48" hidden="1" thickBot="1" x14ac:dyDescent="0.3">
      <c r="A20" s="80"/>
      <c r="B20" s="370" t="str">
        <f>IF(C20&gt;0,VLOOKUP(C20,Программа!A$5:B$4973,2))</f>
        <v>Муниципальная программа "Развитие субъектов малого и среднего предпринимательства городского поселения Тутаев"</v>
      </c>
      <c r="C20" s="216" t="s">
        <v>262</v>
      </c>
      <c r="D20" s="426">
        <f>SUMIFS(Пр13!G$10:G$955,Пр13!$D$10:$D$955,C20)</f>
        <v>0</v>
      </c>
      <c r="E20" s="426">
        <f>SUMIFS(Пр13!H$10:H$955,Пр13!$D$10:$D$955,C20)</f>
        <v>0</v>
      </c>
      <c r="F20" s="426">
        <f>SUMIFS(Пр13!I$10:I$955,Пр13!$D$10:$D$955,C20)</f>
        <v>0</v>
      </c>
      <c r="G20" s="427">
        <f>SUMIFS(Пр13!J$10:J$955,Пр13!$D$10:$D$955,C20)</f>
        <v>0</v>
      </c>
      <c r="H20" s="214">
        <f>SUMIFS(Пр13!K$10:K$955,Пр13!$D$10:$D$955,C20)</f>
        <v>0</v>
      </c>
      <c r="I20" s="75">
        <f>SUMIFS(Пр13!L$10:L$955,Пр13!$D$10:$D$955,C20)</f>
        <v>0</v>
      </c>
    </row>
    <row r="21" spans="1:9" ht="48" hidden="1" thickBot="1" x14ac:dyDescent="0.3">
      <c r="A21" s="79" t="s">
        <v>33</v>
      </c>
      <c r="B21" s="369" t="str">
        <f>IF(C21&gt;0,VLOOKUP(C21,Программа!A$5:B$4973,2))</f>
        <v>Предоставление поддержки  субъектам малого и среднего предпринимательства городского поселения Тутаев</v>
      </c>
      <c r="C21" s="81" t="s">
        <v>263</v>
      </c>
      <c r="D21" s="428">
        <f>SUMIFS(Пр13!G$10:G$955,Пр13!$D$10:$D$955,C21)</f>
        <v>0</v>
      </c>
      <c r="E21" s="428">
        <f>SUMIFS(Пр13!H$10:H$955,Пр13!$D$10:$D$955,C21)</f>
        <v>0</v>
      </c>
      <c r="F21" s="429">
        <f>SUMIFS(Пр13!I$10:I$955,Пр13!$D$10:$D$955,C21)</f>
        <v>0</v>
      </c>
      <c r="G21" s="430">
        <f>SUMIFS(Пр13!J$10:J$955,Пр13!$D$10:$D$955,C21)</f>
        <v>0</v>
      </c>
      <c r="H21" s="214">
        <f>SUMIFS(Пр13!K$10:K$955,Пр13!$D$10:$D$955,C21)</f>
        <v>0</v>
      </c>
      <c r="I21" s="75">
        <f>SUMIFS(Пр13!L$10:L$955,Пр13!$D$10:$D$955,C21)</f>
        <v>0</v>
      </c>
    </row>
    <row r="22" spans="1:9" ht="79.5" hidden="1" thickBot="1" x14ac:dyDescent="0.3">
      <c r="A22" s="80" t="s">
        <v>282</v>
      </c>
      <c r="B22" s="367" t="str">
        <f>IF(C22&gt;0,VLOOKUP(C22,Программа!A$5:B$4973,2))</f>
        <v>Муниципальная   программа "Переселение граждан из  жилищного фонда, признанного непригодным для проживания, и (или)  жилищного фонда с высоким уровнем износа на территории городского поселения Тутаев"</v>
      </c>
      <c r="C22" s="74" t="s">
        <v>265</v>
      </c>
      <c r="D22" s="418">
        <f>SUMIFS(Пр13!G$10:G$955,Пр13!$D$10:$D$955,C22)</f>
        <v>0</v>
      </c>
      <c r="E22" s="418">
        <f>SUMIFS(Пр13!H$10:H$955,Пр13!$D$10:$D$955,C22)</f>
        <v>0</v>
      </c>
      <c r="F22" s="418">
        <f>SUMIFS(Пр13!I$10:I$955,Пр13!$D$10:$D$955,C22)</f>
        <v>0</v>
      </c>
      <c r="G22" s="75">
        <f>SUMIFS(Пр13!J$10:J$955,Пр13!$D$10:$D$955,C22)</f>
        <v>0</v>
      </c>
      <c r="H22" s="214">
        <f>SUMIFS(Пр13!K$10:K$955,Пр13!$D$10:$D$955,C22)</f>
        <v>0</v>
      </c>
      <c r="I22" s="75">
        <f>SUMIFS(Пр13!L$10:L$955,Пр13!$D$10:$D$955,C22)</f>
        <v>0</v>
      </c>
    </row>
    <row r="23" spans="1:9" ht="48" hidden="1" thickBot="1" x14ac:dyDescent="0.3">
      <c r="A23" s="79" t="s">
        <v>40</v>
      </c>
      <c r="B23" s="371" t="str">
        <f>IF(C23&gt;0,VLOOKUP(C23,Программа!A$5:B$4973,2))</f>
        <v xml:space="preserve"> Обеспечение благоустроенным  жильем граждан переселяемых из  непригодного для проживания жилищного фонда городского поселения Тутаев</v>
      </c>
      <c r="C23" s="217" t="s">
        <v>615</v>
      </c>
      <c r="D23" s="431">
        <f>SUMIFS(Пр13!G$10:G$955,Пр13!$D$10:$D$955,C23)</f>
        <v>0</v>
      </c>
      <c r="E23" s="431">
        <f>SUMIFS(Пр13!H$10:H$955,Пр13!$D$10:$D$955,C23)</f>
        <v>0</v>
      </c>
      <c r="F23" s="432">
        <f>SUMIFS(Пр13!I$10:I$955,Пр13!$D$10:$D$955,C23)</f>
        <v>0</v>
      </c>
      <c r="G23" s="433">
        <f>SUMIFS(Пр13!J$10:J$955,Пр13!$D$10:$D$955,C23)</f>
        <v>0</v>
      </c>
      <c r="H23" s="214">
        <f>SUMIFS(Пр13!K$10:K$955,Пр13!$D$10:$D$955,C23)</f>
        <v>0</v>
      </c>
      <c r="I23" s="75">
        <f>SUMIFS(Пр13!L$10:L$955,Пр13!$D$10:$D$955,C23)</f>
        <v>0</v>
      </c>
    </row>
    <row r="24" spans="1:9" ht="48" thickBot="1" x14ac:dyDescent="0.3">
      <c r="B24" s="367" t="str">
        <f>IF(C24&gt;0,VLOOKUP(C24,Программа!A$5:B$4973,2))</f>
        <v xml:space="preserve">Муниципальная программа "Предоставление молодым семьям социальных выплат на приобретение (строительство) жилья" </v>
      </c>
      <c r="C24" s="74" t="s">
        <v>266</v>
      </c>
      <c r="D24" s="418">
        <f>SUMIFS(Пр13!G$10:G$955,Пр13!$D$10:$D$955,C24)</f>
        <v>1500000</v>
      </c>
      <c r="E24" s="418">
        <f>SUMIFS(Пр13!H$10:H$955,Пр13!$D$10:$D$955,C24)</f>
        <v>0</v>
      </c>
      <c r="F24" s="418">
        <f>SUMIFS(Пр13!I$10:I$955,Пр13!$D$10:$D$955,C24)</f>
        <v>1500000</v>
      </c>
      <c r="G24" s="75">
        <f>SUMIFS(Пр13!J$10:J$955,Пр13!$D$10:$D$955,C24)</f>
        <v>1500000</v>
      </c>
      <c r="H24" s="214">
        <f>SUMIFS(Пр13!K$10:K$955,Пр13!$D$10:$D$955,C24)</f>
        <v>0</v>
      </c>
      <c r="I24" s="75">
        <f>SUMIFS(Пр13!L$10:L$955,Пр13!$D$10:$D$955,C24)</f>
        <v>1500000</v>
      </c>
    </row>
    <row r="25" spans="1:9" ht="48" thickBot="1" x14ac:dyDescent="0.3">
      <c r="B25" s="371" t="str">
        <f>IF(C25&gt;0,VLOOKUP(C25,Программа!A$5:B$4973,2))</f>
        <v>Поддержка молодых семей в приобретении (строительстве) жилья на территории городского поселения Тутаев</v>
      </c>
      <c r="C25" s="217" t="s">
        <v>267</v>
      </c>
      <c r="D25" s="431">
        <f>SUMIFS(Пр13!G$10:G$955,Пр13!$D$10:$D$955,C25)</f>
        <v>1500000</v>
      </c>
      <c r="E25" s="431">
        <f>SUMIFS(Пр13!H$10:H$955,Пр13!$D$10:$D$955,C25)</f>
        <v>0</v>
      </c>
      <c r="F25" s="431">
        <f>SUMIFS(Пр13!I$10:I$955,Пр13!$D$10:$D$955,C25)</f>
        <v>1500000</v>
      </c>
      <c r="G25" s="434">
        <f>SUMIFS(Пр13!J$10:J$955,Пр13!$D$10:$D$955,C25)</f>
        <v>1500000</v>
      </c>
      <c r="H25" s="484">
        <f>SUMIFS(Пр13!K$10:K$955,Пр13!$D$10:$D$955,C25)</f>
        <v>0</v>
      </c>
      <c r="I25" s="485">
        <f>SUMIFS(Пр13!L$10:L$955,Пр13!$D$10:$D$955,C25)</f>
        <v>1500000</v>
      </c>
    </row>
    <row r="26" spans="1:9" ht="63.75" hidden="1" thickBot="1" x14ac:dyDescent="0.3">
      <c r="B26" s="372" t="str">
        <f>IF(C26&gt;0,VLOOKUP(C26,Программа!A$5:B$4973,2))</f>
        <v xml:space="preserve">Муниципальная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v>
      </c>
      <c r="C26" s="281" t="s">
        <v>268</v>
      </c>
      <c r="D26" s="435">
        <f>SUMIFS(Пр13!G$10:G$955,Пр13!$D$10:$D$955,C26)</f>
        <v>0</v>
      </c>
      <c r="E26" s="435">
        <f>SUMIFS(Пр13!H$10:H$955,Пр13!$D$10:$D$955,C26)</f>
        <v>0</v>
      </c>
      <c r="F26" s="435">
        <f>SUMIFS(Пр13!I$10:I$955,Пр13!$D$10:$D$955,C26)</f>
        <v>0</v>
      </c>
      <c r="G26" s="436">
        <f>SUMIFS(Пр13!J$10:J$955,Пр13!$D$10:$D$955,C26)</f>
        <v>0</v>
      </c>
      <c r="H26" s="214">
        <f>SUMIFS(Пр13!K$10:K$955,Пр13!$D$10:$D$955,C26)</f>
        <v>0</v>
      </c>
      <c r="I26" s="75">
        <f>SUMIFS(Пр13!L$10:L$955,Пр13!$D$10:$D$955,C26)</f>
        <v>0</v>
      </c>
    </row>
    <row r="27" spans="1:9" ht="48" hidden="1" thickBot="1" x14ac:dyDescent="0.3">
      <c r="B27" s="373" t="str">
        <f>IF(C27&gt;0,VLOOKUP(C27,Программа!A$5:B$4973,2))</f>
        <v xml:space="preserve">Поддержка граждан, проживающих на территории городского поселения Тутаев, в сфере ипотечного жилищного кредитования </v>
      </c>
      <c r="C27" s="282" t="s">
        <v>691</v>
      </c>
      <c r="D27" s="422">
        <f>SUMIFS(Пр13!G$10:G$955,Пр13!$D$10:$D$955,C27)</f>
        <v>0</v>
      </c>
      <c r="E27" s="422">
        <f>SUMIFS(Пр13!H$10:H$955,Пр13!$D$10:$D$955,C27)</f>
        <v>0</v>
      </c>
      <c r="F27" s="78">
        <f>SUMIFS(Пр13!I$10:I$955,Пр13!$D$10:$D$955,C27)</f>
        <v>0</v>
      </c>
      <c r="G27" s="78">
        <f>SUMIFS(Пр13!J$10:J$955,Пр13!$D$10:$D$955,C27)</f>
        <v>0</v>
      </c>
      <c r="H27" s="214">
        <f>SUMIFS(Пр13!K$10:K$955,Пр13!$D$10:$D$955,C27)</f>
        <v>0</v>
      </c>
      <c r="I27" s="75">
        <f>SUMIFS(Пр13!L$10:L$955,Пр13!$D$10:$D$955,C27)</f>
        <v>0</v>
      </c>
    </row>
    <row r="28" spans="1:9" ht="48" thickBot="1" x14ac:dyDescent="0.3">
      <c r="B28" s="367" t="str">
        <f>IF(C28&gt;0,VLOOKUP(C28,Программа!A$5:B$4973,2))</f>
        <v xml:space="preserve">Муниципальная программа "Обеспечение населения городского поселения Тутаев банными услугами" </v>
      </c>
      <c r="C28" s="74" t="s">
        <v>721</v>
      </c>
      <c r="D28" s="418">
        <f>SUMIFS(Пр13!G$10:G$955,Пр13!$D$10:$D$955,C28)</f>
        <v>1500000</v>
      </c>
      <c r="E28" s="418">
        <f>SUMIFS(Пр13!H$10:H$955,Пр13!$D$10:$D$955,C28)</f>
        <v>0</v>
      </c>
      <c r="F28" s="418">
        <f>SUMIFS(Пр13!I$10:I$955,Пр13!$D$10:$D$955,C28)</f>
        <v>1500000</v>
      </c>
      <c r="G28" s="75">
        <f>SUMIFS(Пр13!J$10:J$955,Пр13!$D$10:$D$955,C28)</f>
        <v>1500000</v>
      </c>
      <c r="H28" s="214">
        <f>SUMIFS(Пр13!K$10:K$955,Пр13!$D$10:$D$955,C28)</f>
        <v>0</v>
      </c>
      <c r="I28" s="75">
        <f>SUMIFS(Пр13!L$10:L$955,Пр13!$D$10:$D$955,C28)</f>
        <v>1500000</v>
      </c>
    </row>
    <row r="29" spans="1:9" ht="48" thickBot="1" x14ac:dyDescent="0.3">
      <c r="B29" s="373" t="str">
        <f>IF(C29&gt;0,VLOOKUP(C29,Программа!A$5:B$4973,2))</f>
        <v>Обеспечение развития и доступности банных услуг для всех категорий граждан  городского поселения Тутаев</v>
      </c>
      <c r="C29" s="282" t="s">
        <v>722</v>
      </c>
      <c r="D29" s="422">
        <f>SUMIFS(Пр13!G$10:G$955,Пр13!$D$10:$D$955,C29)</f>
        <v>1500000</v>
      </c>
      <c r="E29" s="422">
        <f>SUMIFS(Пр13!H$10:H$955,Пр13!$D$10:$D$955,C29)</f>
        <v>0</v>
      </c>
      <c r="F29" s="422">
        <f>SUMIFS(Пр13!I$10:I$955,Пр13!$D$10:$D$955,C29)</f>
        <v>1500000</v>
      </c>
      <c r="G29" s="422">
        <f>SUMIFS(Пр13!J$10:J$955,Пр13!$D$10:$D$955,C29)</f>
        <v>1500000</v>
      </c>
      <c r="H29" s="484">
        <f>SUMIFS(Пр13!K$10:K$955,Пр13!$D$10:$D$955,C29)</f>
        <v>0</v>
      </c>
      <c r="I29" s="485">
        <f>SUMIFS(Пр13!L$10:L$955,Пр13!$D$10:$D$955,C29)</f>
        <v>1500000</v>
      </c>
    </row>
    <row r="30" spans="1:9" s="62" customFormat="1" ht="16.5" thickBot="1" x14ac:dyDescent="0.3">
      <c r="B30" s="374" t="s">
        <v>69</v>
      </c>
      <c r="C30" s="216"/>
      <c r="D30" s="426">
        <f>D10+D13+D17+D20+D22+D24+D26+D28</f>
        <v>69841767</v>
      </c>
      <c r="E30" s="426">
        <f t="shared" ref="E30:H30" si="0">E10+E13+E17+E20+E22+E24+E26+E28</f>
        <v>0</v>
      </c>
      <c r="F30" s="426">
        <f t="shared" si="0"/>
        <v>104841767</v>
      </c>
      <c r="G30" s="426">
        <f t="shared" si="0"/>
        <v>104372818</v>
      </c>
      <c r="H30" s="426">
        <f t="shared" si="0"/>
        <v>0</v>
      </c>
      <c r="I30" s="426">
        <f>G30+H30</f>
        <v>104372818</v>
      </c>
    </row>
    <row r="31" spans="1:9" ht="16.5" thickBot="1" x14ac:dyDescent="0.3">
      <c r="B31" s="375" t="str">
        <f>IF(C31&gt;0,VLOOKUP(C31,Программа!A$5:B$4973,2))</f>
        <v>Непрограммные расходы бюджета</v>
      </c>
      <c r="C31" s="313" t="s">
        <v>618</v>
      </c>
      <c r="D31" s="437">
        <f>SUMIFS(Пр13!G$10:G$955,Пр13!$D$10:$D$955,C31)</f>
        <v>37493058</v>
      </c>
      <c r="E31" s="437">
        <f>SUMIFS(Пр13!H$10:H$955,Пр13!$D$10:$D$955,C31)</f>
        <v>0</v>
      </c>
      <c r="F31" s="437">
        <f>SUMIFS(Пр13!I$10:I$955,Пр13!$D$10:$D$955,C31)</f>
        <v>37493058</v>
      </c>
      <c r="G31" s="438">
        <f>SUMIFS(Пр13!J$10:J$955,Пр13!$D$10:$D$955,C31)</f>
        <v>36920732</v>
      </c>
      <c r="H31" s="214">
        <f>SUMIFS(Пр13!K$10:K$955,Пр13!$D$10:$D$955,C31)</f>
        <v>0</v>
      </c>
      <c r="I31" s="75">
        <f>SUMIFS(Пр13!L$10:L$955,Пр13!$D$10:$D$955,C31)</f>
        <v>36920732</v>
      </c>
    </row>
    <row r="32" spans="1:9" ht="16.5" thickBot="1" x14ac:dyDescent="0.3">
      <c r="B32" s="469" t="s">
        <v>284</v>
      </c>
      <c r="C32" s="470"/>
      <c r="D32" s="471">
        <f t="shared" ref="D32:H32" si="1">D30+D31</f>
        <v>107334825</v>
      </c>
      <c r="E32" s="471">
        <f t="shared" si="1"/>
        <v>0</v>
      </c>
      <c r="F32" s="471">
        <f t="shared" si="1"/>
        <v>142334825</v>
      </c>
      <c r="G32" s="472">
        <f t="shared" si="1"/>
        <v>141293550</v>
      </c>
      <c r="H32" s="473">
        <f t="shared" si="1"/>
        <v>0</v>
      </c>
      <c r="I32" s="474">
        <f>I30+I31</f>
        <v>141293550</v>
      </c>
    </row>
  </sheetData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70866141732283472" right="0.70866141732283472" top="0.74803149606299213" bottom="0.74803149606299213" header="0.51181102362204722" footer="0.51181102362204722"/>
  <pageSetup paperSize="9" scale="87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view="pageBreakPreview" zoomScaleSheetLayoutView="100" workbookViewId="0">
      <selection activeCell="A15" sqref="A15:B15"/>
    </sheetView>
  </sheetViews>
  <sheetFormatPr defaultColWidth="9.140625" defaultRowHeight="12.75" x14ac:dyDescent="0.2"/>
  <cols>
    <col min="1" max="1" width="4.140625" style="51" customWidth="1"/>
    <col min="2" max="2" width="55.140625" style="51" customWidth="1"/>
    <col min="3" max="4" width="13.5703125" style="51" hidden="1" customWidth="1"/>
    <col min="5" max="5" width="11.28515625" style="51" bestFit="1" customWidth="1"/>
    <col min="6" max="7" width="11.28515625" style="51" hidden="1" customWidth="1"/>
    <col min="8" max="8" width="11.28515625" style="51" bestFit="1" customWidth="1"/>
    <col min="9" max="16384" width="9.140625" style="51"/>
  </cols>
  <sheetData>
    <row r="1" spans="1:8" ht="15.75" x14ac:dyDescent="0.25">
      <c r="A1" s="6"/>
      <c r="B1" s="605" t="s">
        <v>294</v>
      </c>
      <c r="C1" s="605"/>
      <c r="D1" s="605"/>
      <c r="E1" s="605"/>
      <c r="F1" s="605"/>
      <c r="G1" s="605"/>
      <c r="H1" s="605"/>
    </row>
    <row r="2" spans="1:8" ht="15.75" x14ac:dyDescent="0.25">
      <c r="A2" s="6"/>
      <c r="B2" s="605" t="s">
        <v>1</v>
      </c>
      <c r="C2" s="605"/>
      <c r="D2" s="605"/>
      <c r="E2" s="605"/>
      <c r="F2" s="605"/>
      <c r="G2" s="605"/>
      <c r="H2" s="605"/>
    </row>
    <row r="3" spans="1:8" ht="15.75" x14ac:dyDescent="0.25">
      <c r="A3" s="6"/>
      <c r="B3" s="605" t="s">
        <v>2</v>
      </c>
      <c r="C3" s="605"/>
      <c r="D3" s="605"/>
      <c r="E3" s="605"/>
      <c r="F3" s="605"/>
      <c r="G3" s="605"/>
      <c r="H3" s="605"/>
    </row>
    <row r="4" spans="1:8" ht="15.75" x14ac:dyDescent="0.25">
      <c r="A4" s="6"/>
      <c r="B4" s="605" t="s">
        <v>564</v>
      </c>
      <c r="C4" s="605"/>
      <c r="D4" s="605"/>
      <c r="E4" s="605"/>
      <c r="F4" s="605"/>
      <c r="G4" s="605"/>
      <c r="H4" s="605"/>
    </row>
    <row r="5" spans="1:8" ht="15.75" x14ac:dyDescent="0.25">
      <c r="A5" s="6"/>
      <c r="B5" s="2"/>
      <c r="C5" s="6"/>
      <c r="D5" s="621"/>
      <c r="E5" s="621"/>
      <c r="F5" s="621"/>
      <c r="G5" s="621"/>
      <c r="H5" s="621"/>
    </row>
    <row r="6" spans="1:8" ht="15.75" x14ac:dyDescent="0.25">
      <c r="A6" s="6"/>
      <c r="B6" s="6"/>
      <c r="C6" s="6"/>
      <c r="D6" s="621"/>
      <c r="E6" s="621"/>
      <c r="F6" s="621"/>
      <c r="G6" s="621"/>
      <c r="H6" s="621"/>
    </row>
    <row r="7" spans="1:8" ht="35.25" customHeight="1" x14ac:dyDescent="0.2">
      <c r="A7" s="612" t="s">
        <v>567</v>
      </c>
      <c r="B7" s="612"/>
      <c r="C7" s="612"/>
      <c r="D7" s="612"/>
      <c r="E7" s="612"/>
      <c r="F7" s="612"/>
      <c r="G7" s="612"/>
      <c r="H7" s="612"/>
    </row>
    <row r="8" spans="1:8" ht="12.75" customHeight="1" x14ac:dyDescent="0.2">
      <c r="A8" s="726" t="s">
        <v>566</v>
      </c>
      <c r="B8" s="726"/>
      <c r="C8" s="726"/>
      <c r="D8" s="726"/>
      <c r="E8" s="726"/>
      <c r="F8" s="726"/>
      <c r="G8" s="726"/>
      <c r="H8" s="726"/>
    </row>
    <row r="9" spans="1:8" ht="59.25" customHeight="1" x14ac:dyDescent="0.2">
      <c r="A9" s="726"/>
      <c r="B9" s="726"/>
      <c r="C9" s="726"/>
      <c r="D9" s="726"/>
      <c r="E9" s="726"/>
      <c r="F9" s="726"/>
      <c r="G9" s="726"/>
      <c r="H9" s="726"/>
    </row>
    <row r="10" spans="1:8" ht="47.25" x14ac:dyDescent="0.2">
      <c r="A10" s="732" t="s">
        <v>288</v>
      </c>
      <c r="B10" s="732"/>
      <c r="C10" s="115" t="s">
        <v>555</v>
      </c>
      <c r="D10" s="123" t="s">
        <v>285</v>
      </c>
      <c r="E10" s="123" t="s">
        <v>555</v>
      </c>
      <c r="F10" s="115" t="s">
        <v>232</v>
      </c>
      <c r="G10" s="123" t="s">
        <v>285</v>
      </c>
      <c r="H10" s="123" t="s">
        <v>232</v>
      </c>
    </row>
    <row r="11" spans="1:8" ht="15.75" customHeight="1" x14ac:dyDescent="0.25">
      <c r="A11" s="729" t="s">
        <v>291</v>
      </c>
      <c r="B11" s="730"/>
      <c r="C11" s="78">
        <v>500000</v>
      </c>
      <c r="D11" s="78"/>
      <c r="E11" s="78"/>
      <c r="F11" s="78"/>
      <c r="G11" s="78"/>
      <c r="H11" s="78"/>
    </row>
    <row r="12" spans="1:8" ht="15.75" customHeight="1" x14ac:dyDescent="0.25">
      <c r="A12" s="729" t="s">
        <v>292</v>
      </c>
      <c r="B12" s="730"/>
      <c r="C12" s="78">
        <v>1500000</v>
      </c>
      <c r="D12" s="78"/>
      <c r="E12" s="78"/>
      <c r="F12" s="78"/>
      <c r="G12" s="78"/>
      <c r="H12" s="78"/>
    </row>
    <row r="13" spans="1:8" ht="15.75" customHeight="1" x14ac:dyDescent="0.25">
      <c r="A13" s="729" t="s">
        <v>293</v>
      </c>
      <c r="B13" s="730"/>
      <c r="C13" s="72">
        <v>500000</v>
      </c>
      <c r="D13" s="72"/>
      <c r="E13" s="78"/>
      <c r="F13" s="72"/>
      <c r="G13" s="72"/>
      <c r="H13" s="78"/>
    </row>
    <row r="14" spans="1:8" ht="15.75" x14ac:dyDescent="0.25">
      <c r="A14" s="729" t="s">
        <v>289</v>
      </c>
      <c r="B14" s="730"/>
      <c r="C14" s="72">
        <v>500000</v>
      </c>
      <c r="D14" s="72"/>
      <c r="E14" s="78"/>
      <c r="F14" s="72"/>
      <c r="G14" s="72"/>
      <c r="H14" s="78"/>
    </row>
    <row r="15" spans="1:8" ht="15.75" x14ac:dyDescent="0.25">
      <c r="A15" s="729" t="s">
        <v>290</v>
      </c>
      <c r="B15" s="730"/>
      <c r="C15" s="72">
        <v>12700000</v>
      </c>
      <c r="D15" s="72"/>
      <c r="E15" s="78"/>
      <c r="F15" s="72"/>
      <c r="G15" s="72"/>
      <c r="H15" s="78"/>
    </row>
    <row r="16" spans="1:8" ht="15.75" x14ac:dyDescent="0.25">
      <c r="A16" s="731" t="s">
        <v>69</v>
      </c>
      <c r="B16" s="731"/>
      <c r="C16" s="5">
        <f>SUM(C11:C15)</f>
        <v>15700000</v>
      </c>
      <c r="D16" s="5">
        <f t="shared" ref="D16:E16" si="0">SUM(D11:D15)</f>
        <v>0</v>
      </c>
      <c r="E16" s="5">
        <f t="shared" si="0"/>
        <v>0</v>
      </c>
      <c r="F16" s="5">
        <f>SUM(F11:F15)</f>
        <v>0</v>
      </c>
      <c r="G16" s="5">
        <f t="shared" ref="G16:H16" si="1">SUM(G11:G15)</f>
        <v>0</v>
      </c>
      <c r="H16" s="5">
        <f t="shared" si="1"/>
        <v>0</v>
      </c>
    </row>
    <row r="17" spans="1:8" ht="15.75" x14ac:dyDescent="0.25">
      <c r="A17" s="727"/>
      <c r="B17" s="727"/>
      <c r="C17" s="727"/>
      <c r="D17" s="728"/>
      <c r="E17" s="727"/>
      <c r="F17" s="727"/>
      <c r="G17" s="727"/>
      <c r="H17" s="728"/>
    </row>
  </sheetData>
  <mergeCells count="16">
    <mergeCell ref="A8:H9"/>
    <mergeCell ref="E17:H17"/>
    <mergeCell ref="A14:B14"/>
    <mergeCell ref="A15:B15"/>
    <mergeCell ref="A16:B16"/>
    <mergeCell ref="A17:D17"/>
    <mergeCell ref="A10:B10"/>
    <mergeCell ref="A11:B11"/>
    <mergeCell ref="A12:B12"/>
    <mergeCell ref="A13:B13"/>
    <mergeCell ref="A7:H7"/>
    <mergeCell ref="B1:H1"/>
    <mergeCell ref="B2:H2"/>
    <mergeCell ref="B3:H3"/>
    <mergeCell ref="B4:H4"/>
    <mergeCell ref="D5:H6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90"/>
  <sheetViews>
    <sheetView showGridLines="0" tabSelected="1" view="pageBreakPreview" topLeftCell="B1" zoomScale="115" zoomScaleSheetLayoutView="115" workbookViewId="0">
      <selection activeCell="B7" sqref="B7:F7"/>
    </sheetView>
  </sheetViews>
  <sheetFormatPr defaultColWidth="9.140625" defaultRowHeight="15.75" x14ac:dyDescent="0.25"/>
  <cols>
    <col min="1" max="1" width="6" style="393" hidden="1" customWidth="1"/>
    <col min="2" max="2" width="70" style="382" customWidth="1"/>
    <col min="3" max="3" width="14.7109375" style="386" customWidth="1"/>
    <col min="4" max="4" width="16" style="386" customWidth="1"/>
    <col min="5" max="5" width="12.42578125" style="218" hidden="1" customWidth="1"/>
    <col min="6" max="6" width="18" style="218" hidden="1" customWidth="1"/>
    <col min="7" max="7" width="9.140625" style="218" customWidth="1"/>
    <col min="8" max="16384" width="9.140625" style="218"/>
  </cols>
  <sheetData>
    <row r="1" spans="1:6" x14ac:dyDescent="0.25">
      <c r="A1" s="387"/>
      <c r="B1" s="596" t="s">
        <v>199</v>
      </c>
      <c r="C1" s="596"/>
      <c r="D1" s="596"/>
      <c r="E1" s="596"/>
      <c r="F1" s="596"/>
    </row>
    <row r="2" spans="1:6" x14ac:dyDescent="0.25">
      <c r="A2" s="387"/>
      <c r="B2" s="596" t="s">
        <v>930</v>
      </c>
      <c r="C2" s="596"/>
      <c r="D2" s="596"/>
      <c r="E2" s="596"/>
      <c r="F2" s="596"/>
    </row>
    <row r="3" spans="1:6" x14ac:dyDescent="0.25">
      <c r="A3" s="387"/>
      <c r="B3" s="596" t="s">
        <v>901</v>
      </c>
      <c r="C3" s="596"/>
      <c r="D3" s="596"/>
      <c r="E3" s="596"/>
      <c r="F3" s="596"/>
    </row>
    <row r="4" spans="1:6" x14ac:dyDescent="0.25">
      <c r="A4" s="387"/>
      <c r="B4" s="596" t="s">
        <v>938</v>
      </c>
      <c r="C4" s="596"/>
      <c r="D4" s="596"/>
      <c r="E4" s="596"/>
      <c r="F4" s="596"/>
    </row>
    <row r="5" spans="1:6" x14ac:dyDescent="0.25">
      <c r="A5" s="387"/>
      <c r="B5" s="380"/>
      <c r="C5" s="383"/>
      <c r="D5" s="383"/>
      <c r="E5" s="127"/>
      <c r="F5" s="219"/>
    </row>
    <row r="6" spans="1:6" ht="1.5" customHeight="1" x14ac:dyDescent="0.25">
      <c r="A6" s="387"/>
      <c r="B6" s="381"/>
      <c r="C6" s="385"/>
      <c r="D6" s="385"/>
      <c r="E6" s="219"/>
      <c r="F6" s="219"/>
    </row>
    <row r="7" spans="1:6" ht="54.75" customHeight="1" thickBot="1" x14ac:dyDescent="0.3">
      <c r="A7" s="387"/>
      <c r="B7" s="598" t="s">
        <v>906</v>
      </c>
      <c r="C7" s="598"/>
      <c r="D7" s="598"/>
      <c r="E7" s="598"/>
      <c r="F7" s="598"/>
    </row>
    <row r="8" spans="1:6" ht="16.5" hidden="1" thickBot="1" x14ac:dyDescent="0.3">
      <c r="A8" s="387"/>
      <c r="B8" s="220"/>
      <c r="C8" s="290"/>
      <c r="D8" s="290"/>
      <c r="E8" s="220"/>
      <c r="F8" s="219"/>
    </row>
    <row r="9" spans="1:6" ht="78" customHeight="1" x14ac:dyDescent="0.25">
      <c r="A9" s="388" t="s">
        <v>597</v>
      </c>
      <c r="B9" s="271" t="s">
        <v>596</v>
      </c>
      <c r="C9" s="271" t="s">
        <v>595</v>
      </c>
      <c r="D9" s="584" t="s">
        <v>933</v>
      </c>
      <c r="E9" s="153" t="s">
        <v>295</v>
      </c>
      <c r="F9" s="188" t="s">
        <v>232</v>
      </c>
    </row>
    <row r="10" spans="1:6" ht="47.25" x14ac:dyDescent="0.25">
      <c r="A10" s="389">
        <v>1</v>
      </c>
      <c r="B10" s="154" t="str">
        <f>IF(C10&gt;0,VLOOKUP(C10,Направление!A$1:B$4591,2))</f>
        <v>Межбюджетные трансферты на обеспечение софинансирования мероприятий в области дорожного хозяйства на ремонт и содержание автомобильных дорог</v>
      </c>
      <c r="C10" s="272">
        <v>22446</v>
      </c>
      <c r="D10" s="439">
        <f>SUMIFS(Пр12!H$10:H$619,Пр12!$E$10:$E$619,C10)</f>
        <v>24972.5</v>
      </c>
      <c r="E10" s="439">
        <f>SUMIFS(Пр12!J$10:J$619,Пр12!$E$10:$E$619,C10)</f>
        <v>5.8916859340348227</v>
      </c>
      <c r="F10" s="439">
        <f>SUMIFS(Пр12!K$10:K$619,Пр12!$E$10:$E$619,E10)</f>
        <v>0</v>
      </c>
    </row>
    <row r="11" spans="1:6" ht="47.25" hidden="1" x14ac:dyDescent="0.25">
      <c r="A11" s="512"/>
      <c r="B11" s="154" t="str">
        <f>IF(C11&gt;0,VLOOKUP(C11,Направление!A$1:B$4591,2))</f>
        <v>Межбюджетные трансферты на обеспечение  мероприятий по  разработке схем организации дорожного движения в рамках агломерации "Ярославская"</v>
      </c>
      <c r="C11" s="272">
        <v>23906</v>
      </c>
      <c r="D11" s="439">
        <f>SUMIFS(Пр12!H$10:H$619,Пр12!$E$10:$E$619,C11)</f>
        <v>0</v>
      </c>
      <c r="E11" s="439"/>
      <c r="F11" s="439"/>
    </row>
    <row r="12" spans="1:6" ht="47.25" hidden="1" x14ac:dyDescent="0.25">
      <c r="A12" s="512"/>
      <c r="B12" s="154" t="str">
        <f>IF(C12&gt;0,VLOOKUP(C12,Направление!A$1:B$4591,2))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C12" s="272">
        <v>25356</v>
      </c>
      <c r="D12" s="439">
        <f>SUMIFS(Пр12!H$10:H$619,Пр12!$E$10:$E$619,C12)</f>
        <v>0</v>
      </c>
      <c r="E12" s="439"/>
      <c r="F12" s="439"/>
    </row>
    <row r="13" spans="1:6" ht="31.5" x14ac:dyDescent="0.25">
      <c r="A13" s="390">
        <f>A10+1</f>
        <v>2</v>
      </c>
      <c r="B13" s="154" t="str">
        <f>IF(C13&gt;0,VLOOKUP(C13,Направление!A$1:B$4591,2))</f>
        <v xml:space="preserve">Межбюджетные трансферты на содержание органов местного самоуправления </v>
      </c>
      <c r="C13" s="347">
        <v>29016</v>
      </c>
      <c r="D13" s="439">
        <f>SUMIFS(Пр12!H$10:H$619,Пр12!$E$10:$E$619,C13)</f>
        <v>8340540</v>
      </c>
      <c r="E13" s="439">
        <f>SUMIFS(Пр12!J$10:J$619,Пр12!$E$10:$E$619,D13)</f>
        <v>0</v>
      </c>
      <c r="F13" s="439">
        <f>SUMIFS(Пр12!K$10:K$619,Пр12!$E$10:$E$619,E13)</f>
        <v>0</v>
      </c>
    </row>
    <row r="14" spans="1:6" ht="63" x14ac:dyDescent="0.25">
      <c r="A14" s="390">
        <f t="shared" ref="A14:A16" si="0">A13+1</f>
        <v>3</v>
      </c>
      <c r="B14" s="154" t="str">
        <f>IF(C14&gt;0,VLOOKUP(C14,Направление!A$1:B$4591,2))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C14" s="347">
        <v>29026</v>
      </c>
      <c r="D14" s="439">
        <f>SUMIFS(Пр12!H$10:H$619,Пр12!$E$10:$E$619,C14)</f>
        <v>42125</v>
      </c>
      <c r="E14" s="440">
        <f>SUMIFS(Пр12!J$10:J$619,Пр12!$E$10:$E$619,D14)</f>
        <v>0</v>
      </c>
      <c r="F14" s="440">
        <f>SUMIFS(Пр12!K$10:K$619,Пр12!$E$10:$E$619,E14)</f>
        <v>0</v>
      </c>
    </row>
    <row r="15" spans="1:6" ht="47.25" hidden="1" x14ac:dyDescent="0.25">
      <c r="A15" s="390">
        <f t="shared" si="0"/>
        <v>4</v>
      </c>
      <c r="B15" s="154" t="str">
        <f>IF(C15&gt;0,VLOOKUP(C15,Направление!A$1:B$4591,2))</f>
        <v>Межбюджетные трансферты на обеспечение мероприятий,  связанные с выполнением полномочий ОМС МО  по тепло-, водоснабжению и водоотведению</v>
      </c>
      <c r="C15" s="347">
        <v>29036</v>
      </c>
      <c r="D15" s="439">
        <f>SUMIFS(Пр12!H$10:H$619,Пр12!$E$10:$E$619,C15)</f>
        <v>0</v>
      </c>
      <c r="E15" s="440">
        <f>SUMIFS(Пр12!J$10:J$619,Пр12!$E$10:$E$619,D15)</f>
        <v>0</v>
      </c>
      <c r="F15" s="440">
        <f>SUMIFS(Пр12!K$10:K$619,Пр12!$E$10:$E$619,E15)</f>
        <v>0</v>
      </c>
    </row>
    <row r="16" spans="1:6" ht="47.25" hidden="1" x14ac:dyDescent="0.25">
      <c r="A16" s="390">
        <f t="shared" si="0"/>
        <v>5</v>
      </c>
      <c r="B16" s="154" t="str">
        <f>IF(C16&gt;0,VLOOKUP(C16,Направление!A$1:B$4591,2))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C16" s="347">
        <v>29046</v>
      </c>
      <c r="D16" s="439">
        <f>SUMIFS(Пр12!H$10:H$619,Пр12!$E$10:$E$619,C16)</f>
        <v>0</v>
      </c>
      <c r="E16" s="440">
        <f>SUMIFS(Пр12!J$10:J$619,Пр12!$E$10:$E$619,D16)</f>
        <v>0</v>
      </c>
      <c r="F16" s="440">
        <f>SUMIFS(Пр12!K$10:K$619,Пр12!$E$10:$E$619,E16)</f>
        <v>0</v>
      </c>
    </row>
    <row r="17" spans="1:6" ht="31.5" hidden="1" x14ac:dyDescent="0.25">
      <c r="A17" s="391">
        <v>6</v>
      </c>
      <c r="B17" s="154" t="str">
        <f>IF(C17&gt;0,VLOOKUP(C17,Направление!A$1:B$4591,2))</f>
        <v xml:space="preserve">Межбюджетные трансферты на обеспечение мероприятий по строительству и реконструкции объектов теплоснабжения </v>
      </c>
      <c r="C17" s="347">
        <v>29056</v>
      </c>
      <c r="D17" s="439">
        <f>SUMIFS(Пр12!H$10:H$619,Пр12!$E$10:$E$619,C17)</f>
        <v>0</v>
      </c>
      <c r="E17" s="440">
        <f>SUMIFS(Пр12!J$10:J$619,Пр12!$E$10:$E$619,D17)</f>
        <v>0</v>
      </c>
      <c r="F17" s="440">
        <f>SUMIFS(Пр12!K$10:K$619,Пр12!$E$10:$E$619,E17)</f>
        <v>0</v>
      </c>
    </row>
    <row r="18" spans="1:6" ht="31.5" hidden="1" x14ac:dyDescent="0.25">
      <c r="A18" s="391">
        <v>7</v>
      </c>
      <c r="B18" s="154" t="str">
        <f>IF(C18&gt;0,VLOOKUP(C18,Направление!A$1:B$4591,2))</f>
        <v xml:space="preserve">Межбюджетные трансферты на строительство и реконструкцию  объектов  газификации </v>
      </c>
      <c r="C18" s="384">
        <v>29066</v>
      </c>
      <c r="D18" s="439">
        <f>SUMIFS(Пр12!H$10:H$619,Пр12!$E$10:$E$619,C18)</f>
        <v>0</v>
      </c>
      <c r="E18" s="440">
        <f>SUMIFS(Пр12!J$10:J$619,Пр12!$E$10:$E$619,D18)</f>
        <v>0</v>
      </c>
      <c r="F18" s="440">
        <f>SUMIFS(Пр12!K$10:K$619,Пр12!$E$10:$E$619,E18)</f>
        <v>0</v>
      </c>
    </row>
    <row r="19" spans="1:6" ht="47.25" x14ac:dyDescent="0.25">
      <c r="A19" s="391">
        <v>8</v>
      </c>
      <c r="B19" s="154" t="str">
        <f>IF(C19&gt;0,VLOOKUP(C19,Направление!A$1:B$4591,2))</f>
        <v>Межбюджетные трансферты на обеспечение   мероприятий в области  дорожного хозяйства  на  ремонт и содержание автомобильных дорог</v>
      </c>
      <c r="C19" s="384">
        <v>29086</v>
      </c>
      <c r="D19" s="439">
        <f>SUMIFS(Пр12!H$10:H$619,Пр12!$E$10:$E$619,C19)</f>
        <v>8764700.4800000004</v>
      </c>
      <c r="E19" s="440">
        <f>SUMIFS(Пр12!J$10:J$619,Пр12!$E$10:$E$619,D19)</f>
        <v>0</v>
      </c>
      <c r="F19" s="440">
        <f>SUMIFS(Пр12!K$10:K$619,Пр12!$E$10:$E$619,E19)</f>
        <v>0</v>
      </c>
    </row>
    <row r="20" spans="1:6" ht="47.25" x14ac:dyDescent="0.25">
      <c r="A20" s="391">
        <v>9</v>
      </c>
      <c r="B20" s="154" t="str">
        <f>IF(C20&gt;0,VLOOKUP(C20,Направление!A$1:B$4591,2))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C20" s="384">
        <v>29096</v>
      </c>
      <c r="D20" s="439">
        <f>SUMIFS(Пр12!H$10:H$619,Пр12!$E$10:$E$619,C20)</f>
        <v>550192.81999999995</v>
      </c>
      <c r="E20" s="440">
        <f>SUMIFS(Пр12!J$10:J$619,Пр12!$E$10:$E$619,D20)</f>
        <v>0</v>
      </c>
      <c r="F20" s="440">
        <f>SUMIFS(Пр12!K$10:K$619,Пр12!$E$10:$E$619,E20)</f>
        <v>0</v>
      </c>
    </row>
    <row r="21" spans="1:6" ht="47.25" hidden="1" x14ac:dyDescent="0.25">
      <c r="A21" s="391">
        <v>10</v>
      </c>
      <c r="B21" s="154" t="str">
        <f>IF(C21&gt;0,VLOOKUP(C21,Направление!A$1:B$4591,2))</f>
        <v xml:space="preserve">Межбюджетные трансферты на обеспечение мероприятий в области дорожного хозяйства по строительству светофорных объектов </v>
      </c>
      <c r="C21" s="384">
        <v>29106</v>
      </c>
      <c r="D21" s="439">
        <f>SUMIFS(Пр12!H$10:H$619,Пр12!$E$10:$E$619,C21)</f>
        <v>0</v>
      </c>
      <c r="E21" s="440">
        <f>SUMIFS(Пр12!J$10:J$619,Пр12!$E$10:$E$619,D21)</f>
        <v>0</v>
      </c>
      <c r="F21" s="440">
        <f>SUMIFS(Пр12!K$10:K$619,Пр12!$E$10:$E$619,E21)</f>
        <v>0</v>
      </c>
    </row>
    <row r="22" spans="1:6" ht="47.25" hidden="1" x14ac:dyDescent="0.25">
      <c r="A22" s="391">
        <v>11</v>
      </c>
      <c r="B22" s="154" t="str">
        <f>IF(C22&gt;0,VLOOKUP(C22,Направление!A$1:B$4591,2))</f>
        <v>Межбюджетные трансферты на обеспечение  мероприятий программы "Улучшение условий проживания отдельных категорий граждан, нуждающихся в специальной социальной защите</v>
      </c>
      <c r="C22" s="384">
        <v>29116</v>
      </c>
      <c r="D22" s="439">
        <f>SUMIFS(Пр12!H$10:H$619,Пр12!$E$10:$E$619,C22)</f>
        <v>0</v>
      </c>
      <c r="E22" s="440">
        <f>SUMIFS(Пр12!J$10:J$619,Пр12!$E$10:$E$619,D22)</f>
        <v>0</v>
      </c>
      <c r="F22" s="440">
        <f>SUMIFS(Пр12!K$10:K$619,Пр12!$E$10:$E$619,E22)</f>
        <v>0</v>
      </c>
    </row>
    <row r="23" spans="1:6" ht="63" hidden="1" x14ac:dyDescent="0.25">
      <c r="A23" s="391">
        <v>12</v>
      </c>
      <c r="B23" s="154" t="str">
        <f>IF(C23&gt;0,VLOOKUP(C23,Направление!A$1:B$4591,2))</f>
        <v xml:space="preserve">Межбюджетные трансферты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v>
      </c>
      <c r="C23" s="384">
        <v>29126</v>
      </c>
      <c r="D23" s="439">
        <f>SUMIFS(Пр12!H$10:H$619,Пр12!$E$10:$E$619,C23)</f>
        <v>0</v>
      </c>
      <c r="E23" s="440">
        <f>SUMIFS(Пр12!J$10:J$619,Пр12!$E$10:$E$619,D23)</f>
        <v>0</v>
      </c>
      <c r="F23" s="440">
        <f>SUMIFS(Пр12!K$10:K$619,Пр12!$E$10:$E$619,E23)</f>
        <v>0</v>
      </c>
    </row>
    <row r="24" spans="1:6" ht="47.25" hidden="1" x14ac:dyDescent="0.25">
      <c r="A24" s="391">
        <v>13</v>
      </c>
      <c r="B24" s="154" t="str">
        <f>IF(C24&gt;0,VLOOKUP(C24,Направление!A$1:B$4591,2))</f>
        <v>Межбюджетные трансферты на обеспечение мероприятий по улучшение жилищных условий молодых семей , проживающих и на территории Ярославской области</v>
      </c>
      <c r="C24" s="384">
        <v>29136</v>
      </c>
      <c r="D24" s="439">
        <f>SUMIFS(Пр12!H$10:H$619,Пр12!$E$10:$E$619,C24)</f>
        <v>0</v>
      </c>
      <c r="E24" s="440">
        <f>SUMIFS(Пр12!J$10:J$619,Пр12!$E$10:$E$619,D24)</f>
        <v>0</v>
      </c>
      <c r="F24" s="440">
        <f>SUMIFS(Пр12!K$10:K$619,Пр12!$E$10:$E$619,E24)</f>
        <v>0</v>
      </c>
    </row>
    <row r="25" spans="1:6" ht="47.25" hidden="1" x14ac:dyDescent="0.25">
      <c r="A25" s="391">
        <v>14</v>
      </c>
      <c r="B25" s="154" t="str">
        <f>IF(C25&gt;0,VLOOKUP(C25,Направление!A$1:B$4591,2))</f>
        <v>Межбюджетные трансферты на обеспечение мероприятий по переселению граждан из аварийного жилищного фонда за счет средств бюджета поселения</v>
      </c>
      <c r="C25" s="384">
        <v>29146</v>
      </c>
      <c r="D25" s="439">
        <f>SUMIFS(Пр12!H$10:H$619,Пр12!$E$10:$E$619,C25)</f>
        <v>0</v>
      </c>
      <c r="E25" s="440">
        <f>SUMIFS(Пр12!J$10:J$619,Пр12!$E$10:$E$619,D25)</f>
        <v>0</v>
      </c>
      <c r="F25" s="440">
        <f>SUMIFS(Пр12!K$10:K$619,Пр12!$E$10:$E$619,E25)</f>
        <v>0</v>
      </c>
    </row>
    <row r="26" spans="1:6" ht="31.5" hidden="1" x14ac:dyDescent="0.25">
      <c r="A26" s="391">
        <v>15</v>
      </c>
      <c r="B26" s="154" t="str">
        <f>IF(C26&gt;0,VLOOKUP(C26,Направление!A$1:B$4591,2))</f>
        <v>Межбюджетные трансферты на обеспечение мероприятий в сфере ипотечного жилищного кредитования</v>
      </c>
      <c r="C26" s="384">
        <v>29156</v>
      </c>
      <c r="D26" s="439">
        <f>SUMIFS(Пр12!H$10:H$619,Пр12!$E$10:$E$619,C26)</f>
        <v>0</v>
      </c>
      <c r="E26" s="440">
        <f>SUMIFS(Пр12!J$10:J$619,Пр12!$E$10:$E$619,D26)</f>
        <v>0</v>
      </c>
      <c r="F26" s="440">
        <f>SUMIFS(Пр12!K$10:K$619,Пр12!$E$10:$E$619,E26)</f>
        <v>0</v>
      </c>
    </row>
    <row r="27" spans="1:6" ht="47.25" x14ac:dyDescent="0.25">
      <c r="A27" s="391">
        <v>16</v>
      </c>
      <c r="B27" s="154" t="str">
        <f>IF(C27&gt;0,VLOOKUP(C27,Направление!A$1:B$4591,2))</f>
        <v>Межбюджетные трансферты на обеспечение мероприятий по осуществлению грузопассажирских  перевозок на речном транспорте</v>
      </c>
      <c r="C27" s="384">
        <v>29166</v>
      </c>
      <c r="D27" s="439">
        <f>SUMIFS(Пр12!H$10:H$619,Пр12!$E$10:$E$619,C27)</f>
        <v>565200</v>
      </c>
      <c r="E27" s="440">
        <f>SUMIFS(Пр12!J$10:J$619,Пр12!$E$10:$E$619,D27)</f>
        <v>0</v>
      </c>
      <c r="F27" s="440">
        <f>SUMIFS(Пр12!K$10:K$619,Пр12!$E$10:$E$619,E27)</f>
        <v>0</v>
      </c>
    </row>
    <row r="28" spans="1:6" ht="47.25" x14ac:dyDescent="0.25">
      <c r="A28" s="391">
        <v>17</v>
      </c>
      <c r="B28" s="154" t="str">
        <f>IF(C28&gt;0,VLOOKUP(C28,Направление!A$1:B$4591,2))</f>
        <v>Межбюджетные трансферты на обеспечение мероприятий по осуществлению пассажирских  перевозок на автомобильном  транспорте</v>
      </c>
      <c r="C28" s="384">
        <v>29176</v>
      </c>
      <c r="D28" s="439">
        <f>SUMIFS(Пр12!H$10:H$619,Пр12!$E$10:$E$619,C28)</f>
        <v>395564.79999999999</v>
      </c>
      <c r="E28" s="440">
        <f>SUMIFS(Пр12!J$10:J$619,Пр12!$E$10:$E$619,D28)</f>
        <v>0</v>
      </c>
      <c r="F28" s="440">
        <f>SUMIFS(Пр12!K$10:K$619,Пр12!$E$10:$E$619,E28)</f>
        <v>0</v>
      </c>
    </row>
    <row r="29" spans="1:6" ht="47.25" hidden="1" x14ac:dyDescent="0.25">
      <c r="A29" s="391">
        <v>18</v>
      </c>
      <c r="B29" s="154" t="str">
        <f>IF(C29&gt;0,VLOOKUP(C29,Направление!A$1:B$4591,2))</f>
        <v>Межбюджетные трансферты на обеспечение мероприятий по  предупреждению и ликвидации последствий чрезвычайных ситуаций в границах поселения</v>
      </c>
      <c r="C29" s="384">
        <v>29186</v>
      </c>
      <c r="D29" s="439">
        <f>SUMIFS(Пр12!H$10:H$619,Пр12!$E$10:$E$619,C29)</f>
        <v>0</v>
      </c>
      <c r="E29" s="440">
        <f>SUMIFS(Пр12!J$10:J$619,Пр12!$E$10:$E$619,D29)</f>
        <v>0</v>
      </c>
      <c r="F29" s="440">
        <f>SUMIFS(Пр12!K$10:K$619,Пр12!$E$10:$E$619,E29)</f>
        <v>0</v>
      </c>
    </row>
    <row r="30" spans="1:6" ht="31.5" hidden="1" x14ac:dyDescent="0.25">
      <c r="A30" s="391">
        <v>19</v>
      </c>
      <c r="B30" s="154" t="str">
        <f>IF(C30&gt;0,VLOOKUP(C30,Направление!A$1:B$4591,2))</f>
        <v>Межбюджетные трансферты на обеспечение   первичных мер пожарной безопасности в границах населенных пунктов поселения</v>
      </c>
      <c r="C30" s="384">
        <v>29196</v>
      </c>
      <c r="D30" s="439">
        <f>SUMIFS(Пр12!H$10:H$619,Пр12!$E$10:$E$619,C30)</f>
        <v>0</v>
      </c>
      <c r="E30" s="440">
        <f>SUMIFS(Пр12!J$10:J$619,Пр12!$E$10:$E$619,D30)</f>
        <v>0</v>
      </c>
      <c r="F30" s="440">
        <f>SUMIFS(Пр12!K$10:K$619,Пр12!$E$10:$E$619,E30)</f>
        <v>0</v>
      </c>
    </row>
    <row r="31" spans="1:6" ht="31.5" hidden="1" x14ac:dyDescent="0.25">
      <c r="A31" s="391">
        <v>20</v>
      </c>
      <c r="B31" s="154" t="str">
        <f>IF(C31&gt;0,VLOOKUP(C31,Направление!A$1:B$4591,2))</f>
        <v>Межбюджетные трансферты на  обеспечение мероприятий по организации населению услуг бань  в общих отделениях</v>
      </c>
      <c r="C31" s="384">
        <v>29206</v>
      </c>
      <c r="D31" s="439">
        <f>SUMIFS(Пр12!H$10:H$619,Пр12!$E$10:$E$619,C31)</f>
        <v>0</v>
      </c>
      <c r="E31" s="440">
        <f>SUMIFS(Пр12!J$10:J$619,Пр12!$E$10:$E$619,D31)</f>
        <v>0</v>
      </c>
      <c r="F31" s="440">
        <f>SUMIFS(Пр12!K$10:K$619,Пр12!$E$10:$E$619,E31)</f>
        <v>0</v>
      </c>
    </row>
    <row r="32" spans="1:6" ht="31.5" x14ac:dyDescent="0.25">
      <c r="A32" s="391">
        <v>21</v>
      </c>
      <c r="B32" s="154" t="str">
        <f>IF(C32&gt;0,VLOOKUP(C32,Направление!A$1:B$4591,2))</f>
        <v xml:space="preserve">Межбюджетные трансферты на обеспечение культурно-досуговых мероприятий </v>
      </c>
      <c r="C32" s="384">
        <v>29216</v>
      </c>
      <c r="D32" s="439">
        <f>SUMIFS(Пр12!H$10:H$619,Пр12!$E$10:$E$619,C32)</f>
        <v>862500</v>
      </c>
      <c r="E32" s="440">
        <f>SUMIFS(Пр12!J$10:J$619,Пр12!$E$10:$E$619,D32)</f>
        <v>0</v>
      </c>
      <c r="F32" s="440">
        <f>SUMIFS(Пр12!K$10:K$619,Пр12!$E$10:$E$619,E32)</f>
        <v>0</v>
      </c>
    </row>
    <row r="33" spans="1:6" ht="31.5" hidden="1" x14ac:dyDescent="0.25">
      <c r="A33" s="391">
        <v>22</v>
      </c>
      <c r="B33" s="154" t="str">
        <f>IF(C33&gt;0,VLOOKUP(C33,Направление!A$1:B$4591,2))</f>
        <v>Межбюджетные трансферты на обеспечение  физкультурно-спортивных мероприятий</v>
      </c>
      <c r="C33" s="384">
        <v>29226</v>
      </c>
      <c r="D33" s="439">
        <f>SUMIFS(Пр12!H$10:H$619,Пр12!$E$10:$E$619,C33)</f>
        <v>0</v>
      </c>
      <c r="E33" s="440">
        <f>SUMIFS(Пр12!J$10:J$619,Пр12!$E$10:$E$619,D33)</f>
        <v>0</v>
      </c>
      <c r="F33" s="440">
        <f>SUMIFS(Пр12!K$10:K$619,Пр12!$E$10:$E$619,E33)</f>
        <v>0</v>
      </c>
    </row>
    <row r="34" spans="1:6" ht="31.5" x14ac:dyDescent="0.25">
      <c r="A34" s="391">
        <v>23</v>
      </c>
      <c r="B34" s="154" t="str">
        <f>IF(C34&gt;0,VLOOKUP(C34,Направление!A$1:B$4591,2))</f>
        <v>Межбюджетные трансферты на обеспечение мероприятий по уличному освещению</v>
      </c>
      <c r="C34" s="384">
        <v>29236</v>
      </c>
      <c r="D34" s="439">
        <f>SUMIFS(Пр12!H$10:H$619,Пр12!$E$10:$E$619,C34)</f>
        <v>6470242.2599999998</v>
      </c>
      <c r="E34" s="440">
        <f>SUMIFS(Пр12!J$10:J$619,Пр12!$E$10:$E$619,D34)</f>
        <v>0</v>
      </c>
      <c r="F34" s="440">
        <f>SUMIFS(Пр12!K$10:K$619,Пр12!$E$10:$E$619,E34)</f>
        <v>0</v>
      </c>
    </row>
    <row r="35" spans="1:6" ht="47.25" x14ac:dyDescent="0.25">
      <c r="A35" s="391">
        <v>24</v>
      </c>
      <c r="B35" s="154" t="str">
        <f>IF(C35&gt;0,VLOOKUP(C35,Направление!A$1:B$4591,2))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C35" s="384">
        <v>29246</v>
      </c>
      <c r="D35" s="439">
        <f>SUMIFS(Пр12!H$10:H$619,Пр12!$E$10:$E$619,C35)</f>
        <v>1920571.71</v>
      </c>
      <c r="E35" s="440">
        <f>SUMIFS(Пр12!J$10:J$619,Пр12!$E$10:$E$619,D35)</f>
        <v>0</v>
      </c>
      <c r="F35" s="440">
        <f>SUMIFS(Пр12!K$10:K$619,Пр12!$E$10:$E$619,E35)</f>
        <v>0</v>
      </c>
    </row>
    <row r="36" spans="1:6" ht="31.5" x14ac:dyDescent="0.25">
      <c r="A36" s="391">
        <v>25</v>
      </c>
      <c r="B36" s="154" t="str">
        <f>IF(C36&gt;0,VLOOKUP(C36,Направление!A$1:B$4591,2))</f>
        <v>Межбюджетные трансферты на содержание и организацию деятельности по благоустройству на территории поселения</v>
      </c>
      <c r="C36" s="384">
        <v>29256</v>
      </c>
      <c r="D36" s="439">
        <f>SUMIFS(Пр12!H$10:H$619,Пр12!$E$10:$E$619,C36)</f>
        <v>8685581.3399999999</v>
      </c>
      <c r="E36" s="440">
        <f>SUMIFS(Пр12!J$10:J$619,Пр12!$E$10:$E$619,D36)</f>
        <v>0</v>
      </c>
      <c r="F36" s="440">
        <f>SUMIFS(Пр12!K$10:K$619,Пр12!$E$10:$E$619,E36)</f>
        <v>0</v>
      </c>
    </row>
    <row r="37" spans="1:6" ht="31.5" x14ac:dyDescent="0.25">
      <c r="A37" s="391">
        <v>26</v>
      </c>
      <c r="B37" s="154" t="str">
        <f>IF(C37&gt;0,VLOOKUP(C37,Направление!A$1:B$4591,2))</f>
        <v>Межбюджетные трансферты на обеспечение мероприятий в области благоустройства и озеленения</v>
      </c>
      <c r="C37" s="384">
        <v>29266</v>
      </c>
      <c r="D37" s="439">
        <f>SUMIFS(Пр12!H$10:H$619,Пр12!$E$10:$E$619,C37)</f>
        <v>420795.35</v>
      </c>
      <c r="E37" s="440">
        <f>SUMIFS(Пр12!J$10:J$619,Пр12!$E$10:$E$619,D37)</f>
        <v>0</v>
      </c>
      <c r="F37" s="440">
        <f>SUMIFS(Пр12!K$10:K$619,Пр12!$E$10:$E$619,E37)</f>
        <v>0</v>
      </c>
    </row>
    <row r="38" spans="1:6" ht="47.25" x14ac:dyDescent="0.25">
      <c r="A38" s="391">
        <v>27</v>
      </c>
      <c r="B38" s="154" t="str">
        <f>IF(C38&gt;0,VLOOKUP(C38,Направление!A$1:B$4591,2))</f>
        <v>Межбюджетные трансферты на обеспечение мероприятий  по землеустройству и землепользованию,   определению кадастровой стоимости и приобретению прав собственности на землю</v>
      </c>
      <c r="C38" s="384">
        <v>29276</v>
      </c>
      <c r="D38" s="439">
        <f>SUMIFS(Пр12!H$10:H$619,Пр12!$E$10:$E$619,C38)</f>
        <v>23000</v>
      </c>
      <c r="E38" s="440">
        <f>SUMIFS(Пр12!J$10:J$619,Пр12!$E$10:$E$619,D38)</f>
        <v>0</v>
      </c>
      <c r="F38" s="440">
        <f>SUMIFS(Пр12!K$10:K$619,Пр12!$E$10:$E$619,E38)</f>
        <v>0</v>
      </c>
    </row>
    <row r="39" spans="1:6" ht="31.5" hidden="1" x14ac:dyDescent="0.25">
      <c r="A39" s="391">
        <v>28</v>
      </c>
      <c r="B39" s="154" t="str">
        <f>IF(C39&gt;0,VLOOKUP(C39,Направление!A$1:B$4591,2))</f>
        <v>Межбюджетные трансферты на обеспечение мероприятий по внесению изменений в документы территориального планирования</v>
      </c>
      <c r="C39" s="384">
        <v>29286</v>
      </c>
      <c r="D39" s="439">
        <f>SUMIFS(Пр12!H$10:H$619,Пр12!$E$10:$E$619,C39)</f>
        <v>0</v>
      </c>
      <c r="E39" s="440">
        <f>SUMIFS(Пр12!J$10:J$619,Пр12!$E$10:$E$619,D39)</f>
        <v>0</v>
      </c>
      <c r="F39" s="440">
        <f>SUMIFS(Пр12!K$10:K$619,Пр12!$E$10:$E$619,E39)</f>
        <v>0</v>
      </c>
    </row>
    <row r="40" spans="1:6" ht="31.5" hidden="1" x14ac:dyDescent="0.25">
      <c r="A40" s="391">
        <v>29</v>
      </c>
      <c r="B40" s="154" t="str">
        <f>IF(C40&gt;0,VLOOKUP(C40,Направление!A$1:B$4591,2))</f>
        <v>Межбюджетные трансферты на обеспечение мероприятий по выдаче градостроительных документов</v>
      </c>
      <c r="C40" s="384">
        <v>29296</v>
      </c>
      <c r="D40" s="439">
        <f>SUMIFS(Пр12!H$10:H$619,Пр12!$E$10:$E$619,C40)</f>
        <v>0</v>
      </c>
      <c r="E40" s="440">
        <f>SUMIFS(Пр12!J$10:J$619,Пр12!$E$10:$E$619,D40)</f>
        <v>0</v>
      </c>
      <c r="F40" s="440">
        <f>SUMIFS(Пр12!K$10:K$619,Пр12!$E$10:$E$619,E40)</f>
        <v>0</v>
      </c>
    </row>
    <row r="41" spans="1:6" ht="31.5" hidden="1" x14ac:dyDescent="0.25">
      <c r="A41" s="391">
        <v>31</v>
      </c>
      <c r="B41" s="154" t="str">
        <f>IF(C41&gt;0,VLOOKUP(C41,Направление!A$1:B$4591,2))</f>
        <v>Межбюджетные трансферты на обеспечение мероприятий по  содержанию мест захоронения</v>
      </c>
      <c r="C41" s="384">
        <v>29316</v>
      </c>
      <c r="D41" s="439">
        <f>SUMIFS(Пр12!H$10:H$619,Пр12!$E$10:$E$619,C41)</f>
        <v>0</v>
      </c>
      <c r="E41" s="440">
        <f>SUMIFS(Пр12!J$10:J$619,Пр12!$E$10:$E$619,D41)</f>
        <v>0</v>
      </c>
      <c r="F41" s="440">
        <f>SUMIFS(Пр12!K$10:K$619,Пр12!$E$10:$E$619,E41)</f>
        <v>0</v>
      </c>
    </row>
    <row r="42" spans="1:6" ht="47.25" hidden="1" x14ac:dyDescent="0.25">
      <c r="A42" s="391">
        <v>32</v>
      </c>
      <c r="B42" s="154" t="str">
        <f>IF(C42&gt;0,VLOOKUP(C42,Направление!A$1:B$4591,2))</f>
        <v>Межбюджетные трансферты на обеспечение мероприятий по обеспечению безопасности людей на водных объектах, охране их жизни и здоровья</v>
      </c>
      <c r="C42" s="384">
        <v>29326</v>
      </c>
      <c r="D42" s="439">
        <f>SUMIFS(Пр12!H$10:H$619,Пр12!$E$10:$E$619,C42)</f>
        <v>0</v>
      </c>
      <c r="E42" s="440">
        <f>SUMIFS(Пр12!J$10:J$619,Пр12!$E$10:$E$619,D42)</f>
        <v>0</v>
      </c>
      <c r="F42" s="440">
        <f>SUMIFS(Пр12!K$10:K$619,Пр12!$E$10:$E$619,E42)</f>
        <v>0</v>
      </c>
    </row>
    <row r="43" spans="1:6" ht="31.5" hidden="1" x14ac:dyDescent="0.25">
      <c r="A43" s="391">
        <v>33</v>
      </c>
      <c r="B43" s="154" t="str">
        <f>IF(C43&gt;0,VLOOKUP(C43,Направление!A$1:B$4591,2))</f>
        <v>Межбюджетные трансферты на обеспечение мероприятий для развития субъектов малого и среднего предпринимательства</v>
      </c>
      <c r="C43" s="384">
        <v>29336</v>
      </c>
      <c r="D43" s="439">
        <f>SUMIFS(Пр12!H$10:H$619,Пр12!$E$10:$E$619,C43)</f>
        <v>0</v>
      </c>
      <c r="E43" s="440">
        <f>SUMIFS(Пр12!J$10:J$619,Пр12!$E$10:$E$619,D43)</f>
        <v>0</v>
      </c>
      <c r="F43" s="440">
        <f>SUMIFS(Пр12!K$10:K$619,Пр12!$E$10:$E$619,E43)</f>
        <v>0</v>
      </c>
    </row>
    <row r="44" spans="1:6" ht="31.5" hidden="1" x14ac:dyDescent="0.25">
      <c r="A44" s="391">
        <v>34</v>
      </c>
      <c r="B44" s="154" t="str">
        <f>IF(C44&gt;0,VLOOKUP(C44,Направление!A$1:B$4591,2))</f>
        <v>Межбюджетные трансферты на обеспечение мероприятий  по работе с детьми и молодежью</v>
      </c>
      <c r="C44" s="384">
        <v>29346</v>
      </c>
      <c r="D44" s="439">
        <f>SUMIFS(Пр12!H$10:H$619,Пр12!$E$10:$E$619,C44)</f>
        <v>0</v>
      </c>
      <c r="E44" s="440">
        <f>SUMIFS(Пр12!J$10:J$619,Пр12!$E$10:$E$619,D44)</f>
        <v>0</v>
      </c>
      <c r="F44" s="440">
        <f>SUMIFS(Пр12!K$10:K$619,Пр12!$E$10:$E$619,E44)</f>
        <v>0</v>
      </c>
    </row>
    <row r="45" spans="1:6" hidden="1" x14ac:dyDescent="0.25">
      <c r="A45" s="391">
        <v>35</v>
      </c>
      <c r="B45" s="154">
        <f>IF(C45&gt;0,VLOOKUP(C45,Направление!A$1:B$4591,2))</f>
        <v>0</v>
      </c>
      <c r="C45" s="384">
        <v>29356</v>
      </c>
      <c r="D45" s="439">
        <f>SUMIFS(Пр12!H$10:H$619,Пр12!$E$10:$E$619,C45)</f>
        <v>0</v>
      </c>
      <c r="E45" s="440">
        <f>SUMIFS(Пр12!J$10:J$619,Пр12!$E$10:$E$619,D45)</f>
        <v>0</v>
      </c>
      <c r="F45" s="440">
        <f>SUMIFS(Пр12!K$10:K$619,Пр12!$E$10:$E$619,E45)</f>
        <v>0</v>
      </c>
    </row>
    <row r="46" spans="1:6" ht="31.5" hidden="1" x14ac:dyDescent="0.25">
      <c r="A46" s="391">
        <v>36</v>
      </c>
      <c r="B46" s="154" t="str">
        <f>IF(C46&gt;0,VLOOKUP(C46,Направление!A$1:B$4591,2))</f>
        <v>Межбюджетные трансферты на обеспечение мероприятий по поддержке СМИ</v>
      </c>
      <c r="C46" s="384">
        <v>29366</v>
      </c>
      <c r="D46" s="439">
        <f>SUMIFS(Пр12!H$10:H$619,Пр12!$E$10:$E$619,C46)</f>
        <v>0</v>
      </c>
      <c r="E46" s="440">
        <f>SUMIFS(Пр12!J$10:J$619,Пр12!$E$10:$E$619,D46)</f>
        <v>0</v>
      </c>
      <c r="F46" s="440">
        <f>SUMIFS(Пр12!K$10:K$619,Пр12!$E$10:$E$619,E46)</f>
        <v>0</v>
      </c>
    </row>
    <row r="47" spans="1:6" ht="47.25" x14ac:dyDescent="0.25">
      <c r="A47" s="391">
        <v>37</v>
      </c>
      <c r="B47" s="154" t="str">
        <f>IF(C47&gt;0,VLOOKUP(C47,Направление!A$1:B$4591,2))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C47" s="384">
        <v>29376</v>
      </c>
      <c r="D47" s="439">
        <f>SUMIFS(Пр12!H$10:H$619,Пр12!$E$10:$E$619,C47)</f>
        <v>339000</v>
      </c>
      <c r="E47" s="440">
        <f>SUMIFS(Пр12!J$10:J$619,Пр12!$E$10:$E$619,D47)</f>
        <v>0</v>
      </c>
      <c r="F47" s="440">
        <f>SUMIFS(Пр12!K$10:K$619,Пр12!$E$10:$E$619,E47)</f>
        <v>0</v>
      </c>
    </row>
    <row r="48" spans="1:6" ht="31.5" x14ac:dyDescent="0.25">
      <c r="A48" s="391">
        <v>38</v>
      </c>
      <c r="B48" s="154" t="str">
        <f>IF(C48&gt;0,VLOOKUP(C48,Направление!A$1:B$4591,2))</f>
        <v>Межбюджетные трансферты на обеспечение мероприятий по осуществлению внешнего муниципального контроля</v>
      </c>
      <c r="C48" s="384">
        <v>29386</v>
      </c>
      <c r="D48" s="439">
        <f>SUMIFS(Пр12!H$10:H$619,Пр12!$E$10:$E$619,C48)</f>
        <v>26547.5</v>
      </c>
      <c r="E48" s="440">
        <f>SUMIFS(Пр12!J$10:J$619,Пр12!$E$10:$E$619,D48)</f>
        <v>0</v>
      </c>
      <c r="F48" s="440">
        <f>SUMIFS(Пр12!K$10:K$619,Пр12!$E$10:$E$619,E48)</f>
        <v>0</v>
      </c>
    </row>
    <row r="49" spans="1:6" ht="63" hidden="1" x14ac:dyDescent="0.25">
      <c r="A49" s="391">
        <v>39</v>
      </c>
      <c r="B49" s="154" t="str">
        <f>IF(C49&gt;0,VLOOKUP(C49,Направление!A$1:B$4591,2))</f>
        <v>Межбюджетные трансферты на 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C49" s="384">
        <v>29396</v>
      </c>
      <c r="D49" s="439">
        <f>SUMIFS(Пр12!H$10:H$619,Пр12!$E$10:$E$619,C49)</f>
        <v>0</v>
      </c>
      <c r="E49" s="440">
        <f>SUMIFS(Пр12!J$10:J$619,Пр12!$E$10:$E$619,D49)</f>
        <v>0</v>
      </c>
      <c r="F49" s="440">
        <f>SUMIFS(Пр12!K$10:K$619,Пр12!$E$10:$E$619,E49)</f>
        <v>0</v>
      </c>
    </row>
    <row r="50" spans="1:6" ht="63" hidden="1" x14ac:dyDescent="0.25">
      <c r="A50" s="391">
        <v>40</v>
      </c>
      <c r="B50" s="154" t="str">
        <f>IF(C50&gt;0,VLOOKUP(C50,Направление!A$1:B$4591,2))</f>
        <v>Межбюджетные трансферты на 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v>
      </c>
      <c r="C50" s="384">
        <v>29406</v>
      </c>
      <c r="D50" s="439">
        <f>SUMIFS(Пр12!H$10:H$619,Пр12!$E$10:$E$619,C50)</f>
        <v>0</v>
      </c>
      <c r="E50" s="440">
        <f>SUMIFS(Пр12!J$10:J$619,Пр12!$E$10:$E$619,D50)</f>
        <v>0</v>
      </c>
      <c r="F50" s="440">
        <f>SUMIFS(Пр12!K$10:K$619,Пр12!$E$10:$E$619,E50)</f>
        <v>0</v>
      </c>
    </row>
    <row r="51" spans="1:6" ht="78.75" hidden="1" x14ac:dyDescent="0.25">
      <c r="A51" s="391">
        <v>41</v>
      </c>
      <c r="B51" s="154" t="str">
        <f>IF(C51&gt;0,VLOOKUP(C51,Направление!A$1:B$4591,2))</f>
        <v>Межбюджетные трансферты на 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v>
      </c>
      <c r="C51" s="384">
        <v>29416</v>
      </c>
      <c r="D51" s="439">
        <f>SUMIFS(Пр12!H$10:H$619,Пр12!$E$10:$E$619,C51)</f>
        <v>0</v>
      </c>
      <c r="E51" s="440">
        <f>SUMIFS(Пр12!J$10:J$619,Пр12!$E$10:$E$619,D51)</f>
        <v>0</v>
      </c>
      <c r="F51" s="440">
        <f>SUMIFS(Пр12!K$10:K$619,Пр12!$E$10:$E$619,E51)</f>
        <v>0</v>
      </c>
    </row>
    <row r="52" spans="1:6" ht="31.5" hidden="1" x14ac:dyDescent="0.25">
      <c r="A52" s="391">
        <v>42</v>
      </c>
      <c r="B52" s="154" t="str">
        <f>IF(C52&gt;0,VLOOKUP(C52,Направление!A$1:B$4591,2))</f>
        <v>Межбюджетные трансферты на обеспечение мероприятий по строительству  спортивных объектов</v>
      </c>
      <c r="C52" s="384">
        <v>29426</v>
      </c>
      <c r="D52" s="439">
        <f>SUMIFS(Пр12!H$10:H$619,Пр12!$E$10:$E$619,C52)</f>
        <v>0</v>
      </c>
      <c r="E52" s="440">
        <f>SUMIFS(Пр12!J$10:J$619,Пр12!$E$10:$E$619,D52)</f>
        <v>0</v>
      </c>
      <c r="F52" s="440">
        <f>SUMIFS(Пр12!K$10:K$619,Пр12!$E$10:$E$619,E52)</f>
        <v>0</v>
      </c>
    </row>
    <row r="53" spans="1:6" ht="47.25" hidden="1" x14ac:dyDescent="0.25">
      <c r="A53" s="391">
        <v>43</v>
      </c>
      <c r="B53" s="154" t="str">
        <f>IF(C53&gt;0,VLOOKUP(C53,Направление!A$1:B$4591,2))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C53" s="384">
        <v>29436</v>
      </c>
      <c r="D53" s="439">
        <f>SUMIFS(Пр12!H$10:H$619,Пр12!$E$10:$E$619,C53)</f>
        <v>0</v>
      </c>
      <c r="E53" s="440">
        <f>SUMIFS(Пр12!J$10:J$619,Пр12!$E$10:$E$619,D53)</f>
        <v>0</v>
      </c>
      <c r="F53" s="440">
        <f>SUMIFS(Пр12!K$10:K$619,Пр12!$E$10:$E$619,E53)</f>
        <v>0</v>
      </c>
    </row>
    <row r="54" spans="1:6" ht="47.25" hidden="1" x14ac:dyDescent="0.25">
      <c r="A54" s="391">
        <v>44</v>
      </c>
      <c r="B54" s="154" t="str">
        <f>IF(C54&gt;0,VLOOKUP(C54,Направление!A$1:B$4591,2))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C54" s="384">
        <v>29446</v>
      </c>
      <c r="D54" s="439">
        <f>SUMIFS(Пр12!H$10:H$619,Пр12!$E$10:$E$619,C54)</f>
        <v>0</v>
      </c>
      <c r="E54" s="440">
        <f>SUMIFS(Пр12!J$10:J$619,Пр12!$E$10:$E$619,D54)</f>
        <v>0</v>
      </c>
      <c r="F54" s="440">
        <f>SUMIFS(Пр12!K$10:K$619,Пр12!$E$10:$E$619,E54)</f>
        <v>0</v>
      </c>
    </row>
    <row r="55" spans="1:6" ht="31.5" x14ac:dyDescent="0.25">
      <c r="A55" s="391">
        <v>45</v>
      </c>
      <c r="B55" s="154" t="str">
        <f>IF(C55&gt;0,VLOOKUP(C55,Направление!A$1:B$4591,2))</f>
        <v xml:space="preserve">Межбюджетные трансферты на обеспечение мероприятий по  формированию современной городской среды </v>
      </c>
      <c r="C55" s="384">
        <v>29456</v>
      </c>
      <c r="D55" s="439">
        <f>SUMIFS(Пр12!H$10:H$619,Пр12!$E$10:$E$619,C55)</f>
        <v>482183.5</v>
      </c>
      <c r="E55" s="440">
        <f>SUMIFS(Пр12!J$10:J$619,Пр12!$E$10:$E$619,D55)</f>
        <v>0</v>
      </c>
      <c r="F55" s="440">
        <f>SUMIFS(Пр12!K$10:K$619,Пр12!$E$10:$E$619,E55)</f>
        <v>0</v>
      </c>
    </row>
    <row r="56" spans="1:6" ht="47.25" hidden="1" x14ac:dyDescent="0.25">
      <c r="A56" s="391">
        <v>46</v>
      </c>
      <c r="B56" s="154" t="str">
        <f>IF(C56&gt;0,VLOOKUP(C56,Направление!A$1:B$4591,2))</f>
        <v>Межбюджетные трансферты на обеспечение мероприятий по защите от чрезвычайных ситуаций природного и техногенного характера</v>
      </c>
      <c r="C56" s="384">
        <v>29466</v>
      </c>
      <c r="D56" s="439">
        <f>SUMIFS(Пр12!H$10:H$619,Пр12!$E$10:$E$619,C56)</f>
        <v>0</v>
      </c>
      <c r="E56" s="440">
        <f>SUMIFS(Пр12!J$10:J$619,Пр12!$E$10:$E$619,D56)</f>
        <v>0</v>
      </c>
      <c r="F56" s="440">
        <f>SUMIFS(Пр12!K$10:K$619,Пр12!$E$10:$E$619,E56)</f>
        <v>0</v>
      </c>
    </row>
    <row r="57" spans="1:6" ht="31.5" hidden="1" x14ac:dyDescent="0.25">
      <c r="A57" s="391">
        <v>47</v>
      </c>
      <c r="B57" s="154" t="str">
        <f>IF(C57&gt;0,VLOOKUP(C57,Направление!A$1:B$4591,2))</f>
        <v xml:space="preserve"> Межбюджетные трансферты на обеспечение мероприятий по строительству и реконструкции  памятников</v>
      </c>
      <c r="C57" s="384">
        <v>29476</v>
      </c>
      <c r="D57" s="439">
        <f>SUMIFS(Пр12!H$10:H$619,Пр12!$E$10:$E$619,C57)</f>
        <v>0</v>
      </c>
      <c r="E57" s="440">
        <f>SUMIFS(Пр12!J$10:J$619,Пр12!$E$10:$E$619,D57)</f>
        <v>0</v>
      </c>
      <c r="F57" s="440">
        <f>SUMIFS(Пр12!K$10:K$619,Пр12!$E$10:$E$619,E57)</f>
        <v>0</v>
      </c>
    </row>
    <row r="58" spans="1:6" ht="31.5" x14ac:dyDescent="0.25">
      <c r="A58" s="391">
        <v>48</v>
      </c>
      <c r="B58" s="154" t="str">
        <f>IF(C58&gt;0,VLOOKUP(C58,Направление!A$1:B$4591,2))</f>
        <v>Межбюджетные трансферты на обеспечение деятельности народных дружин</v>
      </c>
      <c r="C58" s="384">
        <v>29486</v>
      </c>
      <c r="D58" s="439">
        <f>SUMIFS(Пр12!H$10:H$619,Пр12!$E$10:$E$619,C58)</f>
        <v>29300</v>
      </c>
      <c r="E58" s="440">
        <f>SUMIFS(Пр12!J$10:J$619,Пр12!$E$10:$E$619,D58)</f>
        <v>0</v>
      </c>
      <c r="F58" s="440">
        <f>SUMIFS(Пр12!K$10:K$619,Пр12!$E$10:$E$619,E58)</f>
        <v>0</v>
      </c>
    </row>
    <row r="59" spans="1:6" ht="31.5" hidden="1" x14ac:dyDescent="0.25">
      <c r="A59" s="391">
        <v>49</v>
      </c>
      <c r="B59" s="154" t="str">
        <f>IF(C59&gt;0,VLOOKUP(C59,Направление!A$1:B$4591,2))</f>
        <v xml:space="preserve">Межбюджетные трансферты на обеспечение мероприятий в области дорожного хозяйства по ремонту дворовых территорий </v>
      </c>
      <c r="C59" s="384">
        <v>29496</v>
      </c>
      <c r="D59" s="439">
        <f>SUMIFS(Пр12!H$10:H$619,Пр12!$E$10:$E$619,C59)</f>
        <v>0</v>
      </c>
      <c r="E59" s="440">
        <f>SUMIFS(Пр12!J$10:J$619,Пр12!$E$10:$E$619,D59)</f>
        <v>0</v>
      </c>
      <c r="F59" s="440">
        <f>SUMIFS(Пр12!K$10:K$619,Пр12!$E$10:$E$619,E59)</f>
        <v>0</v>
      </c>
    </row>
    <row r="60" spans="1:6" ht="31.5" hidden="1" x14ac:dyDescent="0.25">
      <c r="A60" s="391">
        <v>50</v>
      </c>
      <c r="B60" s="154" t="str">
        <f>IF(C60&gt;0,VLOOKUP(C60,Направление!A$1:B$4591,2))</f>
        <v>Межбюджетные трансферты на обеспечение мероприятий по строительству, реконструкции и ремонту общественных туалетов</v>
      </c>
      <c r="C60" s="384">
        <v>29506</v>
      </c>
      <c r="D60" s="439">
        <f>SUMIFS(Пр12!H$10:H$619,Пр12!$E$10:$E$619,C60)</f>
        <v>0</v>
      </c>
      <c r="E60" s="440">
        <f>SUMIFS(Пр12!J$10:J$619,Пр12!$E$10:$E$619,D60)</f>
        <v>0</v>
      </c>
      <c r="F60" s="440">
        <f>SUMIFS(Пр12!K$10:K$619,Пр12!$E$10:$E$619,E60)</f>
        <v>0</v>
      </c>
    </row>
    <row r="61" spans="1:6" ht="47.25" x14ac:dyDescent="0.25">
      <c r="A61" s="391">
        <v>51</v>
      </c>
      <c r="B61" s="154" t="str">
        <f>IF(C61&gt;0,VLOOKUP(C61,Направление!A$1:B$4591,2))</f>
        <v>Межбюджетные трансферты на обеспечение поддержки деятельности социально-ориентированных некоммерческих организаций</v>
      </c>
      <c r="C61" s="384">
        <v>29516</v>
      </c>
      <c r="D61" s="439">
        <f>SUMIFS(Пр12!H$10:H$619,Пр12!$E$10:$E$619,C61)</f>
        <v>350000</v>
      </c>
      <c r="E61" s="440">
        <f>SUMIFS(Пр12!J$10:J$619,Пр12!$E$10:$E$619,D61)</f>
        <v>0</v>
      </c>
      <c r="F61" s="440">
        <f>SUMIFS(Пр12!K$10:K$619,Пр12!$E$10:$E$619,E61)</f>
        <v>0</v>
      </c>
    </row>
    <row r="62" spans="1:6" ht="31.5" hidden="1" x14ac:dyDescent="0.25">
      <c r="A62" s="391">
        <v>52</v>
      </c>
      <c r="B62" s="154" t="str">
        <f>IF(C62&gt;0,VLOOKUP(C62,Направление!A$1:B$4591,2))</f>
        <v>Межбюджетные трансферты на обеспечение мероприятий по организации населению услуг торговли</v>
      </c>
      <c r="C62" s="384">
        <v>29526</v>
      </c>
      <c r="D62" s="439">
        <f>SUMIFS(Пр12!H$10:H$619,Пр12!$E$10:$E$619,C62)</f>
        <v>0</v>
      </c>
      <c r="E62" s="440">
        <f>SUMIFS(Пр12!J$10:J$619,Пр12!$E$10:$E$619,D62)</f>
        <v>0</v>
      </c>
      <c r="F62" s="440">
        <f>SUMIFS(Пр12!K$10:K$619,Пр12!$E$10:$E$619,E62)</f>
        <v>0</v>
      </c>
    </row>
    <row r="63" spans="1:6" ht="31.5" hidden="1" x14ac:dyDescent="0.25">
      <c r="A63" s="391">
        <v>53</v>
      </c>
      <c r="B63" s="154" t="str">
        <f>IF(C63&gt;0,VLOOKUP(C63,Направление!A$1:B$4591,2))</f>
        <v>Межбюджетные трансферты на обеспечение мероприятий по актуализации схем теплоснабжения</v>
      </c>
      <c r="C63" s="384">
        <v>29536</v>
      </c>
      <c r="D63" s="439">
        <f>SUMIFS(Пр12!H$10:H$619,Пр12!$E$10:$E$619,C63)</f>
        <v>0</v>
      </c>
      <c r="E63" s="440">
        <f>SUMIFS(Пр12!J$10:J$619,Пр12!$E$10:$E$619,D63)</f>
        <v>0</v>
      </c>
      <c r="F63" s="440">
        <f>SUMIFS(Пр12!K$10:K$619,Пр12!$E$10:$E$619,E63)</f>
        <v>0</v>
      </c>
    </row>
    <row r="64" spans="1:6" ht="31.5" hidden="1" x14ac:dyDescent="0.25">
      <c r="A64" s="391">
        <v>54</v>
      </c>
      <c r="B64" s="154" t="str">
        <f>IF(C64&gt;0,VLOOKUP(C64,Направление!A$1:B$4591,2))</f>
        <v>Межбюджетные трансферты на обеспечение участия  по  сбору   и  транспортированию ТКО и КГО</v>
      </c>
      <c r="C64" s="384">
        <v>29546</v>
      </c>
      <c r="D64" s="439">
        <f>SUMIFS(Пр12!H$10:H$619,Пр12!$E$10:$E$619,C64)</f>
        <v>0</v>
      </c>
      <c r="E64" s="440">
        <f>SUMIFS(Пр12!J$10:J$619,Пр12!$E$10:$E$619,D64)</f>
        <v>0</v>
      </c>
      <c r="F64" s="440">
        <f>SUMIFS(Пр12!K$10:K$619,Пр12!$E$10:$E$619,E64)</f>
        <v>0</v>
      </c>
    </row>
    <row r="65" spans="1:6" ht="31.5" x14ac:dyDescent="0.25">
      <c r="A65" s="391">
        <v>55</v>
      </c>
      <c r="B65" s="154" t="str">
        <f>IF(C65&gt;0,VLOOKUP(C65,Направление!A$1:B$4591,2))</f>
        <v>Межбюджетные трансферты на обеспечение  обязательств  по содержанию казны поселения</v>
      </c>
      <c r="C65" s="384">
        <v>29556</v>
      </c>
      <c r="D65" s="439">
        <f>SUMIFS(Пр12!H$10:H$619,Пр12!$E$10:$E$619,C65)</f>
        <v>877026.32</v>
      </c>
      <c r="E65" s="440">
        <f>SUMIFS(Пр12!J$10:J$619,Пр12!$E$10:$E$619,D65)</f>
        <v>0</v>
      </c>
      <c r="F65" s="440">
        <f>SUMIFS(Пр12!K$10:K$619,Пр12!$E$10:$E$619,E65)</f>
        <v>0</v>
      </c>
    </row>
    <row r="66" spans="1:6" ht="47.25" x14ac:dyDescent="0.25">
      <c r="A66" s="391">
        <v>56</v>
      </c>
      <c r="B66" s="154" t="str">
        <f>IF(C66&gt;0,VLOOKUP(C66,Направление!A$1:B$4591,2))</f>
        <v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v>
      </c>
      <c r="C66" s="384">
        <v>29566</v>
      </c>
      <c r="D66" s="439">
        <f>SUMIFS(Пр12!H$10:H$619,Пр12!$E$10:$E$619,C66)</f>
        <v>1072143.81</v>
      </c>
      <c r="E66" s="440">
        <f>SUMIFS(Пр12!J$10:J$619,Пр12!$E$10:$E$619,D66)</f>
        <v>0</v>
      </c>
      <c r="F66" s="440">
        <f>SUMIFS(Пр12!K$10:K$619,Пр12!$E$10:$E$619,E66)</f>
        <v>0</v>
      </c>
    </row>
    <row r="67" spans="1:6" ht="47.25" hidden="1" x14ac:dyDescent="0.25">
      <c r="A67" s="391">
        <v>57</v>
      </c>
      <c r="B67" s="154" t="str">
        <f>IF(C67&gt;0,VLOOKUP(C67,Направление!A$1:B$4591,2))</f>
        <v>Межбюджетные трансферты на обеспечение мероприятий в области сохранения и восстановления исторического облика населенных пунктов поселений, объектов культурного наследия</v>
      </c>
      <c r="C67" s="384">
        <v>29576</v>
      </c>
      <c r="D67" s="439">
        <f>SUMIFS(Пр12!H$10:H$619,Пр12!$E$10:$E$619,C67)</f>
        <v>0</v>
      </c>
      <c r="E67" s="440">
        <f>SUMIFS(Пр12!J$10:J$619,Пр12!$E$10:$E$619,D67)</f>
        <v>0</v>
      </c>
      <c r="F67" s="440">
        <f>SUMIFS(Пр12!K$10:K$619,Пр12!$E$10:$E$619,E67)</f>
        <v>0</v>
      </c>
    </row>
    <row r="68" spans="1:6" ht="47.25" hidden="1" x14ac:dyDescent="0.25">
      <c r="A68" s="391">
        <v>58</v>
      </c>
      <c r="B68" s="154" t="str">
        <f>IF(C68&gt;0,VLOOKUP(C68,Направление!A$1:B$4591,2))</f>
        <v>Межбюджетные трансферты на обеспечение мероприятий в рамках реализации проекта "Сохранение и развитие малых исторических городов и поселений"</v>
      </c>
      <c r="C68" s="384">
        <v>29586</v>
      </c>
      <c r="D68" s="439">
        <f>SUMIFS(Пр12!H$10:H$619,Пр12!$E$10:$E$619,C68)</f>
        <v>0</v>
      </c>
      <c r="E68" s="440">
        <f>SUMIFS(Пр12!J$10:J$619,Пр12!$E$10:$E$619,D68)</f>
        <v>0</v>
      </c>
      <c r="F68" s="440">
        <f>SUMIFS(Пр12!K$10:K$619,Пр12!$E$10:$E$619,E68)</f>
        <v>0</v>
      </c>
    </row>
    <row r="69" spans="1:6" ht="47.25" hidden="1" x14ac:dyDescent="0.25">
      <c r="A69" s="391">
        <v>59</v>
      </c>
      <c r="B69" s="154" t="str">
        <f>IF(C69&gt;0,VLOOKUP(C69,Направление!A$1:B$4591,2))</f>
        <v>Межбюджетные трансферты на обеспечение мероприятий по оптимизации теплоснабжения с переводом объектов на индивидуальное отопление</v>
      </c>
      <c r="C69" s="384">
        <v>29596</v>
      </c>
      <c r="D69" s="439">
        <f>SUMIFS(Пр12!H$10:H$619,Пр12!$E$10:$E$619,C69)</f>
        <v>0</v>
      </c>
      <c r="E69" s="440">
        <f>SUMIFS(Пр12!J$10:J$619,Пр12!$E$10:$E$619,D69)</f>
        <v>0</v>
      </c>
      <c r="F69" s="440">
        <f>SUMIFS(Пр12!K$10:K$619,Пр12!$E$10:$E$619,E69)</f>
        <v>0</v>
      </c>
    </row>
    <row r="70" spans="1:6" ht="31.5" hidden="1" x14ac:dyDescent="0.25">
      <c r="A70" s="391">
        <v>60</v>
      </c>
      <c r="B70" s="154" t="str">
        <f>IF(C70&gt;0,VLOOKUP(C70,Направление!A$1:B$4591,2))</f>
        <v>Межбюджетные трансферты на обеспечение мероприятий по строительству канатной дороги через р. Волга</v>
      </c>
      <c r="C70" s="384">
        <v>29606</v>
      </c>
      <c r="D70" s="439">
        <f>SUMIFS(Пр12!H$10:H$619,Пр12!$E$10:$E$619,C70)</f>
        <v>0</v>
      </c>
      <c r="E70" s="440">
        <f>SUMIFS(Пр12!J$10:J$619,Пр12!$E$10:$E$619,D70)</f>
        <v>0</v>
      </c>
      <c r="F70" s="440">
        <f>SUMIFS(Пр12!K$10:K$619,Пр12!$E$10:$E$619,E70)</f>
        <v>0</v>
      </c>
    </row>
    <row r="71" spans="1:6" ht="31.5" x14ac:dyDescent="0.25">
      <c r="A71" s="391">
        <v>61</v>
      </c>
      <c r="B71" s="154" t="str">
        <f>IF(C71&gt;0,VLOOKUP(C71,Направление!A$1:B$4591,2))</f>
        <v>Межбюджетные трансферты на обеспечение мероприятий по переработке и утилизации ливневых стоков</v>
      </c>
      <c r="C71" s="384">
        <v>29616</v>
      </c>
      <c r="D71" s="439">
        <f>SUMIFS(Пр12!H$10:H$619,Пр12!$E$10:$E$619,C71)</f>
        <v>1323862.67</v>
      </c>
      <c r="E71" s="440">
        <f>SUMIFS(Пр12!J$10:J$619,Пр12!$E$10:$E$619,D71)</f>
        <v>0</v>
      </c>
      <c r="F71" s="440">
        <f>SUMIFS(Пр12!K$10:K$619,Пр12!$E$10:$E$619,E71)</f>
        <v>0</v>
      </c>
    </row>
    <row r="72" spans="1:6" ht="31.5" hidden="1" x14ac:dyDescent="0.25">
      <c r="A72" s="391">
        <v>62</v>
      </c>
      <c r="B72" s="154" t="str">
        <f>IF(C72&gt;0,VLOOKUP(C72,Направление!A$1:B$4591,2))</f>
        <v>Межбюджетные трансферты на обеспечение мероприятий  по разработке программы транспортной инфраструктуры</v>
      </c>
      <c r="C72" s="384">
        <v>29626</v>
      </c>
      <c r="D72" s="439">
        <f>SUMIFS(Пр12!H$10:H$619,Пр12!$E$10:$E$619,C72)</f>
        <v>0</v>
      </c>
      <c r="E72" s="440">
        <f>SUMIFS(Пр12!J$10:J$619,Пр12!$E$10:$E$619,D72)</f>
        <v>0</v>
      </c>
      <c r="F72" s="440">
        <f>SUMIFS(Пр12!K$10:K$619,Пр12!$E$10:$E$619,E72)</f>
        <v>0</v>
      </c>
    </row>
    <row r="73" spans="1:6" ht="31.5" hidden="1" x14ac:dyDescent="0.25">
      <c r="A73" s="391">
        <v>63</v>
      </c>
      <c r="B73" s="154" t="str">
        <f>IF(C73&gt;0,VLOOKUP(C73,Направление!A$1:B$4591,2))</f>
        <v>Межбюджетные трансферты на обеспечение мероприятий по актуализации схем водоснабжения и водоотведения</v>
      </c>
      <c r="C73" s="384">
        <v>29636</v>
      </c>
      <c r="D73" s="439">
        <f>SUMIFS(Пр12!H$10:H$619,Пр12!$E$10:$E$619,C73)</f>
        <v>0</v>
      </c>
      <c r="E73" s="440">
        <f>SUMIFS(Пр12!J$10:J$619,Пр12!$E$10:$E$619,D73)</f>
        <v>0</v>
      </c>
      <c r="F73" s="440">
        <f>SUMIFS(Пр12!K$10:K$619,Пр12!$E$10:$E$619,E73)</f>
        <v>0</v>
      </c>
    </row>
    <row r="74" spans="1:6" ht="47.25" hidden="1" x14ac:dyDescent="0.25">
      <c r="A74" s="391">
        <v>64</v>
      </c>
      <c r="B74" s="154" t="str">
        <f>IF(C74&gt;0,VLOOKUP(C74,Направление!A$1:B$4591,2))</f>
        <v>Межбюджетные трансферты на обеспечение мероприятий по формированию современной городской среды в области дорожного хозяйства</v>
      </c>
      <c r="C74" s="384">
        <v>29646</v>
      </c>
      <c r="D74" s="439">
        <f>SUMIFS(Пр12!H$10:H$619,Пр12!$E$10:$E$619,C74)</f>
        <v>0</v>
      </c>
      <c r="E74" s="440">
        <f>SUMIFS(Пр12!J$10:J$619,Пр12!$E$10:$E$619,D74)</f>
        <v>0</v>
      </c>
      <c r="F74" s="440">
        <f>SUMIFS(Пр12!K$10:K$619,Пр12!$E$10:$E$619,E74)</f>
        <v>0</v>
      </c>
    </row>
    <row r="75" spans="1:6" ht="47.25" hidden="1" x14ac:dyDescent="0.25">
      <c r="A75" s="391">
        <v>65</v>
      </c>
      <c r="B75" s="154" t="str">
        <f>IF(C75&gt;0,VLOOKUP(C75,Направление!A$1:B$4591,2))</f>
        <v>Межбюджетные трансферты на обеспечение мероприятий по  формированию современной городской среды  в области благоустройства</v>
      </c>
      <c r="C75" s="384">
        <v>29656</v>
      </c>
      <c r="D75" s="439">
        <f>SUMIFS(Пр12!H$10:H$619,Пр12!$E$10:$E$619,C75)</f>
        <v>0</v>
      </c>
      <c r="E75" s="440">
        <f>SUMIFS(Пр12!J$10:J$619,Пр12!$E$10:$E$619,D75)</f>
        <v>0</v>
      </c>
      <c r="F75" s="440">
        <f>SUMIFS(Пр12!K$10:K$619,Пр12!$E$10:$E$619,E75)</f>
        <v>0</v>
      </c>
    </row>
    <row r="76" spans="1:6" ht="47.25" hidden="1" x14ac:dyDescent="0.25">
      <c r="A76" s="391">
        <v>66</v>
      </c>
      <c r="B76" s="154" t="str">
        <f>IF(C76&gt;0,VLOOKUP(C76,Направление!A$1:B$4591,2))</f>
        <v>Межбюджетные трансферты на обеспечение мероприятий по актуализации  границ  особо охраняемых объектов -  памятников природы</v>
      </c>
      <c r="C76" s="384">
        <v>29666</v>
      </c>
      <c r="D76" s="439">
        <f>SUMIFS(Пр12!H$10:H$619,Пр12!$E$10:$E$619,C76)</f>
        <v>0</v>
      </c>
      <c r="E76" s="440">
        <f>SUMIFS(Пр12!J$10:J$619,Пр12!$E$10:$E$619,D76)</f>
        <v>0</v>
      </c>
      <c r="F76" s="440">
        <f>SUMIFS(Пр12!K$10:K$619,Пр12!$E$10:$E$619,E76)</f>
        <v>0</v>
      </c>
    </row>
    <row r="77" spans="1:6" ht="31.5" hidden="1" x14ac:dyDescent="0.25">
      <c r="A77" s="391">
        <v>67</v>
      </c>
      <c r="B77" s="154" t="str">
        <f>IF(C77&gt;0,VLOOKUP(C77,Направление!A$1:B$4591,2))</f>
        <v>Обеспечение мероприятий по обустройству мест массового отдыха в рамках реализации губернаторского проекта «Решаем вместе!»</v>
      </c>
      <c r="C77" s="384">
        <v>29676</v>
      </c>
      <c r="D77" s="439">
        <f>SUMIFS(Пр12!H$10:H$619,Пр12!$E$10:$E$619,C77)</f>
        <v>0</v>
      </c>
      <c r="E77" s="440">
        <f>SUMIFS(Пр12!J$10:J$619,Пр12!$E$10:$E$619,D77)</f>
        <v>0</v>
      </c>
      <c r="F77" s="440">
        <f>SUMIFS(Пр12!K$10:K$619,Пр12!$E$10:$E$619,E77)</f>
        <v>0</v>
      </c>
    </row>
    <row r="78" spans="1:6" ht="31.5" x14ac:dyDescent="0.25">
      <c r="A78" s="391">
        <v>68</v>
      </c>
      <c r="B78" s="154" t="str">
        <f>IF(C78&gt;0,VLOOKUP(C78,Направление!A$1:B$4591,2))</f>
        <v>Межбюджетные трансферты на обеспечение мероприятий по содержанию  военно- мемориального комплекса пл. Юности</v>
      </c>
      <c r="C78" s="384">
        <v>29686</v>
      </c>
      <c r="D78" s="439">
        <f>SUMIFS(Пр12!H$10:H$619,Пр12!$E$10:$E$619,C78)</f>
        <v>123189.47</v>
      </c>
      <c r="E78" s="440">
        <f>SUMIFS(Пр12!J$10:J$619,Пр12!$E$10:$E$619,D78)</f>
        <v>0</v>
      </c>
      <c r="F78" s="440">
        <f>SUMIFS(Пр12!K$10:K$619,Пр12!$E$10:$E$619,E78)</f>
        <v>0</v>
      </c>
    </row>
    <row r="79" spans="1:6" ht="31.5" x14ac:dyDescent="0.25">
      <c r="A79" s="391">
        <v>69</v>
      </c>
      <c r="B79" s="154" t="str">
        <f>IF(C79&gt;0,VLOOKUP(C79,Направление!A$1:B$4591,2))</f>
        <v>Межбюджетные трансферты на обеспечение содержания и организации деятельности в области  дорожного хозяйства</v>
      </c>
      <c r="C79" s="384">
        <v>29696</v>
      </c>
      <c r="D79" s="439">
        <f>SUMIFS(Пр12!H$10:H$619,Пр12!$E$10:$E$619,C79)</f>
        <v>8393119.8000000007</v>
      </c>
      <c r="E79" s="440">
        <f>SUMIFS(Пр12!J$10:J$619,Пр12!$E$10:$E$619,D79)</f>
        <v>0</v>
      </c>
      <c r="F79" s="440">
        <f>SUMIFS(Пр12!K$10:K$619,Пр12!$E$10:$E$619,E79)</f>
        <v>0</v>
      </c>
    </row>
    <row r="80" spans="1:6" ht="31.5" hidden="1" x14ac:dyDescent="0.25">
      <c r="A80" s="391">
        <v>70</v>
      </c>
      <c r="B80" s="154" t="str">
        <f>IF(C80&gt;0,VLOOKUP(C80,Направление!A$1:B$4591,2))</f>
        <v>Межбюджетные трансферты на обеспечение надежного теплоснабжения жилищного фонда городского поселения Тутаев</v>
      </c>
      <c r="C80" s="384">
        <v>29706</v>
      </c>
      <c r="D80" s="439">
        <f>SUMIFS(Пр12!H$10:H$619,Пр12!$E$10:$E$619,C80)</f>
        <v>0</v>
      </c>
      <c r="E80" s="440">
        <f>SUMIFS(Пр12!J$10:J$619,Пр12!$E$10:$E$619,D80)</f>
        <v>0</v>
      </c>
      <c r="F80" s="440">
        <f>SUMIFS(Пр12!K$10:K$619,Пр12!$E$10:$E$619,E80)</f>
        <v>0</v>
      </c>
    </row>
    <row r="81" spans="1:6" ht="31.5" hidden="1" x14ac:dyDescent="0.25">
      <c r="A81" s="391">
        <v>71</v>
      </c>
      <c r="B81" s="154" t="str">
        <f>IF(C81&gt;0,VLOOKUP(C81,Направление!A$1:B$4591,2))</f>
        <v>Межбюджетные трансферты на обеспечение мероприятий  по разработке программы коммунальной  инфраструктуры</v>
      </c>
      <c r="C81" s="384">
        <v>29716</v>
      </c>
      <c r="D81" s="439">
        <f>SUMIFS(Пр12!H$10:H$619,Пр12!$E$10:$E$619,C81)</f>
        <v>0</v>
      </c>
      <c r="E81" s="440">
        <f>SUMIFS(Пр12!J$10:J$619,Пр12!$E$10:$E$619,D81)</f>
        <v>0</v>
      </c>
      <c r="F81" s="440">
        <f>SUMIFS(Пр12!K$10:K$619,Пр12!$E$10:$E$619,E81)</f>
        <v>0</v>
      </c>
    </row>
    <row r="82" spans="1:6" ht="47.25" hidden="1" x14ac:dyDescent="0.25">
      <c r="A82" s="391">
        <v>72</v>
      </c>
      <c r="B82" s="154" t="str">
        <f>IF(C82&gt;0,VLOOKUP(C82,Направление!A$1:B$4591,2))</f>
        <v>Межбюджетные трансферты на обеспечение мероприятий по разработке схем организации дорожного движения в рамках агломерации "Ярославская"</v>
      </c>
      <c r="C82" s="384">
        <v>29726</v>
      </c>
      <c r="D82" s="439">
        <f>SUMIFS(Пр12!H$10:H$619,Пр12!$E$10:$E$619,C82)</f>
        <v>0</v>
      </c>
      <c r="E82" s="440">
        <f>SUMIFS(Пр12!J$10:J$619,Пр12!$E$10:$E$619,D82)</f>
        <v>0</v>
      </c>
      <c r="F82" s="440">
        <f>SUMIFS(Пр12!K$10:K$619,Пр12!$E$10:$E$619,E82)</f>
        <v>0</v>
      </c>
    </row>
    <row r="83" spans="1:6" ht="31.5" hidden="1" x14ac:dyDescent="0.25">
      <c r="A83" s="391">
        <v>73</v>
      </c>
      <c r="B83" s="154" t="str">
        <f>IF(C83&gt;0,VLOOKUP(C83,Направление!A$1:B$4591,2))</f>
        <v>Межбюджетные трансферты на обеспечение мероприятий в области дорожного хозяйства по инициативному бюджетированию</v>
      </c>
      <c r="C83" s="384">
        <v>29736</v>
      </c>
      <c r="D83" s="439">
        <f>SUMIFS(Пр12!H$10:H$619,Пр12!$E$10:$E$619,C83)</f>
        <v>0</v>
      </c>
      <c r="E83" s="440">
        <f>SUMIFS(Пр12!J$10:J$619,Пр12!$E$10:$E$619,D83)</f>
        <v>0</v>
      </c>
      <c r="F83" s="440">
        <f>SUMIFS(Пр12!K$10:K$619,Пр12!$E$10:$E$619,E83)</f>
        <v>0</v>
      </c>
    </row>
    <row r="84" spans="1:6" ht="31.5" hidden="1" x14ac:dyDescent="0.25">
      <c r="A84" s="392">
        <v>74</v>
      </c>
      <c r="B84" s="154" t="str">
        <f>IF(C84&gt;0,VLOOKUP(C84,Направление!A$1:B$4591,2))</f>
        <v>Межбюджетные трансферты на обеспечение мероприятий в области благоустройства  по инициативному  бюджетированию</v>
      </c>
      <c r="C84" s="384">
        <v>29746</v>
      </c>
      <c r="D84" s="439">
        <f>SUMIFS(Пр12!H$10:H$619,Пр12!$E$10:$E$619,C84)</f>
        <v>0</v>
      </c>
      <c r="E84" s="440">
        <f>SUMIFS(Пр12!J$10:J$619,Пр12!$E$10:$E$619,D84)</f>
        <v>0</v>
      </c>
      <c r="F84" s="440">
        <f>SUMIFS(Пр12!K$10:K$619,Пр12!$E$10:$E$619,E84)</f>
        <v>0</v>
      </c>
    </row>
    <row r="85" spans="1:6" ht="48" thickBot="1" x14ac:dyDescent="0.3">
      <c r="A85" s="392">
        <v>75</v>
      </c>
      <c r="B85" s="154" t="str">
        <f>IF(C85&gt;0,VLOOKUP(C85,Направление!A$1:B$4591,2))</f>
        <v>Межбюджетные трансферты на дополнительное пенсионное  обеспечение муниципальных служащих городского поселения Тутаев</v>
      </c>
      <c r="C85" s="384">
        <v>29756</v>
      </c>
      <c r="D85" s="439">
        <f>SUMIFS(Пр12!H$10:H$619,Пр12!$E$10:$E$619,C85)</f>
        <v>318671.40999999997</v>
      </c>
      <c r="E85" s="515">
        <f>SUMIFS(Пр12!J$10:J$619,Пр12!$E$10:$E$619,D85)</f>
        <v>0</v>
      </c>
      <c r="F85" s="441">
        <f>SUMIFS(Пр12!K$10:K$619,Пр12!$E$10:$E$619,E85)</f>
        <v>0</v>
      </c>
    </row>
    <row r="86" spans="1:6" ht="32.25" hidden="1" thickBot="1" x14ac:dyDescent="0.3">
      <c r="A86" s="513"/>
      <c r="B86" s="154" t="str">
        <f>IF(C86&gt;0,VLOOKUP(C86,Направление!A$1:B$4591,2))</f>
        <v>Межбюджетные трансферты на создания комфортной городской среды в малых городах и исторических поселениях</v>
      </c>
      <c r="C86" s="384">
        <v>53116</v>
      </c>
      <c r="D86" s="439">
        <f>SUMIFS(Пр12!H$10:H$619,Пр12!$E$10:$E$619,C86)</f>
        <v>0</v>
      </c>
      <c r="E86" s="516"/>
      <c r="F86" s="514"/>
    </row>
    <row r="87" spans="1:6" ht="32.25" hidden="1" thickBot="1" x14ac:dyDescent="0.3">
      <c r="A87" s="513"/>
      <c r="B87" s="154" t="str">
        <f>IF(C87&gt;0,VLOOKUP(C87,Направление!A$1:B$4591,2))</f>
        <v xml:space="preserve">Межбюджетные трансферты на реализацию регионального проекта "Формирования современной городской среды" </v>
      </c>
      <c r="C87" s="384">
        <v>55556</v>
      </c>
      <c r="D87" s="439">
        <f>SUMIFS(Пр12!H$10:H$619,Пр12!$E$10:$E$619,C87)</f>
        <v>0</v>
      </c>
      <c r="E87" s="516"/>
      <c r="F87" s="514"/>
    </row>
    <row r="88" spans="1:6" ht="16.5" hidden="1" thickBot="1" x14ac:dyDescent="0.3">
      <c r="A88" s="513"/>
      <c r="B88" s="522" t="str">
        <f>IF(C88&gt;0,VLOOKUP(C88,Направление!A$1:B$4591,2))</f>
        <v xml:space="preserve">Финансирование дорожного хозяйства </v>
      </c>
      <c r="C88" s="523" t="s">
        <v>626</v>
      </c>
      <c r="D88" s="439">
        <f>SUMIFS(Пр12!H$10:H$619,Пр12!$E$10:$E$619,C88)</f>
        <v>0</v>
      </c>
      <c r="E88" s="516"/>
      <c r="F88" s="514"/>
    </row>
    <row r="89" spans="1:6" ht="32.25" hidden="1" thickBot="1" x14ac:dyDescent="0.3">
      <c r="A89" s="518"/>
      <c r="B89" s="522" t="str">
        <f>IF(C89&gt;0,VLOOKUP(C89,Направление!A$1:B$4591,2))</f>
        <v>Комплексное развитие транспортной инфраструктуры городской агломерации «Ярославская»</v>
      </c>
      <c r="C89" s="523" t="s">
        <v>628</v>
      </c>
      <c r="D89" s="439">
        <f>SUMIFS(Пр12!H$10:H$619,Пр12!$E$10:$E$619,C89)</f>
        <v>0</v>
      </c>
      <c r="E89" s="516"/>
      <c r="F89" s="514"/>
    </row>
    <row r="90" spans="1:6" ht="16.5" thickBot="1" x14ac:dyDescent="0.3">
      <c r="A90" s="517"/>
      <c r="B90" s="519" t="s">
        <v>270</v>
      </c>
      <c r="C90" s="520"/>
      <c r="D90" s="521">
        <f>SUM(D10:F89)</f>
        <v>50401036.631685928</v>
      </c>
      <c r="E90" s="442">
        <f t="shared" ref="E90:F90" si="1">SUM(E10:E85)</f>
        <v>5.8916859340348227</v>
      </c>
      <c r="F90" s="442">
        <f t="shared" si="1"/>
        <v>0</v>
      </c>
    </row>
  </sheetData>
  <autoFilter ref="A9:F90">
    <filterColumn colId="3">
      <filters>
        <filter val="1 072 144"/>
        <filter val="1 323 863"/>
        <filter val="1 920 572"/>
        <filter val="123 189"/>
        <filter val="23 000"/>
        <filter val="24 973"/>
        <filter val="26 548"/>
        <filter val="29 300"/>
        <filter val="318 671"/>
        <filter val="339 000"/>
        <filter val="350 000"/>
        <filter val="395 565"/>
        <filter val="42 125"/>
        <filter val="420 795"/>
        <filter val="482 184"/>
        <filter val="50 401 031"/>
        <filter val="550 193"/>
        <filter val="565 200"/>
        <filter val="6 470 242"/>
        <filter val="8 340 540"/>
        <filter val="8 393 120"/>
        <filter val="8 685 581"/>
        <filter val="8 764 700"/>
        <filter val="862 500"/>
        <filter val="877 026"/>
      </filters>
    </filterColumn>
  </autoFilter>
  <mergeCells count="5">
    <mergeCell ref="B1:F1"/>
    <mergeCell ref="B2:F2"/>
    <mergeCell ref="B3:F3"/>
    <mergeCell ref="B4:F4"/>
    <mergeCell ref="B7:F7"/>
  </mergeCells>
  <printOptions gridLinesSet="0"/>
  <pageMargins left="0.70866141732283472" right="0.70866141732283472" top="0.74803149606299213" bottom="0.74803149606299213" header="0.51181102362204722" footer="0.51181102362204722"/>
  <pageSetup paperSize="9" scale="75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28" sqref="A28"/>
    </sheetView>
  </sheetViews>
  <sheetFormatPr defaultColWidth="9.140625" defaultRowHeight="12.75" x14ac:dyDescent="0.2"/>
  <cols>
    <col min="1" max="1" width="59" style="51" customWidth="1"/>
    <col min="2" max="3" width="0" style="51" hidden="1" customWidth="1"/>
    <col min="4" max="4" width="14.85546875" style="51" customWidth="1"/>
    <col min="5" max="5" width="14.42578125" style="51" customWidth="1"/>
    <col min="6" max="16384" width="9.140625" style="51"/>
  </cols>
  <sheetData/>
  <printOptions gridLinesSet="0"/>
  <pageMargins left="0.70866141732283472" right="0.70866141732283472" top="0.74803149606299213" bottom="0.74803149606299213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8"/>
  <sheetViews>
    <sheetView topLeftCell="A1153" workbookViewId="0">
      <selection activeCell="B1011" sqref="B1011"/>
    </sheetView>
  </sheetViews>
  <sheetFormatPr defaultRowHeight="12.75" x14ac:dyDescent="0.2"/>
  <cols>
    <col min="1" max="1" width="6.5703125" style="84" customWidth="1"/>
    <col min="2" max="2" width="85.7109375" style="83" customWidth="1"/>
  </cols>
  <sheetData>
    <row r="1" spans="1:2" hidden="1" x14ac:dyDescent="0.2">
      <c r="A1" s="84" t="s">
        <v>296</v>
      </c>
      <c r="B1" s="83" t="s">
        <v>297</v>
      </c>
    </row>
    <row r="2" spans="1:2" hidden="1" x14ac:dyDescent="0.2">
      <c r="A2" s="85" t="s">
        <v>298</v>
      </c>
      <c r="B2" s="86" t="s">
        <v>299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5" hidden="1" customHeight="1" x14ac:dyDescent="0.2"/>
    <row r="998" spans="1:2" hidden="1" x14ac:dyDescent="0.2"/>
    <row r="999" spans="1:2" hidden="1" x14ac:dyDescent="0.2"/>
    <row r="1000" spans="1:2" x14ac:dyDescent="0.2">
      <c r="A1000" s="87">
        <v>0</v>
      </c>
      <c r="B1000" s="88" t="s">
        <v>300</v>
      </c>
    </row>
    <row r="1001" spans="1:2" x14ac:dyDescent="0.2">
      <c r="A1001" s="87">
        <v>4</v>
      </c>
      <c r="B1001" s="88" t="s">
        <v>301</v>
      </c>
    </row>
    <row r="1002" spans="1:2" x14ac:dyDescent="0.2">
      <c r="A1002" s="87">
        <v>20</v>
      </c>
      <c r="B1002" s="88" t="s">
        <v>302</v>
      </c>
    </row>
    <row r="1003" spans="1:2" x14ac:dyDescent="0.2">
      <c r="A1003" s="87">
        <v>22</v>
      </c>
      <c r="B1003" s="88" t="s">
        <v>303</v>
      </c>
    </row>
    <row r="1004" spans="1:2" x14ac:dyDescent="0.2">
      <c r="A1004" s="87">
        <v>29</v>
      </c>
      <c r="B1004" s="88" t="s">
        <v>304</v>
      </c>
    </row>
    <row r="1005" spans="1:2" x14ac:dyDescent="0.2">
      <c r="A1005" s="87">
        <v>48</v>
      </c>
      <c r="B1005" s="88" t="s">
        <v>305</v>
      </c>
    </row>
    <row r="1006" spans="1:2" x14ac:dyDescent="0.2">
      <c r="A1006" s="87">
        <v>50</v>
      </c>
      <c r="B1006" s="88" t="s">
        <v>306</v>
      </c>
    </row>
    <row r="1007" spans="1:2" x14ac:dyDescent="0.2">
      <c r="A1007" s="87">
        <v>53</v>
      </c>
      <c r="B1007" s="88" t="s">
        <v>307</v>
      </c>
    </row>
    <row r="1008" spans="1:2" x14ac:dyDescent="0.2">
      <c r="A1008" s="87">
        <v>54</v>
      </c>
      <c r="B1008" s="88" t="s">
        <v>308</v>
      </c>
    </row>
    <row r="1009" spans="1:2" x14ac:dyDescent="0.2">
      <c r="A1009" s="87">
        <v>56</v>
      </c>
      <c r="B1009" s="88" t="s">
        <v>309</v>
      </c>
    </row>
    <row r="1010" spans="1:2" x14ac:dyDescent="0.2">
      <c r="A1010" s="87">
        <v>58</v>
      </c>
      <c r="B1010" s="88" t="s">
        <v>310</v>
      </c>
    </row>
    <row r="1011" spans="1:2" x14ac:dyDescent="0.2">
      <c r="A1011" s="87">
        <v>70</v>
      </c>
      <c r="B1011" s="88" t="s">
        <v>311</v>
      </c>
    </row>
    <row r="1012" spans="1:2" x14ac:dyDescent="0.2">
      <c r="A1012" s="87">
        <v>71</v>
      </c>
      <c r="B1012" s="88" t="s">
        <v>312</v>
      </c>
    </row>
    <row r="1013" spans="1:2" x14ac:dyDescent="0.2">
      <c r="A1013" s="87">
        <v>72</v>
      </c>
      <c r="B1013" s="88" t="s">
        <v>313</v>
      </c>
    </row>
    <row r="1014" spans="1:2" x14ac:dyDescent="0.2">
      <c r="A1014" s="87">
        <v>75</v>
      </c>
      <c r="B1014" s="88" t="s">
        <v>314</v>
      </c>
    </row>
    <row r="1015" spans="1:2" x14ac:dyDescent="0.2">
      <c r="A1015" s="87">
        <v>76</v>
      </c>
      <c r="B1015" s="88" t="s">
        <v>315</v>
      </c>
    </row>
    <row r="1016" spans="1:2" x14ac:dyDescent="0.2">
      <c r="A1016" s="87">
        <v>78</v>
      </c>
      <c r="B1016" s="88" t="s">
        <v>316</v>
      </c>
    </row>
    <row r="1017" spans="1:2" x14ac:dyDescent="0.2">
      <c r="A1017" s="87">
        <v>81</v>
      </c>
      <c r="B1017" s="88" t="s">
        <v>317</v>
      </c>
    </row>
    <row r="1018" spans="1:2" x14ac:dyDescent="0.2">
      <c r="A1018" s="87">
        <v>82</v>
      </c>
      <c r="B1018" s="88" t="s">
        <v>318</v>
      </c>
    </row>
    <row r="1019" spans="1:2" x14ac:dyDescent="0.2">
      <c r="A1019" s="87">
        <v>83</v>
      </c>
      <c r="B1019" s="88" t="s">
        <v>319</v>
      </c>
    </row>
    <row r="1020" spans="1:2" x14ac:dyDescent="0.2">
      <c r="A1020" s="87">
        <v>85</v>
      </c>
      <c r="B1020" s="88" t="s">
        <v>320</v>
      </c>
    </row>
    <row r="1021" spans="1:2" x14ac:dyDescent="0.2">
      <c r="A1021" s="87">
        <v>89</v>
      </c>
      <c r="B1021" s="88" t="s">
        <v>321</v>
      </c>
    </row>
    <row r="1022" spans="1:2" x14ac:dyDescent="0.2">
      <c r="A1022" s="87">
        <v>92</v>
      </c>
      <c r="B1022" s="88" t="s">
        <v>322</v>
      </c>
    </row>
    <row r="1023" spans="1:2" x14ac:dyDescent="0.2">
      <c r="A1023" s="87">
        <v>99</v>
      </c>
      <c r="B1023" s="88" t="s">
        <v>323</v>
      </c>
    </row>
    <row r="1024" spans="1:2" x14ac:dyDescent="0.2">
      <c r="A1024" s="87">
        <v>104</v>
      </c>
      <c r="B1024" s="88" t="s">
        <v>324</v>
      </c>
    </row>
    <row r="1025" spans="1:2" x14ac:dyDescent="0.2">
      <c r="A1025" s="87">
        <v>125</v>
      </c>
      <c r="B1025" s="88" t="s">
        <v>325</v>
      </c>
    </row>
    <row r="1026" spans="1:2" x14ac:dyDescent="0.2">
      <c r="A1026" s="87">
        <v>126</v>
      </c>
      <c r="B1026" s="88" t="s">
        <v>326</v>
      </c>
    </row>
    <row r="1027" spans="1:2" x14ac:dyDescent="0.2">
      <c r="A1027" s="87">
        <v>128</v>
      </c>
      <c r="B1027" s="88" t="s">
        <v>327</v>
      </c>
    </row>
    <row r="1028" spans="1:2" x14ac:dyDescent="0.2">
      <c r="A1028" s="87">
        <v>129</v>
      </c>
      <c r="B1028" s="88" t="s">
        <v>328</v>
      </c>
    </row>
    <row r="1029" spans="1:2" ht="25.5" x14ac:dyDescent="0.2">
      <c r="A1029" s="87">
        <v>133</v>
      </c>
      <c r="B1029" s="88" t="s">
        <v>329</v>
      </c>
    </row>
    <row r="1030" spans="1:2" ht="25.5" x14ac:dyDescent="0.2">
      <c r="A1030" s="87">
        <v>134</v>
      </c>
      <c r="B1030" s="88" t="s">
        <v>330</v>
      </c>
    </row>
    <row r="1031" spans="1:2" x14ac:dyDescent="0.2">
      <c r="A1031" s="87">
        <v>136</v>
      </c>
      <c r="B1031" s="88" t="s">
        <v>331</v>
      </c>
    </row>
    <row r="1032" spans="1:2" x14ac:dyDescent="0.2">
      <c r="A1032" s="87">
        <v>139</v>
      </c>
      <c r="B1032" s="88" t="s">
        <v>332</v>
      </c>
    </row>
    <row r="1033" spans="1:2" x14ac:dyDescent="0.2">
      <c r="A1033" s="87">
        <v>140</v>
      </c>
      <c r="B1033" s="88" t="s">
        <v>333</v>
      </c>
    </row>
    <row r="1034" spans="1:2" x14ac:dyDescent="0.2">
      <c r="A1034" s="87">
        <v>141</v>
      </c>
      <c r="B1034" s="88" t="s">
        <v>334</v>
      </c>
    </row>
    <row r="1035" spans="1:2" x14ac:dyDescent="0.2">
      <c r="A1035" s="87">
        <v>142</v>
      </c>
      <c r="B1035" s="88" t="s">
        <v>335</v>
      </c>
    </row>
    <row r="1036" spans="1:2" x14ac:dyDescent="0.2">
      <c r="A1036" s="87">
        <v>148</v>
      </c>
      <c r="B1036" s="88" t="s">
        <v>336</v>
      </c>
    </row>
    <row r="1037" spans="1:2" x14ac:dyDescent="0.2">
      <c r="A1037" s="87">
        <v>149</v>
      </c>
      <c r="B1037" s="88" t="s">
        <v>337</v>
      </c>
    </row>
    <row r="1038" spans="1:2" x14ac:dyDescent="0.2">
      <c r="A1038" s="87">
        <v>152</v>
      </c>
      <c r="B1038" s="88" t="s">
        <v>338</v>
      </c>
    </row>
    <row r="1039" spans="1:2" x14ac:dyDescent="0.2">
      <c r="A1039" s="87">
        <v>153</v>
      </c>
      <c r="B1039" s="88" t="s">
        <v>339</v>
      </c>
    </row>
    <row r="1040" spans="1:2" x14ac:dyDescent="0.2">
      <c r="A1040" s="87">
        <v>154</v>
      </c>
      <c r="B1040" s="88" t="s">
        <v>340</v>
      </c>
    </row>
    <row r="1041" spans="1:2" x14ac:dyDescent="0.2">
      <c r="A1041" s="87">
        <v>156</v>
      </c>
      <c r="B1041" s="88" t="s">
        <v>341</v>
      </c>
    </row>
    <row r="1042" spans="1:2" x14ac:dyDescent="0.2">
      <c r="A1042" s="87">
        <v>157</v>
      </c>
      <c r="B1042" s="88" t="s">
        <v>342</v>
      </c>
    </row>
    <row r="1043" spans="1:2" x14ac:dyDescent="0.2">
      <c r="A1043" s="87">
        <v>158</v>
      </c>
      <c r="B1043" s="88" t="s">
        <v>343</v>
      </c>
    </row>
    <row r="1044" spans="1:2" x14ac:dyDescent="0.2">
      <c r="A1044" s="87">
        <v>159</v>
      </c>
      <c r="B1044" s="88" t="s">
        <v>344</v>
      </c>
    </row>
    <row r="1045" spans="1:2" x14ac:dyDescent="0.2">
      <c r="A1045" s="87">
        <v>160</v>
      </c>
      <c r="B1045" s="88" t="s">
        <v>345</v>
      </c>
    </row>
    <row r="1046" spans="1:2" x14ac:dyDescent="0.2">
      <c r="A1046" s="87">
        <v>162</v>
      </c>
      <c r="B1046" s="88" t="s">
        <v>346</v>
      </c>
    </row>
    <row r="1047" spans="1:2" x14ac:dyDescent="0.2">
      <c r="A1047" s="87">
        <v>163</v>
      </c>
      <c r="B1047" s="88" t="s">
        <v>347</v>
      </c>
    </row>
    <row r="1048" spans="1:2" x14ac:dyDescent="0.2">
      <c r="A1048" s="87">
        <v>164</v>
      </c>
      <c r="B1048" s="88" t="s">
        <v>348</v>
      </c>
    </row>
    <row r="1049" spans="1:2" x14ac:dyDescent="0.2">
      <c r="A1049" s="87">
        <v>165</v>
      </c>
      <c r="B1049" s="88" t="s">
        <v>349</v>
      </c>
    </row>
    <row r="1050" spans="1:2" ht="25.5" x14ac:dyDescent="0.2">
      <c r="A1050" s="87">
        <v>166</v>
      </c>
      <c r="B1050" s="88" t="s">
        <v>350</v>
      </c>
    </row>
    <row r="1051" spans="1:2" ht="25.5" x14ac:dyDescent="0.2">
      <c r="A1051" s="87">
        <v>177</v>
      </c>
      <c r="B1051" s="88" t="s">
        <v>351</v>
      </c>
    </row>
    <row r="1052" spans="1:2" x14ac:dyDescent="0.2">
      <c r="A1052" s="87">
        <v>181</v>
      </c>
      <c r="B1052" s="88" t="s">
        <v>352</v>
      </c>
    </row>
    <row r="1053" spans="1:2" x14ac:dyDescent="0.2">
      <c r="A1053" s="87">
        <v>182</v>
      </c>
      <c r="B1053" s="88" t="s">
        <v>353</v>
      </c>
    </row>
    <row r="1054" spans="1:2" x14ac:dyDescent="0.2">
      <c r="A1054" s="87">
        <v>184</v>
      </c>
      <c r="B1054" s="88" t="s">
        <v>354</v>
      </c>
    </row>
    <row r="1055" spans="1:2" x14ac:dyDescent="0.2">
      <c r="A1055" s="87">
        <v>186</v>
      </c>
      <c r="B1055" s="88" t="s">
        <v>355</v>
      </c>
    </row>
    <row r="1056" spans="1:2" x14ac:dyDescent="0.2">
      <c r="A1056" s="87">
        <v>187</v>
      </c>
      <c r="B1056" s="88" t="s">
        <v>356</v>
      </c>
    </row>
    <row r="1057" spans="1:2" x14ac:dyDescent="0.2">
      <c r="A1057" s="87">
        <v>188</v>
      </c>
      <c r="B1057" s="88" t="s">
        <v>357</v>
      </c>
    </row>
    <row r="1058" spans="1:2" x14ac:dyDescent="0.2">
      <c r="A1058" s="87">
        <v>189</v>
      </c>
      <c r="B1058" s="88" t="s">
        <v>358</v>
      </c>
    </row>
    <row r="1059" spans="1:2" x14ac:dyDescent="0.2">
      <c r="A1059" s="87">
        <v>190</v>
      </c>
      <c r="B1059" s="88" t="s">
        <v>359</v>
      </c>
    </row>
    <row r="1060" spans="1:2" x14ac:dyDescent="0.2">
      <c r="A1060" s="87">
        <v>192</v>
      </c>
      <c r="B1060" s="88" t="s">
        <v>360</v>
      </c>
    </row>
    <row r="1061" spans="1:2" x14ac:dyDescent="0.2">
      <c r="A1061" s="87">
        <v>197</v>
      </c>
      <c r="B1061" s="88" t="s">
        <v>361</v>
      </c>
    </row>
    <row r="1062" spans="1:2" x14ac:dyDescent="0.2">
      <c r="A1062" s="87">
        <v>202</v>
      </c>
      <c r="B1062" s="88" t="s">
        <v>362</v>
      </c>
    </row>
    <row r="1063" spans="1:2" ht="25.5" x14ac:dyDescent="0.2">
      <c r="A1063" s="87">
        <v>206</v>
      </c>
      <c r="B1063" s="88" t="s">
        <v>363</v>
      </c>
    </row>
    <row r="1064" spans="1:2" x14ac:dyDescent="0.2">
      <c r="A1064" s="87">
        <v>207</v>
      </c>
      <c r="B1064" s="88" t="s">
        <v>364</v>
      </c>
    </row>
    <row r="1065" spans="1:2" x14ac:dyDescent="0.2">
      <c r="A1065" s="87">
        <v>226</v>
      </c>
      <c r="B1065" s="88" t="s">
        <v>365</v>
      </c>
    </row>
    <row r="1066" spans="1:2" x14ac:dyDescent="0.2">
      <c r="A1066" s="87">
        <v>258</v>
      </c>
      <c r="B1066" s="88" t="s">
        <v>366</v>
      </c>
    </row>
    <row r="1067" spans="1:2" x14ac:dyDescent="0.2">
      <c r="A1067" s="87">
        <v>262</v>
      </c>
      <c r="B1067" s="88" t="s">
        <v>367</v>
      </c>
    </row>
    <row r="1068" spans="1:2" x14ac:dyDescent="0.2">
      <c r="A1068" s="87">
        <v>263</v>
      </c>
      <c r="B1068" s="88" t="s">
        <v>368</v>
      </c>
    </row>
    <row r="1069" spans="1:2" x14ac:dyDescent="0.2">
      <c r="A1069" s="87">
        <v>279</v>
      </c>
      <c r="B1069" s="88" t="s">
        <v>369</v>
      </c>
    </row>
    <row r="1070" spans="1:2" x14ac:dyDescent="0.2">
      <c r="A1070" s="87">
        <v>302</v>
      </c>
      <c r="B1070" s="88" t="s">
        <v>370</v>
      </c>
    </row>
    <row r="1071" spans="1:2" x14ac:dyDescent="0.2">
      <c r="A1071" s="87">
        <v>303</v>
      </c>
      <c r="B1071" s="88" t="s">
        <v>371</v>
      </c>
    </row>
    <row r="1072" spans="1:2" x14ac:dyDescent="0.2">
      <c r="A1072" s="87">
        <v>304</v>
      </c>
      <c r="B1072" s="88" t="s">
        <v>372</v>
      </c>
    </row>
    <row r="1073" spans="1:2" x14ac:dyDescent="0.2">
      <c r="A1073" s="87">
        <v>305</v>
      </c>
      <c r="B1073" s="88" t="s">
        <v>373</v>
      </c>
    </row>
    <row r="1074" spans="1:2" x14ac:dyDescent="0.2">
      <c r="A1074" s="87">
        <v>306</v>
      </c>
      <c r="B1074" s="88" t="s">
        <v>374</v>
      </c>
    </row>
    <row r="1075" spans="1:2" x14ac:dyDescent="0.2">
      <c r="A1075" s="87">
        <v>308</v>
      </c>
      <c r="B1075" s="88" t="s">
        <v>375</v>
      </c>
    </row>
    <row r="1076" spans="1:2" x14ac:dyDescent="0.2">
      <c r="A1076" s="87">
        <v>310</v>
      </c>
      <c r="B1076" s="88" t="s">
        <v>376</v>
      </c>
    </row>
    <row r="1077" spans="1:2" x14ac:dyDescent="0.2">
      <c r="A1077" s="87">
        <v>316</v>
      </c>
      <c r="B1077" s="88" t="s">
        <v>377</v>
      </c>
    </row>
    <row r="1078" spans="1:2" x14ac:dyDescent="0.2">
      <c r="A1078" s="87">
        <v>318</v>
      </c>
      <c r="B1078" s="88" t="s">
        <v>378</v>
      </c>
    </row>
    <row r="1079" spans="1:2" x14ac:dyDescent="0.2">
      <c r="A1079" s="87">
        <v>319</v>
      </c>
      <c r="B1079" s="88" t="s">
        <v>379</v>
      </c>
    </row>
    <row r="1080" spans="1:2" x14ac:dyDescent="0.2">
      <c r="A1080" s="87">
        <v>320</v>
      </c>
      <c r="B1080" s="88" t="s">
        <v>380</v>
      </c>
    </row>
    <row r="1081" spans="1:2" x14ac:dyDescent="0.2">
      <c r="A1081" s="87">
        <v>321</v>
      </c>
      <c r="B1081" s="88" t="s">
        <v>381</v>
      </c>
    </row>
    <row r="1082" spans="1:2" x14ac:dyDescent="0.2">
      <c r="A1082" s="87">
        <v>322</v>
      </c>
      <c r="B1082" s="88" t="s">
        <v>382</v>
      </c>
    </row>
    <row r="1083" spans="1:2" x14ac:dyDescent="0.2">
      <c r="A1083" s="87">
        <v>330</v>
      </c>
      <c r="B1083" s="88" t="s">
        <v>383</v>
      </c>
    </row>
    <row r="1084" spans="1:2" x14ac:dyDescent="0.2">
      <c r="A1084" s="87">
        <v>333</v>
      </c>
      <c r="B1084" s="88" t="s">
        <v>384</v>
      </c>
    </row>
    <row r="1085" spans="1:2" x14ac:dyDescent="0.2">
      <c r="A1085" s="87">
        <v>352</v>
      </c>
      <c r="B1085" s="88" t="s">
        <v>385</v>
      </c>
    </row>
    <row r="1086" spans="1:2" x14ac:dyDescent="0.2">
      <c r="A1086" s="87">
        <v>386</v>
      </c>
      <c r="B1086" s="88" t="s">
        <v>386</v>
      </c>
    </row>
    <row r="1087" spans="1:2" ht="25.5" x14ac:dyDescent="0.2">
      <c r="A1087" s="87">
        <v>387</v>
      </c>
      <c r="B1087" s="88" t="s">
        <v>387</v>
      </c>
    </row>
    <row r="1088" spans="1:2" x14ac:dyDescent="0.2">
      <c r="A1088" s="87">
        <v>392</v>
      </c>
      <c r="B1088" s="88" t="s">
        <v>388</v>
      </c>
    </row>
    <row r="1089" spans="1:2" x14ac:dyDescent="0.2">
      <c r="A1089" s="87">
        <v>393</v>
      </c>
      <c r="B1089" s="88" t="s">
        <v>389</v>
      </c>
    </row>
    <row r="1090" spans="1:2" x14ac:dyDescent="0.2">
      <c r="A1090" s="87">
        <v>397</v>
      </c>
      <c r="B1090" s="88" t="s">
        <v>390</v>
      </c>
    </row>
    <row r="1091" spans="1:2" x14ac:dyDescent="0.2">
      <c r="A1091" s="87">
        <v>401</v>
      </c>
      <c r="B1091" s="88" t="s">
        <v>391</v>
      </c>
    </row>
    <row r="1092" spans="1:2" x14ac:dyDescent="0.2">
      <c r="A1092" s="87">
        <v>409</v>
      </c>
      <c r="B1092" s="88" t="s">
        <v>392</v>
      </c>
    </row>
    <row r="1093" spans="1:2" x14ac:dyDescent="0.2">
      <c r="A1093" s="87">
        <v>415</v>
      </c>
      <c r="B1093" s="88" t="s">
        <v>393</v>
      </c>
    </row>
    <row r="1094" spans="1:2" x14ac:dyDescent="0.2">
      <c r="A1094" s="87">
        <v>423</v>
      </c>
      <c r="B1094" s="88" t="s">
        <v>394</v>
      </c>
    </row>
    <row r="1095" spans="1:2" x14ac:dyDescent="0.2">
      <c r="A1095" s="87">
        <v>424</v>
      </c>
      <c r="B1095" s="88" t="s">
        <v>395</v>
      </c>
    </row>
    <row r="1096" spans="1:2" x14ac:dyDescent="0.2">
      <c r="A1096" s="87">
        <v>425</v>
      </c>
      <c r="B1096" s="88" t="s">
        <v>396</v>
      </c>
    </row>
    <row r="1097" spans="1:2" x14ac:dyDescent="0.2">
      <c r="A1097" s="87">
        <v>434</v>
      </c>
      <c r="B1097" s="88" t="s">
        <v>397</v>
      </c>
    </row>
    <row r="1098" spans="1:2" x14ac:dyDescent="0.2">
      <c r="A1098" s="87">
        <v>436</v>
      </c>
      <c r="B1098" s="88" t="s">
        <v>398</v>
      </c>
    </row>
    <row r="1099" spans="1:2" x14ac:dyDescent="0.2">
      <c r="A1099" s="87">
        <v>437</v>
      </c>
      <c r="B1099" s="88" t="s">
        <v>399</v>
      </c>
    </row>
    <row r="1100" spans="1:2" x14ac:dyDescent="0.2">
      <c r="A1100" s="87">
        <v>438</v>
      </c>
      <c r="B1100" s="88" t="s">
        <v>400</v>
      </c>
    </row>
    <row r="1101" spans="1:2" x14ac:dyDescent="0.2">
      <c r="A1101" s="87">
        <v>464</v>
      </c>
      <c r="B1101" s="88" t="s">
        <v>401</v>
      </c>
    </row>
    <row r="1102" spans="1:2" x14ac:dyDescent="0.2">
      <c r="A1102" s="87">
        <v>486</v>
      </c>
      <c r="B1102" s="88" t="s">
        <v>402</v>
      </c>
    </row>
    <row r="1103" spans="1:2" x14ac:dyDescent="0.2">
      <c r="A1103" s="87">
        <v>494</v>
      </c>
      <c r="B1103" s="88" t="s">
        <v>403</v>
      </c>
    </row>
    <row r="1104" spans="1:2" x14ac:dyDescent="0.2">
      <c r="A1104" s="87">
        <v>497</v>
      </c>
      <c r="B1104" s="88" t="s">
        <v>404</v>
      </c>
    </row>
    <row r="1105" spans="1:2" x14ac:dyDescent="0.2">
      <c r="A1105" s="87">
        <v>498</v>
      </c>
      <c r="B1105" s="88" t="s">
        <v>405</v>
      </c>
    </row>
    <row r="1106" spans="1:2" x14ac:dyDescent="0.2">
      <c r="A1106" s="87">
        <v>520</v>
      </c>
      <c r="B1106" s="88" t="s">
        <v>406</v>
      </c>
    </row>
    <row r="1107" spans="1:2" x14ac:dyDescent="0.2">
      <c r="A1107" s="87">
        <v>573</v>
      </c>
      <c r="B1107" s="88" t="s">
        <v>407</v>
      </c>
    </row>
    <row r="1108" spans="1:2" x14ac:dyDescent="0.2">
      <c r="A1108" s="87">
        <v>588</v>
      </c>
      <c r="B1108" s="88" t="s">
        <v>408</v>
      </c>
    </row>
    <row r="1109" spans="1:2" x14ac:dyDescent="0.2">
      <c r="A1109" s="87">
        <v>589</v>
      </c>
      <c r="B1109" s="88" t="s">
        <v>409</v>
      </c>
    </row>
    <row r="1110" spans="1:2" x14ac:dyDescent="0.2">
      <c r="A1110" s="87">
        <v>591</v>
      </c>
      <c r="B1110" s="88" t="s">
        <v>410</v>
      </c>
    </row>
    <row r="1111" spans="1:2" x14ac:dyDescent="0.2">
      <c r="A1111" s="87">
        <v>597</v>
      </c>
      <c r="B1111" s="88" t="s">
        <v>411</v>
      </c>
    </row>
    <row r="1112" spans="1:2" x14ac:dyDescent="0.2">
      <c r="A1112" s="87">
        <v>653</v>
      </c>
      <c r="B1112" s="88" t="s">
        <v>412</v>
      </c>
    </row>
    <row r="1113" spans="1:2" x14ac:dyDescent="0.2">
      <c r="A1113" s="87">
        <v>665</v>
      </c>
      <c r="B1113" s="88" t="s">
        <v>413</v>
      </c>
    </row>
    <row r="1114" spans="1:2" x14ac:dyDescent="0.2">
      <c r="A1114" s="87">
        <v>677</v>
      </c>
      <c r="B1114" s="88" t="s">
        <v>414</v>
      </c>
    </row>
    <row r="1115" spans="1:2" x14ac:dyDescent="0.2">
      <c r="A1115" s="87">
        <v>693</v>
      </c>
      <c r="B1115" s="88" t="s">
        <v>415</v>
      </c>
    </row>
    <row r="1116" spans="1:2" x14ac:dyDescent="0.2">
      <c r="A1116" s="87">
        <v>720</v>
      </c>
      <c r="B1116" s="88" t="s">
        <v>416</v>
      </c>
    </row>
    <row r="1117" spans="1:2" x14ac:dyDescent="0.2">
      <c r="A1117" s="87">
        <v>721</v>
      </c>
      <c r="B1117" s="88" t="s">
        <v>417</v>
      </c>
    </row>
    <row r="1118" spans="1:2" ht="25.5" x14ac:dyDescent="0.2">
      <c r="A1118" s="87">
        <v>722</v>
      </c>
      <c r="B1118" s="88" t="s">
        <v>418</v>
      </c>
    </row>
    <row r="1119" spans="1:2" x14ac:dyDescent="0.2">
      <c r="A1119" s="87">
        <v>801</v>
      </c>
      <c r="B1119" s="88" t="s">
        <v>419</v>
      </c>
    </row>
    <row r="1120" spans="1:2" x14ac:dyDescent="0.2">
      <c r="A1120" s="87">
        <v>804</v>
      </c>
      <c r="B1120" s="88" t="s">
        <v>420</v>
      </c>
    </row>
    <row r="1121" spans="1:2" ht="25.5" x14ac:dyDescent="0.2">
      <c r="A1121" s="87">
        <v>807</v>
      </c>
      <c r="B1121" s="88" t="s">
        <v>421</v>
      </c>
    </row>
    <row r="1122" spans="1:2" x14ac:dyDescent="0.2">
      <c r="A1122" s="87">
        <v>812</v>
      </c>
      <c r="B1122" s="88" t="s">
        <v>422</v>
      </c>
    </row>
    <row r="1123" spans="1:2" x14ac:dyDescent="0.2">
      <c r="A1123" s="87">
        <v>905</v>
      </c>
      <c r="B1123" s="88" t="s">
        <v>423</v>
      </c>
    </row>
    <row r="1124" spans="1:2" x14ac:dyDescent="0.2">
      <c r="A1124" s="87">
        <v>906</v>
      </c>
      <c r="B1124" s="88" t="s">
        <v>424</v>
      </c>
    </row>
    <row r="1125" spans="1:2" x14ac:dyDescent="0.2">
      <c r="A1125" s="87">
        <v>914</v>
      </c>
      <c r="B1125" s="88" t="s">
        <v>425</v>
      </c>
    </row>
    <row r="1126" spans="1:2" x14ac:dyDescent="0.2">
      <c r="A1126" s="87">
        <v>932</v>
      </c>
      <c r="B1126" s="88" t="s">
        <v>426</v>
      </c>
    </row>
    <row r="1127" spans="1:2" x14ac:dyDescent="0.2">
      <c r="A1127" s="87">
        <v>950</v>
      </c>
      <c r="B1127" s="88" t="s">
        <v>246</v>
      </c>
    </row>
    <row r="1128" spans="1:2" x14ac:dyDescent="0.2">
      <c r="A1128" s="87">
        <v>951</v>
      </c>
      <c r="B1128" s="88" t="s">
        <v>427</v>
      </c>
    </row>
    <row r="1129" spans="1:2" x14ac:dyDescent="0.2">
      <c r="A1129" s="87">
        <v>952</v>
      </c>
      <c r="B1129" s="88" t="s">
        <v>250</v>
      </c>
    </row>
    <row r="1130" spans="1:2" x14ac:dyDescent="0.2">
      <c r="A1130" s="87">
        <v>953</v>
      </c>
      <c r="B1130" s="88" t="s">
        <v>251</v>
      </c>
    </row>
    <row r="1131" spans="1:2" x14ac:dyDescent="0.2">
      <c r="A1131" s="87">
        <v>954</v>
      </c>
      <c r="B1131" s="88" t="s">
        <v>257</v>
      </c>
    </row>
    <row r="1132" spans="1:2" x14ac:dyDescent="0.2">
      <c r="A1132" s="87">
        <v>955</v>
      </c>
      <c r="B1132" s="88" t="s">
        <v>258</v>
      </c>
    </row>
    <row r="1133" spans="1:2" x14ac:dyDescent="0.2">
      <c r="A1133" s="87">
        <v>956</v>
      </c>
      <c r="B1133" s="88" t="s">
        <v>261</v>
      </c>
    </row>
    <row r="1134" spans="1:2" x14ac:dyDescent="0.2">
      <c r="A1134" s="87">
        <v>957</v>
      </c>
      <c r="B1134" s="88" t="s">
        <v>428</v>
      </c>
    </row>
    <row r="1135" spans="1:2" x14ac:dyDescent="0.2">
      <c r="A1135" s="87">
        <v>958</v>
      </c>
      <c r="B1135" s="88" t="s">
        <v>264</v>
      </c>
    </row>
    <row r="1136" spans="1:2" x14ac:dyDescent="0.2">
      <c r="A1136" s="87">
        <v>959</v>
      </c>
      <c r="B1136" s="88" t="s">
        <v>429</v>
      </c>
    </row>
    <row r="1137" spans="1:2" x14ac:dyDescent="0.2">
      <c r="A1137" s="87">
        <v>960</v>
      </c>
      <c r="B1137" s="88" t="s">
        <v>430</v>
      </c>
    </row>
    <row r="1138" spans="1:2" x14ac:dyDescent="0.2">
      <c r="A1138" s="87">
        <v>961</v>
      </c>
      <c r="B1138" s="88" t="s">
        <v>431</v>
      </c>
    </row>
    <row r="1139" spans="1:2" x14ac:dyDescent="0.2">
      <c r="A1139" s="87">
        <v>962</v>
      </c>
      <c r="B1139" s="88" t="s">
        <v>432</v>
      </c>
    </row>
    <row r="1140" spans="1:2" x14ac:dyDescent="0.2">
      <c r="A1140" s="87">
        <v>963</v>
      </c>
      <c r="B1140" s="88" t="s">
        <v>433</v>
      </c>
    </row>
    <row r="1141" spans="1:2" x14ac:dyDescent="0.2">
      <c r="A1141" s="87">
        <v>964</v>
      </c>
      <c r="B1141" s="88" t="s">
        <v>434</v>
      </c>
    </row>
    <row r="1142" spans="1:2" x14ac:dyDescent="0.2">
      <c r="A1142" s="87">
        <v>965</v>
      </c>
      <c r="B1142" s="88" t="s">
        <v>435</v>
      </c>
    </row>
    <row r="1143" spans="1:2" x14ac:dyDescent="0.2">
      <c r="A1143" s="87">
        <v>966</v>
      </c>
      <c r="B1143" s="88" t="s">
        <v>436</v>
      </c>
    </row>
    <row r="1144" spans="1:2" x14ac:dyDescent="0.2">
      <c r="A1144" s="87">
        <v>967</v>
      </c>
      <c r="B1144" s="88" t="s">
        <v>437</v>
      </c>
    </row>
    <row r="1145" spans="1:2" x14ac:dyDescent="0.2">
      <c r="A1145" s="87">
        <v>968</v>
      </c>
      <c r="B1145" s="88" t="s">
        <v>438</v>
      </c>
    </row>
    <row r="1146" spans="1:2" x14ac:dyDescent="0.2">
      <c r="A1146" s="87">
        <v>969</v>
      </c>
      <c r="B1146" s="88" t="s">
        <v>439</v>
      </c>
    </row>
    <row r="1147" spans="1:2" x14ac:dyDescent="0.2">
      <c r="A1147" s="87">
        <v>970</v>
      </c>
      <c r="B1147" s="88" t="s">
        <v>440</v>
      </c>
    </row>
    <row r="1148" spans="1:2" x14ac:dyDescent="0.2">
      <c r="A1148" s="87">
        <v>971</v>
      </c>
      <c r="B1148" s="88" t="s">
        <v>441</v>
      </c>
    </row>
    <row r="1149" spans="1:2" x14ac:dyDescent="0.2">
      <c r="A1149" s="87">
        <v>972</v>
      </c>
      <c r="B1149" s="88" t="s">
        <v>442</v>
      </c>
    </row>
    <row r="1150" spans="1:2" x14ac:dyDescent="0.2">
      <c r="A1150" s="87">
        <v>973</v>
      </c>
      <c r="B1150" s="88" t="s">
        <v>443</v>
      </c>
    </row>
    <row r="1151" spans="1:2" x14ac:dyDescent="0.2">
      <c r="A1151" s="87">
        <v>974</v>
      </c>
      <c r="B1151" s="88" t="s">
        <v>444</v>
      </c>
    </row>
    <row r="1152" spans="1:2" x14ac:dyDescent="0.2">
      <c r="A1152" s="87">
        <v>975</v>
      </c>
      <c r="B1152" s="88" t="s">
        <v>445</v>
      </c>
    </row>
    <row r="1153" spans="1:2" x14ac:dyDescent="0.2">
      <c r="A1153" s="87">
        <v>976</v>
      </c>
      <c r="B1153" s="88" t="s">
        <v>446</v>
      </c>
    </row>
    <row r="1154" spans="1:2" x14ac:dyDescent="0.2">
      <c r="A1154" s="87">
        <v>977</v>
      </c>
      <c r="B1154" s="88" t="s">
        <v>447</v>
      </c>
    </row>
    <row r="1155" spans="1:2" x14ac:dyDescent="0.2">
      <c r="A1155" s="87">
        <v>978</v>
      </c>
      <c r="B1155" s="88" t="s">
        <v>448</v>
      </c>
    </row>
    <row r="1156" spans="1:2" x14ac:dyDescent="0.2">
      <c r="A1156" s="87">
        <v>979</v>
      </c>
      <c r="B1156" s="88" t="s">
        <v>449</v>
      </c>
    </row>
    <row r="1157" spans="1:2" x14ac:dyDescent="0.2">
      <c r="A1157" s="87">
        <v>980</v>
      </c>
      <c r="B1157" s="88" t="s">
        <v>450</v>
      </c>
    </row>
    <row r="1158" spans="1:2" x14ac:dyDescent="0.2">
      <c r="A1158" s="87">
        <v>981</v>
      </c>
      <c r="B1158" s="88" t="s">
        <v>451</v>
      </c>
    </row>
    <row r="1159" spans="1:2" x14ac:dyDescent="0.2">
      <c r="A1159" s="87">
        <v>982</v>
      </c>
      <c r="B1159" s="88" t="s">
        <v>269</v>
      </c>
    </row>
    <row r="1160" spans="1:2" x14ac:dyDescent="0.2">
      <c r="A1160" s="87">
        <v>983</v>
      </c>
      <c r="B1160" s="88" t="s">
        <v>452</v>
      </c>
    </row>
    <row r="1161" spans="1:2" x14ac:dyDescent="0.2">
      <c r="A1161" s="87">
        <v>984</v>
      </c>
      <c r="B1161" s="88" t="s">
        <v>453</v>
      </c>
    </row>
    <row r="1162" spans="1:2" x14ac:dyDescent="0.2">
      <c r="A1162" s="87">
        <v>985</v>
      </c>
      <c r="B1162" s="88" t="s">
        <v>454</v>
      </c>
    </row>
    <row r="1163" spans="1:2" x14ac:dyDescent="0.2">
      <c r="A1163" s="87">
        <v>986</v>
      </c>
      <c r="B1163" s="88" t="s">
        <v>455</v>
      </c>
    </row>
    <row r="1164" spans="1:2" x14ac:dyDescent="0.2">
      <c r="A1164" s="87">
        <v>987</v>
      </c>
      <c r="B1164" s="88" t="s">
        <v>456</v>
      </c>
    </row>
    <row r="1165" spans="1:2" x14ac:dyDescent="0.2">
      <c r="A1165" s="87">
        <v>988</v>
      </c>
      <c r="B1165" s="88" t="s">
        <v>457</v>
      </c>
    </row>
    <row r="1166" spans="1:2" x14ac:dyDescent="0.2">
      <c r="A1166" s="87">
        <v>989</v>
      </c>
      <c r="B1166" s="88" t="s">
        <v>458</v>
      </c>
    </row>
    <row r="1167" spans="1:2" x14ac:dyDescent="0.2">
      <c r="A1167" s="84">
        <v>995</v>
      </c>
      <c r="B1167" s="83" t="s">
        <v>455</v>
      </c>
    </row>
    <row r="1168" spans="1:2" x14ac:dyDescent="0.2">
      <c r="A1168" s="84">
        <v>993</v>
      </c>
      <c r="B1168" s="83" t="s">
        <v>725</v>
      </c>
    </row>
  </sheetData>
  <printOptions gridLines="1"/>
  <pageMargins left="0.75" right="0.75" top="1" bottom="1" header="0.5" footer="0.5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view="pageBreakPreview" zoomScaleSheetLayoutView="100" workbookViewId="0">
      <selection activeCell="K7" sqref="K7"/>
    </sheetView>
  </sheetViews>
  <sheetFormatPr defaultColWidth="9.140625" defaultRowHeight="15" x14ac:dyDescent="0.2"/>
  <cols>
    <col min="1" max="1" width="5.140625" style="223" bestFit="1" customWidth="1"/>
    <col min="2" max="2" width="3" style="223" bestFit="1" customWidth="1"/>
    <col min="3" max="4" width="3.42578125" style="223" customWidth="1"/>
    <col min="5" max="5" width="6.85546875" style="223" customWidth="1"/>
    <col min="6" max="6" width="3" style="223" customWidth="1"/>
    <col min="7" max="7" width="5.85546875" style="254" customWidth="1"/>
    <col min="8" max="8" width="4.85546875" style="223" bestFit="1" customWidth="1"/>
    <col min="9" max="9" width="46.85546875" style="227" customWidth="1"/>
    <col min="10" max="10" width="14.85546875" style="227" hidden="1" customWidth="1"/>
    <col min="11" max="11" width="15.28515625" style="224" customWidth="1"/>
    <col min="12" max="12" width="4.85546875" style="224" hidden="1" customWidth="1"/>
    <col min="13" max="16384" width="9.140625" style="224"/>
  </cols>
  <sheetData>
    <row r="1" spans="1:12" ht="15.75" x14ac:dyDescent="0.25">
      <c r="G1" s="593" t="s">
        <v>70</v>
      </c>
      <c r="H1" s="593"/>
      <c r="I1" s="593"/>
      <c r="J1" s="593"/>
      <c r="K1" s="593"/>
      <c r="L1" s="593"/>
    </row>
    <row r="2" spans="1:12" ht="15.75" x14ac:dyDescent="0.25">
      <c r="G2" s="593" t="s">
        <v>930</v>
      </c>
      <c r="H2" s="593"/>
      <c r="I2" s="593"/>
      <c r="J2" s="593"/>
      <c r="K2" s="593"/>
      <c r="L2" s="593"/>
    </row>
    <row r="3" spans="1:12" ht="15.75" x14ac:dyDescent="0.25">
      <c r="G3" s="593" t="s">
        <v>901</v>
      </c>
      <c r="H3" s="593"/>
      <c r="I3" s="593"/>
      <c r="J3" s="593"/>
      <c r="K3" s="593"/>
      <c r="L3" s="593"/>
    </row>
    <row r="4" spans="1:12" ht="15.75" x14ac:dyDescent="0.25">
      <c r="G4" s="593" t="s">
        <v>935</v>
      </c>
      <c r="H4" s="593"/>
      <c r="I4" s="593"/>
      <c r="J4" s="593"/>
      <c r="K4" s="593"/>
      <c r="L4" s="593"/>
    </row>
    <row r="5" spans="1:12" ht="15.75" x14ac:dyDescent="0.2">
      <c r="G5" s="225"/>
      <c r="H5" s="226"/>
    </row>
    <row r="6" spans="1:12" ht="50.25" customHeight="1" x14ac:dyDescent="0.2">
      <c r="A6" s="594" t="s">
        <v>902</v>
      </c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</row>
    <row r="7" spans="1:12" ht="18" customHeight="1" x14ac:dyDescent="0.2">
      <c r="G7" s="228"/>
      <c r="H7" s="229"/>
      <c r="I7" s="229"/>
    </row>
    <row r="8" spans="1:12" ht="18.75" hidden="1" x14ac:dyDescent="0.2">
      <c r="G8" s="228"/>
      <c r="H8" s="229"/>
      <c r="I8" s="229"/>
    </row>
    <row r="9" spans="1:12" ht="15.75" customHeight="1" x14ac:dyDescent="0.2">
      <c r="A9" s="592" t="s">
        <v>3</v>
      </c>
      <c r="B9" s="592"/>
      <c r="C9" s="592"/>
      <c r="D9" s="592"/>
      <c r="E9" s="592"/>
      <c r="F9" s="592"/>
      <c r="G9" s="592"/>
      <c r="H9" s="592"/>
      <c r="I9" s="592" t="s">
        <v>4</v>
      </c>
      <c r="J9" s="592" t="s">
        <v>5</v>
      </c>
      <c r="K9" s="592" t="s">
        <v>929</v>
      </c>
      <c r="L9" s="592" t="s">
        <v>5</v>
      </c>
    </row>
    <row r="10" spans="1:12" ht="131.25" customHeight="1" x14ac:dyDescent="0.2">
      <c r="A10" s="230" t="s">
        <v>6</v>
      </c>
      <c r="B10" s="230" t="s">
        <v>7</v>
      </c>
      <c r="C10" s="230" t="s">
        <v>8</v>
      </c>
      <c r="D10" s="230" t="s">
        <v>9</v>
      </c>
      <c r="E10" s="231" t="s">
        <v>10</v>
      </c>
      <c r="F10" s="230" t="s">
        <v>11</v>
      </c>
      <c r="G10" s="232" t="s">
        <v>12</v>
      </c>
      <c r="H10" s="231" t="s">
        <v>13</v>
      </c>
      <c r="I10" s="592"/>
      <c r="J10" s="592"/>
      <c r="K10" s="592"/>
      <c r="L10" s="592"/>
    </row>
    <row r="11" spans="1:12" s="236" customFormat="1" ht="15.75" x14ac:dyDescent="0.2">
      <c r="A11" s="233" t="s">
        <v>14</v>
      </c>
      <c r="B11" s="233" t="s">
        <v>15</v>
      </c>
      <c r="C11" s="233" t="s">
        <v>16</v>
      </c>
      <c r="D11" s="233" t="s">
        <v>16</v>
      </c>
      <c r="E11" s="233" t="s">
        <v>14</v>
      </c>
      <c r="F11" s="233" t="s">
        <v>16</v>
      </c>
      <c r="G11" s="233" t="s">
        <v>17</v>
      </c>
      <c r="H11" s="233" t="s">
        <v>14</v>
      </c>
      <c r="I11" s="234" t="s">
        <v>726</v>
      </c>
      <c r="J11" s="235">
        <f>J12+J14+J16+J18+J21+J28+J30+J36+J38</f>
        <v>108971000</v>
      </c>
      <c r="K11" s="235">
        <f>K12+K14+K16+K18+K21+K28+K30+K36+K38</f>
        <v>45158906.879999995</v>
      </c>
      <c r="L11" s="235">
        <f>SUM(J11:K11)</f>
        <v>154129906.88</v>
      </c>
    </row>
    <row r="12" spans="1:12" s="236" customFormat="1" ht="15.75" x14ac:dyDescent="0.2">
      <c r="A12" s="233" t="s">
        <v>14</v>
      </c>
      <c r="B12" s="233" t="s">
        <v>15</v>
      </c>
      <c r="C12" s="233" t="s">
        <v>18</v>
      </c>
      <c r="D12" s="233" t="s">
        <v>16</v>
      </c>
      <c r="E12" s="233" t="s">
        <v>14</v>
      </c>
      <c r="F12" s="233" t="s">
        <v>16</v>
      </c>
      <c r="G12" s="233" t="s">
        <v>17</v>
      </c>
      <c r="H12" s="233" t="s">
        <v>14</v>
      </c>
      <c r="I12" s="234" t="s">
        <v>19</v>
      </c>
      <c r="J12" s="237">
        <f>J13</f>
        <v>44860000</v>
      </c>
      <c r="K12" s="237">
        <f>K13</f>
        <v>21697167.07</v>
      </c>
      <c r="L12" s="235">
        <f t="shared" ref="L12:L36" si="0">SUM(J12:K12)</f>
        <v>66557167.07</v>
      </c>
    </row>
    <row r="13" spans="1:12" s="236" customFormat="1" ht="15.75" x14ac:dyDescent="0.2">
      <c r="A13" s="238" t="s">
        <v>20</v>
      </c>
      <c r="B13" s="238" t="s">
        <v>15</v>
      </c>
      <c r="C13" s="238" t="s">
        <v>18</v>
      </c>
      <c r="D13" s="238" t="s">
        <v>21</v>
      </c>
      <c r="E13" s="238" t="s">
        <v>14</v>
      </c>
      <c r="F13" s="238" t="s">
        <v>18</v>
      </c>
      <c r="G13" s="238" t="s">
        <v>17</v>
      </c>
      <c r="H13" s="238" t="s">
        <v>22</v>
      </c>
      <c r="I13" s="239" t="s">
        <v>23</v>
      </c>
      <c r="J13" s="240">
        <v>44860000</v>
      </c>
      <c r="K13" s="240">
        <v>21697167.07</v>
      </c>
      <c r="L13" s="241">
        <f t="shared" si="0"/>
        <v>66557167.07</v>
      </c>
    </row>
    <row r="14" spans="1:12" s="236" customFormat="1" ht="47.25" x14ac:dyDescent="0.2">
      <c r="A14" s="233" t="s">
        <v>26</v>
      </c>
      <c r="B14" s="233" t="s">
        <v>15</v>
      </c>
      <c r="C14" s="233" t="s">
        <v>24</v>
      </c>
      <c r="D14" s="233" t="s">
        <v>16</v>
      </c>
      <c r="E14" s="233" t="s">
        <v>14</v>
      </c>
      <c r="F14" s="233" t="s">
        <v>16</v>
      </c>
      <c r="G14" s="233" t="s">
        <v>17</v>
      </c>
      <c r="H14" s="233" t="s">
        <v>14</v>
      </c>
      <c r="I14" s="234" t="s">
        <v>25</v>
      </c>
      <c r="J14" s="237">
        <f>J15</f>
        <v>1907000</v>
      </c>
      <c r="K14" s="237">
        <f t="shared" ref="K14" si="1">K15</f>
        <v>1001432.83</v>
      </c>
      <c r="L14" s="235">
        <f t="shared" si="0"/>
        <v>2908432.83</v>
      </c>
    </row>
    <row r="15" spans="1:12" s="236" customFormat="1" ht="47.25" x14ac:dyDescent="0.2">
      <c r="A15" s="238" t="s">
        <v>26</v>
      </c>
      <c r="B15" s="238" t="s">
        <v>15</v>
      </c>
      <c r="C15" s="238" t="s">
        <v>24</v>
      </c>
      <c r="D15" s="238" t="s">
        <v>21</v>
      </c>
      <c r="E15" s="238" t="s">
        <v>14</v>
      </c>
      <c r="F15" s="238" t="s">
        <v>18</v>
      </c>
      <c r="G15" s="238" t="s">
        <v>17</v>
      </c>
      <c r="H15" s="238" t="s">
        <v>22</v>
      </c>
      <c r="I15" s="239" t="s">
        <v>27</v>
      </c>
      <c r="J15" s="240">
        <v>1907000</v>
      </c>
      <c r="K15" s="240">
        <v>1001432.83</v>
      </c>
      <c r="L15" s="241">
        <f t="shared" si="0"/>
        <v>2908432.83</v>
      </c>
    </row>
    <row r="16" spans="1:12" ht="15.75" x14ac:dyDescent="0.2">
      <c r="A16" s="233" t="s">
        <v>14</v>
      </c>
      <c r="B16" s="233" t="s">
        <v>15</v>
      </c>
      <c r="C16" s="233" t="s">
        <v>28</v>
      </c>
      <c r="D16" s="233" t="s">
        <v>16</v>
      </c>
      <c r="E16" s="233" t="s">
        <v>14</v>
      </c>
      <c r="F16" s="233" t="s">
        <v>16</v>
      </c>
      <c r="G16" s="242" t="s">
        <v>17</v>
      </c>
      <c r="H16" s="242" t="s">
        <v>14</v>
      </c>
      <c r="I16" s="234" t="s">
        <v>29</v>
      </c>
      <c r="J16" s="243">
        <f>J17</f>
        <v>113000</v>
      </c>
      <c r="K16" s="243">
        <f>K17</f>
        <v>39840.29</v>
      </c>
      <c r="L16" s="235">
        <f t="shared" si="0"/>
        <v>152840.29</v>
      </c>
    </row>
    <row r="17" spans="1:12" ht="15.75" x14ac:dyDescent="0.2">
      <c r="A17" s="238" t="s">
        <v>20</v>
      </c>
      <c r="B17" s="238" t="s">
        <v>15</v>
      </c>
      <c r="C17" s="238" t="s">
        <v>28</v>
      </c>
      <c r="D17" s="238" t="s">
        <v>24</v>
      </c>
      <c r="E17" s="238" t="s">
        <v>14</v>
      </c>
      <c r="F17" s="238" t="s">
        <v>18</v>
      </c>
      <c r="G17" s="244" t="s">
        <v>17</v>
      </c>
      <c r="H17" s="244" t="s">
        <v>22</v>
      </c>
      <c r="I17" s="239" t="s">
        <v>30</v>
      </c>
      <c r="J17" s="240">
        <v>113000</v>
      </c>
      <c r="K17" s="240">
        <v>39840.29</v>
      </c>
      <c r="L17" s="241">
        <f t="shared" si="0"/>
        <v>152840.29</v>
      </c>
    </row>
    <row r="18" spans="1:12" ht="15.75" x14ac:dyDescent="0.2">
      <c r="A18" s="233" t="s">
        <v>14</v>
      </c>
      <c r="B18" s="233" t="s">
        <v>15</v>
      </c>
      <c r="C18" s="233" t="s">
        <v>48</v>
      </c>
      <c r="D18" s="233" t="s">
        <v>16</v>
      </c>
      <c r="E18" s="233" t="s">
        <v>14</v>
      </c>
      <c r="F18" s="233" t="s">
        <v>16</v>
      </c>
      <c r="G18" s="242" t="s">
        <v>17</v>
      </c>
      <c r="H18" s="242" t="s">
        <v>14</v>
      </c>
      <c r="I18" s="234" t="s">
        <v>727</v>
      </c>
      <c r="J18" s="243">
        <f>J19+J20</f>
        <v>47137000</v>
      </c>
      <c r="K18" s="243">
        <f t="shared" ref="K18" si="2">K19+K20</f>
        <v>15537440.77</v>
      </c>
      <c r="L18" s="235">
        <f t="shared" si="0"/>
        <v>62674440.769999996</v>
      </c>
    </row>
    <row r="19" spans="1:12" ht="15.75" x14ac:dyDescent="0.2">
      <c r="A19" s="238" t="s">
        <v>20</v>
      </c>
      <c r="B19" s="238" t="s">
        <v>15</v>
      </c>
      <c r="C19" s="238" t="s">
        <v>48</v>
      </c>
      <c r="D19" s="238" t="s">
        <v>18</v>
      </c>
      <c r="E19" s="238" t="s">
        <v>14</v>
      </c>
      <c r="F19" s="238" t="s">
        <v>16</v>
      </c>
      <c r="G19" s="244" t="s">
        <v>17</v>
      </c>
      <c r="H19" s="244" t="s">
        <v>22</v>
      </c>
      <c r="I19" s="239" t="s">
        <v>728</v>
      </c>
      <c r="J19" s="240">
        <v>16717000</v>
      </c>
      <c r="K19" s="240">
        <v>1524590.73</v>
      </c>
      <c r="L19" s="241">
        <f t="shared" si="0"/>
        <v>18241590.73</v>
      </c>
    </row>
    <row r="20" spans="1:12" ht="15.75" x14ac:dyDescent="0.2">
      <c r="A20" s="238" t="s">
        <v>20</v>
      </c>
      <c r="B20" s="238" t="s">
        <v>15</v>
      </c>
      <c r="C20" s="238" t="s">
        <v>48</v>
      </c>
      <c r="D20" s="238" t="s">
        <v>48</v>
      </c>
      <c r="E20" s="238" t="s">
        <v>14</v>
      </c>
      <c r="F20" s="238" t="s">
        <v>16</v>
      </c>
      <c r="G20" s="244" t="s">
        <v>17</v>
      </c>
      <c r="H20" s="244" t="s">
        <v>22</v>
      </c>
      <c r="I20" s="239" t="s">
        <v>729</v>
      </c>
      <c r="J20" s="240">
        <v>30420000</v>
      </c>
      <c r="K20" s="240">
        <v>14012850.039999999</v>
      </c>
      <c r="L20" s="241">
        <f t="shared" si="0"/>
        <v>44432850.039999999</v>
      </c>
    </row>
    <row r="21" spans="1:12" ht="47.25" x14ac:dyDescent="0.2">
      <c r="A21" s="233" t="s">
        <v>14</v>
      </c>
      <c r="B21" s="233" t="s">
        <v>15</v>
      </c>
      <c r="C21" s="233" t="s">
        <v>33</v>
      </c>
      <c r="D21" s="233" t="s">
        <v>16</v>
      </c>
      <c r="E21" s="233" t="s">
        <v>14</v>
      </c>
      <c r="F21" s="233" t="s">
        <v>16</v>
      </c>
      <c r="G21" s="242" t="s">
        <v>17</v>
      </c>
      <c r="H21" s="242" t="s">
        <v>14</v>
      </c>
      <c r="I21" s="234" t="s">
        <v>34</v>
      </c>
      <c r="J21" s="243">
        <f>J22+J26</f>
        <v>13754000</v>
      </c>
      <c r="K21" s="243">
        <f>K22+K26</f>
        <v>4861615.5</v>
      </c>
      <c r="L21" s="235">
        <f t="shared" si="0"/>
        <v>18615615.5</v>
      </c>
    </row>
    <row r="22" spans="1:12" s="250" customFormat="1" ht="141.75" x14ac:dyDescent="0.25">
      <c r="A22" s="245" t="s">
        <v>14</v>
      </c>
      <c r="B22" s="245" t="s">
        <v>15</v>
      </c>
      <c r="C22" s="245" t="s">
        <v>33</v>
      </c>
      <c r="D22" s="245" t="s">
        <v>28</v>
      </c>
      <c r="E22" s="245" t="s">
        <v>14</v>
      </c>
      <c r="F22" s="245" t="s">
        <v>16</v>
      </c>
      <c r="G22" s="246" t="s">
        <v>17</v>
      </c>
      <c r="H22" s="246" t="s">
        <v>35</v>
      </c>
      <c r="I22" s="247" t="s">
        <v>37</v>
      </c>
      <c r="J22" s="248">
        <f>J23+J24</f>
        <v>6840000</v>
      </c>
      <c r="K22" s="248">
        <f>K23+K24+K25</f>
        <v>1557966.1400000001</v>
      </c>
      <c r="L22" s="249">
        <f t="shared" si="0"/>
        <v>8397966.1400000006</v>
      </c>
    </row>
    <row r="23" spans="1:12" s="250" customFormat="1" ht="94.5" x14ac:dyDescent="0.25">
      <c r="A23" s="238" t="s">
        <v>14</v>
      </c>
      <c r="B23" s="238" t="s">
        <v>15</v>
      </c>
      <c r="C23" s="238" t="s">
        <v>33</v>
      </c>
      <c r="D23" s="238" t="s">
        <v>28</v>
      </c>
      <c r="E23" s="238" t="s">
        <v>38</v>
      </c>
      <c r="F23" s="238" t="s">
        <v>16</v>
      </c>
      <c r="G23" s="244" t="s">
        <v>17</v>
      </c>
      <c r="H23" s="244" t="s">
        <v>35</v>
      </c>
      <c r="I23" s="239" t="s">
        <v>39</v>
      </c>
      <c r="J23" s="251">
        <v>6040000</v>
      </c>
      <c r="K23" s="251">
        <v>1254540.6100000001</v>
      </c>
      <c r="L23" s="241">
        <f t="shared" si="0"/>
        <v>7294540.6100000003</v>
      </c>
    </row>
    <row r="24" spans="1:12" s="250" customFormat="1" ht="126" x14ac:dyDescent="0.25">
      <c r="A24" s="238" t="s">
        <v>14</v>
      </c>
      <c r="B24" s="238" t="s">
        <v>15</v>
      </c>
      <c r="C24" s="238" t="s">
        <v>33</v>
      </c>
      <c r="D24" s="238" t="s">
        <v>28</v>
      </c>
      <c r="E24" s="238" t="s">
        <v>730</v>
      </c>
      <c r="F24" s="238" t="s">
        <v>16</v>
      </c>
      <c r="G24" s="244" t="s">
        <v>17</v>
      </c>
      <c r="H24" s="244" t="s">
        <v>35</v>
      </c>
      <c r="I24" s="239" t="s">
        <v>731</v>
      </c>
      <c r="J24" s="251">
        <v>800000</v>
      </c>
      <c r="K24" s="251">
        <v>208242.47</v>
      </c>
      <c r="L24" s="241">
        <f t="shared" si="0"/>
        <v>1008242.47</v>
      </c>
    </row>
    <row r="25" spans="1:12" s="250" customFormat="1" ht="51.75" customHeight="1" x14ac:dyDescent="0.25">
      <c r="A25" s="238" t="s">
        <v>14</v>
      </c>
      <c r="B25" s="238" t="s">
        <v>15</v>
      </c>
      <c r="C25" s="238" t="s">
        <v>33</v>
      </c>
      <c r="D25" s="238" t="s">
        <v>28</v>
      </c>
      <c r="E25" s="238" t="s">
        <v>908</v>
      </c>
      <c r="F25" s="238" t="s">
        <v>16</v>
      </c>
      <c r="G25" s="244" t="s">
        <v>17</v>
      </c>
      <c r="H25" s="244" t="s">
        <v>35</v>
      </c>
      <c r="I25" s="239" t="s">
        <v>907</v>
      </c>
      <c r="J25" s="251"/>
      <c r="K25" s="251">
        <v>95183.06</v>
      </c>
      <c r="L25" s="241"/>
    </row>
    <row r="26" spans="1:12" s="250" customFormat="1" ht="126" x14ac:dyDescent="0.25">
      <c r="A26" s="245" t="s">
        <v>14</v>
      </c>
      <c r="B26" s="245" t="s">
        <v>15</v>
      </c>
      <c r="C26" s="245" t="s">
        <v>33</v>
      </c>
      <c r="D26" s="245" t="s">
        <v>31</v>
      </c>
      <c r="E26" s="245" t="s">
        <v>14</v>
      </c>
      <c r="F26" s="245" t="s">
        <v>16</v>
      </c>
      <c r="G26" s="246" t="s">
        <v>17</v>
      </c>
      <c r="H26" s="246" t="s">
        <v>35</v>
      </c>
      <c r="I26" s="247" t="s">
        <v>733</v>
      </c>
      <c r="J26" s="248">
        <v>6914000</v>
      </c>
      <c r="K26" s="248">
        <f>K27</f>
        <v>3303649.36</v>
      </c>
      <c r="L26" s="249">
        <f t="shared" si="0"/>
        <v>10217649.359999999</v>
      </c>
    </row>
    <row r="27" spans="1:12" s="250" customFormat="1" ht="126" x14ac:dyDescent="0.25">
      <c r="A27" s="238" t="s">
        <v>14</v>
      </c>
      <c r="B27" s="238" t="s">
        <v>15</v>
      </c>
      <c r="C27" s="238" t="s">
        <v>33</v>
      </c>
      <c r="D27" s="238" t="s">
        <v>31</v>
      </c>
      <c r="E27" s="238" t="s">
        <v>732</v>
      </c>
      <c r="F27" s="238" t="s">
        <v>16</v>
      </c>
      <c r="G27" s="244" t="s">
        <v>17</v>
      </c>
      <c r="H27" s="244" t="s">
        <v>35</v>
      </c>
      <c r="I27" s="239" t="s">
        <v>734</v>
      </c>
      <c r="J27" s="251">
        <v>6914000</v>
      </c>
      <c r="K27" s="251">
        <v>3303649.36</v>
      </c>
      <c r="L27" s="241">
        <f t="shared" si="0"/>
        <v>10217649.359999999</v>
      </c>
    </row>
    <row r="28" spans="1:12" ht="31.5" x14ac:dyDescent="0.2">
      <c r="A28" s="233" t="s">
        <v>14</v>
      </c>
      <c r="B28" s="233" t="s">
        <v>15</v>
      </c>
      <c r="C28" s="233" t="s">
        <v>43</v>
      </c>
      <c r="D28" s="233" t="s">
        <v>16</v>
      </c>
      <c r="E28" s="233" t="s">
        <v>14</v>
      </c>
      <c r="F28" s="233" t="s">
        <v>16</v>
      </c>
      <c r="G28" s="242" t="s">
        <v>17</v>
      </c>
      <c r="H28" s="242" t="s">
        <v>44</v>
      </c>
      <c r="I28" s="234" t="s">
        <v>45</v>
      </c>
      <c r="J28" s="243">
        <f>J29</f>
        <v>0</v>
      </c>
      <c r="K28" s="243">
        <f t="shared" ref="K28" si="3">K29</f>
        <v>60348.53</v>
      </c>
      <c r="L28" s="235">
        <f t="shared" si="0"/>
        <v>60348.53</v>
      </c>
    </row>
    <row r="29" spans="1:12" ht="15.75" x14ac:dyDescent="0.2">
      <c r="A29" s="238" t="s">
        <v>14</v>
      </c>
      <c r="B29" s="238" t="s">
        <v>15</v>
      </c>
      <c r="C29" s="238" t="s">
        <v>43</v>
      </c>
      <c r="D29" s="238" t="s">
        <v>21</v>
      </c>
      <c r="E29" s="238" t="s">
        <v>14</v>
      </c>
      <c r="F29" s="238" t="s">
        <v>16</v>
      </c>
      <c r="G29" s="244" t="s">
        <v>17</v>
      </c>
      <c r="H29" s="244" t="s">
        <v>44</v>
      </c>
      <c r="I29" s="239" t="s">
        <v>735</v>
      </c>
      <c r="J29" s="240">
        <v>0</v>
      </c>
      <c r="K29" s="240">
        <v>60348.53</v>
      </c>
      <c r="L29" s="241">
        <f t="shared" si="0"/>
        <v>60348.53</v>
      </c>
    </row>
    <row r="30" spans="1:12" ht="31.5" x14ac:dyDescent="0.2">
      <c r="A30" s="233" t="s">
        <v>14</v>
      </c>
      <c r="B30" s="233" t="s">
        <v>15</v>
      </c>
      <c r="C30" s="233" t="s">
        <v>46</v>
      </c>
      <c r="D30" s="233" t="s">
        <v>16</v>
      </c>
      <c r="E30" s="233" t="s">
        <v>14</v>
      </c>
      <c r="F30" s="233" t="s">
        <v>16</v>
      </c>
      <c r="G30" s="242" t="s">
        <v>17</v>
      </c>
      <c r="H30" s="242" t="s">
        <v>14</v>
      </c>
      <c r="I30" s="234" t="s">
        <v>47</v>
      </c>
      <c r="J30" s="243">
        <f>J31+J33</f>
        <v>700000</v>
      </c>
      <c r="K30" s="243">
        <f t="shared" ref="K30" si="4">K31+K33</f>
        <v>1529333.29</v>
      </c>
      <c r="L30" s="235">
        <f t="shared" si="0"/>
        <v>2229333.29</v>
      </c>
    </row>
    <row r="31" spans="1:12" ht="126" hidden="1" x14ac:dyDescent="0.2">
      <c r="A31" s="245" t="s">
        <v>14</v>
      </c>
      <c r="B31" s="245" t="s">
        <v>15</v>
      </c>
      <c r="C31" s="245" t="s">
        <v>46</v>
      </c>
      <c r="D31" s="245" t="s">
        <v>21</v>
      </c>
      <c r="E31" s="245" t="s">
        <v>14</v>
      </c>
      <c r="F31" s="245" t="s">
        <v>16</v>
      </c>
      <c r="G31" s="246" t="s">
        <v>17</v>
      </c>
      <c r="H31" s="246" t="s">
        <v>14</v>
      </c>
      <c r="I31" s="247" t="s">
        <v>736</v>
      </c>
      <c r="J31" s="252">
        <f>J32</f>
        <v>0</v>
      </c>
      <c r="K31" s="252">
        <f>K32</f>
        <v>0</v>
      </c>
      <c r="L31" s="249">
        <f t="shared" si="0"/>
        <v>0</v>
      </c>
    </row>
    <row r="32" spans="1:12" s="577" customFormat="1" ht="126" hidden="1" x14ac:dyDescent="0.2">
      <c r="A32" s="573" t="s">
        <v>14</v>
      </c>
      <c r="B32" s="573" t="s">
        <v>15</v>
      </c>
      <c r="C32" s="573" t="s">
        <v>46</v>
      </c>
      <c r="D32" s="573" t="s">
        <v>21</v>
      </c>
      <c r="E32" s="573" t="s">
        <v>36</v>
      </c>
      <c r="F32" s="573" t="s">
        <v>43</v>
      </c>
      <c r="G32" s="574" t="s">
        <v>17</v>
      </c>
      <c r="H32" s="574" t="s">
        <v>738</v>
      </c>
      <c r="I32" s="575" t="s">
        <v>737</v>
      </c>
      <c r="J32" s="576">
        <v>0</v>
      </c>
      <c r="K32" s="576"/>
      <c r="L32" s="578">
        <f t="shared" si="0"/>
        <v>0</v>
      </c>
    </row>
    <row r="33" spans="1:12" ht="47.25" x14ac:dyDescent="0.2">
      <c r="A33" s="245" t="s">
        <v>14</v>
      </c>
      <c r="B33" s="245" t="s">
        <v>15</v>
      </c>
      <c r="C33" s="245" t="s">
        <v>46</v>
      </c>
      <c r="D33" s="245" t="s">
        <v>48</v>
      </c>
      <c r="E33" s="245" t="s">
        <v>14</v>
      </c>
      <c r="F33" s="245" t="s">
        <v>16</v>
      </c>
      <c r="G33" s="246" t="s">
        <v>17</v>
      </c>
      <c r="H33" s="246" t="s">
        <v>49</v>
      </c>
      <c r="I33" s="247" t="s">
        <v>50</v>
      </c>
      <c r="J33" s="252">
        <f>J34+J35</f>
        <v>700000</v>
      </c>
      <c r="K33" s="252">
        <f>K34+K35</f>
        <v>1529333.29</v>
      </c>
      <c r="L33" s="249">
        <f t="shared" si="0"/>
        <v>2229333.29</v>
      </c>
    </row>
    <row r="34" spans="1:12" ht="47.25" x14ac:dyDescent="0.2">
      <c r="A34" s="238" t="s">
        <v>14</v>
      </c>
      <c r="B34" s="238" t="s">
        <v>15</v>
      </c>
      <c r="C34" s="238" t="s">
        <v>46</v>
      </c>
      <c r="D34" s="238" t="s">
        <v>48</v>
      </c>
      <c r="E34" s="238" t="s">
        <v>38</v>
      </c>
      <c r="F34" s="238" t="s">
        <v>16</v>
      </c>
      <c r="G34" s="244" t="s">
        <v>17</v>
      </c>
      <c r="H34" s="244" t="s">
        <v>49</v>
      </c>
      <c r="I34" s="239" t="s">
        <v>739</v>
      </c>
      <c r="J34" s="240">
        <v>500000</v>
      </c>
      <c r="K34" s="240">
        <v>190437.73</v>
      </c>
      <c r="L34" s="241">
        <f t="shared" si="0"/>
        <v>690437.73</v>
      </c>
    </row>
    <row r="35" spans="1:12" s="577" customFormat="1" ht="78.75" x14ac:dyDescent="0.2">
      <c r="A35" s="238" t="s">
        <v>14</v>
      </c>
      <c r="B35" s="238" t="s">
        <v>15</v>
      </c>
      <c r="C35" s="238" t="s">
        <v>46</v>
      </c>
      <c r="D35" s="238" t="s">
        <v>48</v>
      </c>
      <c r="E35" s="238" t="s">
        <v>730</v>
      </c>
      <c r="F35" s="238" t="s">
        <v>16</v>
      </c>
      <c r="G35" s="244" t="s">
        <v>17</v>
      </c>
      <c r="H35" s="244" t="s">
        <v>49</v>
      </c>
      <c r="I35" s="239" t="s">
        <v>740</v>
      </c>
      <c r="J35" s="240">
        <v>200000</v>
      </c>
      <c r="K35" s="240">
        <v>1338895.56</v>
      </c>
      <c r="L35" s="241">
        <f t="shared" si="0"/>
        <v>1538895.56</v>
      </c>
    </row>
    <row r="36" spans="1:12" ht="15.75" x14ac:dyDescent="0.2">
      <c r="A36" s="233" t="s">
        <v>14</v>
      </c>
      <c r="B36" s="233" t="s">
        <v>15</v>
      </c>
      <c r="C36" s="233" t="s">
        <v>52</v>
      </c>
      <c r="D36" s="233" t="s">
        <v>16</v>
      </c>
      <c r="E36" s="233" t="s">
        <v>14</v>
      </c>
      <c r="F36" s="233" t="s">
        <v>16</v>
      </c>
      <c r="G36" s="242" t="s">
        <v>17</v>
      </c>
      <c r="H36" s="242" t="s">
        <v>14</v>
      </c>
      <c r="I36" s="234" t="s">
        <v>53</v>
      </c>
      <c r="J36" s="243">
        <f>J37</f>
        <v>100000</v>
      </c>
      <c r="K36" s="243">
        <f>K37</f>
        <v>167961.4</v>
      </c>
      <c r="L36" s="235">
        <f t="shared" si="0"/>
        <v>267961.40000000002</v>
      </c>
    </row>
    <row r="37" spans="1:12" ht="63" x14ac:dyDescent="0.2">
      <c r="A37" s="238" t="s">
        <v>14</v>
      </c>
      <c r="B37" s="238" t="s">
        <v>15</v>
      </c>
      <c r="C37" s="238" t="s">
        <v>52</v>
      </c>
      <c r="D37" s="238" t="s">
        <v>741</v>
      </c>
      <c r="E37" s="238" t="s">
        <v>14</v>
      </c>
      <c r="F37" s="238" t="s">
        <v>21</v>
      </c>
      <c r="G37" s="244" t="s">
        <v>17</v>
      </c>
      <c r="H37" s="244" t="s">
        <v>14</v>
      </c>
      <c r="I37" s="239" t="s">
        <v>742</v>
      </c>
      <c r="J37" s="240">
        <v>100000</v>
      </c>
      <c r="K37" s="240">
        <v>167961.4</v>
      </c>
      <c r="L37" s="241">
        <f>J37+K37</f>
        <v>267961.40000000002</v>
      </c>
    </row>
    <row r="38" spans="1:12" ht="15.75" x14ac:dyDescent="0.2">
      <c r="A38" s="233" t="s">
        <v>14</v>
      </c>
      <c r="B38" s="233" t="s">
        <v>15</v>
      </c>
      <c r="C38" s="233" t="s">
        <v>54</v>
      </c>
      <c r="D38" s="233" t="s">
        <v>16</v>
      </c>
      <c r="E38" s="233" t="s">
        <v>32</v>
      </c>
      <c r="F38" s="233" t="s">
        <v>16</v>
      </c>
      <c r="G38" s="242" t="s">
        <v>17</v>
      </c>
      <c r="H38" s="242" t="s">
        <v>14</v>
      </c>
      <c r="I38" s="234" t="s">
        <v>55</v>
      </c>
      <c r="J38" s="243">
        <f>J39</f>
        <v>400000</v>
      </c>
      <c r="K38" s="243">
        <f>K39</f>
        <v>263767.2</v>
      </c>
      <c r="L38" s="235">
        <f>SUM(J38:K38)</f>
        <v>663767.19999999995</v>
      </c>
    </row>
    <row r="39" spans="1:12" ht="15.75" x14ac:dyDescent="0.2">
      <c r="A39" s="245" t="s">
        <v>14</v>
      </c>
      <c r="B39" s="245" t="s">
        <v>15</v>
      </c>
      <c r="C39" s="245" t="s">
        <v>54</v>
      </c>
      <c r="D39" s="245" t="s">
        <v>28</v>
      </c>
      <c r="E39" s="245" t="s">
        <v>32</v>
      </c>
      <c r="F39" s="245" t="s">
        <v>16</v>
      </c>
      <c r="G39" s="246" t="s">
        <v>17</v>
      </c>
      <c r="H39" s="246" t="s">
        <v>743</v>
      </c>
      <c r="I39" s="247" t="s">
        <v>55</v>
      </c>
      <c r="J39" s="252">
        <f>J40</f>
        <v>400000</v>
      </c>
      <c r="K39" s="252">
        <f t="shared" ref="K39:L39" si="5">K40</f>
        <v>263767.2</v>
      </c>
      <c r="L39" s="252">
        <f t="shared" si="5"/>
        <v>663767.19999999995</v>
      </c>
    </row>
    <row r="40" spans="1:12" ht="31.5" x14ac:dyDescent="0.2">
      <c r="A40" s="238" t="s">
        <v>14</v>
      </c>
      <c r="B40" s="238" t="s">
        <v>15</v>
      </c>
      <c r="C40" s="238" t="s">
        <v>54</v>
      </c>
      <c r="D40" s="238" t="s">
        <v>28</v>
      </c>
      <c r="E40" s="238" t="s">
        <v>744</v>
      </c>
      <c r="F40" s="238" t="s">
        <v>43</v>
      </c>
      <c r="G40" s="244" t="s">
        <v>17</v>
      </c>
      <c r="H40" s="244" t="s">
        <v>743</v>
      </c>
      <c r="I40" s="239" t="s">
        <v>238</v>
      </c>
      <c r="J40" s="240">
        <v>400000</v>
      </c>
      <c r="K40" s="240">
        <v>263767.2</v>
      </c>
      <c r="L40" s="241">
        <f>J40+K40</f>
        <v>663767.19999999995</v>
      </c>
    </row>
    <row r="41" spans="1:12" ht="15.75" x14ac:dyDescent="0.2">
      <c r="A41" s="233" t="s">
        <v>14</v>
      </c>
      <c r="B41" s="233" t="s">
        <v>56</v>
      </c>
      <c r="C41" s="233" t="s">
        <v>16</v>
      </c>
      <c r="D41" s="233" t="s">
        <v>16</v>
      </c>
      <c r="E41" s="233" t="s">
        <v>14</v>
      </c>
      <c r="F41" s="233" t="s">
        <v>16</v>
      </c>
      <c r="G41" s="242" t="s">
        <v>17</v>
      </c>
      <c r="H41" s="242" t="s">
        <v>14</v>
      </c>
      <c r="I41" s="234" t="s">
        <v>57</v>
      </c>
      <c r="J41" s="243">
        <f>J42+J54</f>
        <v>117522281</v>
      </c>
      <c r="K41" s="243">
        <f>K42+K54+K59+K62</f>
        <v>15236035.85</v>
      </c>
      <c r="L41" s="243">
        <f>L42+L54</f>
        <v>132745025.84</v>
      </c>
    </row>
    <row r="42" spans="1:12" ht="47.25" x14ac:dyDescent="0.2">
      <c r="A42" s="233" t="s">
        <v>14</v>
      </c>
      <c r="B42" s="233" t="s">
        <v>56</v>
      </c>
      <c r="C42" s="233" t="s">
        <v>21</v>
      </c>
      <c r="D42" s="233" t="s">
        <v>16</v>
      </c>
      <c r="E42" s="233" t="s">
        <v>14</v>
      </c>
      <c r="F42" s="233" t="s">
        <v>16</v>
      </c>
      <c r="G42" s="242" t="s">
        <v>17</v>
      </c>
      <c r="H42" s="242" t="s">
        <v>14</v>
      </c>
      <c r="I42" s="234" t="s">
        <v>58</v>
      </c>
      <c r="J42" s="243">
        <f>J43+J46+J51</f>
        <v>117522281</v>
      </c>
      <c r="K42" s="243">
        <f>K43+K46+K51</f>
        <v>15255278.48</v>
      </c>
      <c r="L42" s="243">
        <f>L43+L46+L51</f>
        <v>132745025.84</v>
      </c>
    </row>
    <row r="43" spans="1:12" ht="31.5" x14ac:dyDescent="0.2">
      <c r="A43" s="233" t="s">
        <v>14</v>
      </c>
      <c r="B43" s="233" t="s">
        <v>56</v>
      </c>
      <c r="C43" s="233" t="s">
        <v>21</v>
      </c>
      <c r="D43" s="233" t="s">
        <v>51</v>
      </c>
      <c r="E43" s="233" t="s">
        <v>14</v>
      </c>
      <c r="F43" s="233" t="s">
        <v>16</v>
      </c>
      <c r="G43" s="242" t="s">
        <v>17</v>
      </c>
      <c r="H43" s="242" t="s">
        <v>746</v>
      </c>
      <c r="I43" s="234" t="s">
        <v>745</v>
      </c>
      <c r="J43" s="243">
        <f>J44+J45</f>
        <v>27219000</v>
      </c>
      <c r="K43" s="243">
        <f t="shared" ref="K43:L43" si="6">K44+K45</f>
        <v>13614000</v>
      </c>
      <c r="L43" s="243">
        <f t="shared" si="6"/>
        <v>40833000</v>
      </c>
    </row>
    <row r="44" spans="1:12" ht="31.5" x14ac:dyDescent="0.2">
      <c r="A44" s="238" t="s">
        <v>59</v>
      </c>
      <c r="B44" s="238" t="s">
        <v>56</v>
      </c>
      <c r="C44" s="238" t="s">
        <v>21</v>
      </c>
      <c r="D44" s="238" t="s">
        <v>287</v>
      </c>
      <c r="E44" s="238" t="s">
        <v>60</v>
      </c>
      <c r="F44" s="238" t="s">
        <v>16</v>
      </c>
      <c r="G44" s="244" t="s">
        <v>17</v>
      </c>
      <c r="H44" s="244" t="s">
        <v>746</v>
      </c>
      <c r="I44" s="239" t="s">
        <v>747</v>
      </c>
      <c r="J44" s="240">
        <v>27219000</v>
      </c>
      <c r="K44" s="240">
        <v>13614000</v>
      </c>
      <c r="L44" s="241">
        <f t="shared" ref="L44:L52" si="7">SUM(J44:K44)</f>
        <v>40833000</v>
      </c>
    </row>
    <row r="45" spans="1:12" ht="31.5" hidden="1" x14ac:dyDescent="0.2">
      <c r="A45" s="238" t="s">
        <v>840</v>
      </c>
      <c r="B45" s="238" t="s">
        <v>56</v>
      </c>
      <c r="C45" s="238" t="s">
        <v>21</v>
      </c>
      <c r="D45" s="238" t="s">
        <v>287</v>
      </c>
      <c r="E45" s="238" t="s">
        <v>859</v>
      </c>
      <c r="F45" s="238" t="s">
        <v>16</v>
      </c>
      <c r="G45" s="244" t="s">
        <v>17</v>
      </c>
      <c r="H45" s="244" t="s">
        <v>746</v>
      </c>
      <c r="I45" s="239" t="s">
        <v>860</v>
      </c>
      <c r="J45" s="240">
        <v>0</v>
      </c>
      <c r="K45" s="240">
        <v>0</v>
      </c>
      <c r="L45" s="241">
        <f>SUM(J45:K45)</f>
        <v>0</v>
      </c>
    </row>
    <row r="46" spans="1:12" ht="47.25" x14ac:dyDescent="0.2">
      <c r="A46" s="233" t="s">
        <v>14</v>
      </c>
      <c r="B46" s="233" t="s">
        <v>56</v>
      </c>
      <c r="C46" s="233" t="s">
        <v>21</v>
      </c>
      <c r="D46" s="233" t="s">
        <v>852</v>
      </c>
      <c r="E46" s="233" t="s">
        <v>14</v>
      </c>
      <c r="F46" s="233" t="s">
        <v>16</v>
      </c>
      <c r="G46" s="242" t="s">
        <v>17</v>
      </c>
      <c r="H46" s="242" t="s">
        <v>746</v>
      </c>
      <c r="I46" s="234" t="s">
        <v>853</v>
      </c>
      <c r="J46" s="243">
        <f>J47+J48+J49</f>
        <v>3303281</v>
      </c>
      <c r="K46" s="243">
        <f>K47+K48+K49+K50</f>
        <v>1641278.48</v>
      </c>
      <c r="L46" s="243">
        <f t="shared" ref="L46" si="8">L47+L48+L49</f>
        <v>4912025.84</v>
      </c>
    </row>
    <row r="47" spans="1:12" ht="94.5" hidden="1" x14ac:dyDescent="0.2">
      <c r="A47" s="238" t="s">
        <v>840</v>
      </c>
      <c r="B47" s="238" t="s">
        <v>56</v>
      </c>
      <c r="C47" s="238" t="s">
        <v>21</v>
      </c>
      <c r="D47" s="238" t="s">
        <v>852</v>
      </c>
      <c r="E47" s="238" t="s">
        <v>909</v>
      </c>
      <c r="F47" s="238" t="s">
        <v>43</v>
      </c>
      <c r="G47" s="244" t="s">
        <v>17</v>
      </c>
      <c r="H47" s="244" t="s">
        <v>746</v>
      </c>
      <c r="I47" s="239" t="s">
        <v>876</v>
      </c>
      <c r="J47" s="240">
        <v>3303281</v>
      </c>
      <c r="K47" s="240">
        <v>0</v>
      </c>
      <c r="L47" s="241">
        <f t="shared" si="7"/>
        <v>3303281</v>
      </c>
    </row>
    <row r="48" spans="1:12" ht="47.25" x14ac:dyDescent="0.2">
      <c r="A48" s="238" t="s">
        <v>840</v>
      </c>
      <c r="B48" s="238" t="s">
        <v>56</v>
      </c>
      <c r="C48" s="238" t="s">
        <v>21</v>
      </c>
      <c r="D48" s="238" t="s">
        <v>861</v>
      </c>
      <c r="E48" s="238" t="s">
        <v>864</v>
      </c>
      <c r="F48" s="238" t="s">
        <v>43</v>
      </c>
      <c r="G48" s="244" t="s">
        <v>17</v>
      </c>
      <c r="H48" s="244" t="s">
        <v>746</v>
      </c>
      <c r="I48" s="239" t="s">
        <v>865</v>
      </c>
      <c r="J48" s="240">
        <v>0</v>
      </c>
      <c r="K48" s="240">
        <v>1608744.84</v>
      </c>
      <c r="L48" s="241">
        <f t="shared" si="7"/>
        <v>1608744.84</v>
      </c>
    </row>
    <row r="49" spans="1:12" ht="52.5" hidden="1" customHeight="1" x14ac:dyDescent="0.2">
      <c r="A49" s="238" t="s">
        <v>840</v>
      </c>
      <c r="B49" s="238" t="s">
        <v>56</v>
      </c>
      <c r="C49" s="238" t="s">
        <v>21</v>
      </c>
      <c r="D49" s="238" t="s">
        <v>861</v>
      </c>
      <c r="E49" s="238" t="s">
        <v>862</v>
      </c>
      <c r="F49" s="238" t="s">
        <v>43</v>
      </c>
      <c r="G49" s="244" t="s">
        <v>17</v>
      </c>
      <c r="H49" s="244" t="s">
        <v>746</v>
      </c>
      <c r="I49" s="239" t="s">
        <v>863</v>
      </c>
      <c r="J49" s="240">
        <v>0</v>
      </c>
      <c r="K49" s="240">
        <v>0</v>
      </c>
      <c r="L49" s="241">
        <f>SUM(J49:K49)</f>
        <v>0</v>
      </c>
    </row>
    <row r="50" spans="1:12" ht="31.5" x14ac:dyDescent="0.2">
      <c r="A50" s="238" t="s">
        <v>840</v>
      </c>
      <c r="B50" s="238" t="s">
        <v>56</v>
      </c>
      <c r="C50" s="238" t="s">
        <v>21</v>
      </c>
      <c r="D50" s="238" t="s">
        <v>910</v>
      </c>
      <c r="E50" s="238" t="s">
        <v>911</v>
      </c>
      <c r="F50" s="238" t="s">
        <v>43</v>
      </c>
      <c r="G50" s="244" t="s">
        <v>17</v>
      </c>
      <c r="H50" s="244" t="s">
        <v>746</v>
      </c>
      <c r="I50" s="239" t="s">
        <v>912</v>
      </c>
      <c r="J50" s="240"/>
      <c r="K50" s="240">
        <v>32533.64</v>
      </c>
      <c r="L50" s="241"/>
    </row>
    <row r="51" spans="1:12" ht="15.75" hidden="1" x14ac:dyDescent="0.2">
      <c r="A51" s="233" t="s">
        <v>14</v>
      </c>
      <c r="B51" s="233" t="s">
        <v>56</v>
      </c>
      <c r="C51" s="233" t="s">
        <v>21</v>
      </c>
      <c r="D51" s="233" t="s">
        <v>843</v>
      </c>
      <c r="E51" s="233" t="s">
        <v>14</v>
      </c>
      <c r="F51" s="233" t="s">
        <v>16</v>
      </c>
      <c r="G51" s="242" t="s">
        <v>17</v>
      </c>
      <c r="H51" s="242" t="s">
        <v>746</v>
      </c>
      <c r="I51" s="234" t="s">
        <v>844</v>
      </c>
      <c r="J51" s="243">
        <f>J52+J53</f>
        <v>87000000</v>
      </c>
      <c r="K51" s="243">
        <f>K52+K53</f>
        <v>0</v>
      </c>
      <c r="L51" s="243">
        <f t="shared" si="7"/>
        <v>87000000</v>
      </c>
    </row>
    <row r="52" spans="1:12" ht="94.5" hidden="1" x14ac:dyDescent="0.2">
      <c r="A52" s="238" t="s">
        <v>840</v>
      </c>
      <c r="B52" s="238" t="s">
        <v>56</v>
      </c>
      <c r="C52" s="238" t="s">
        <v>21</v>
      </c>
      <c r="D52" s="238" t="s">
        <v>841</v>
      </c>
      <c r="E52" s="238" t="s">
        <v>842</v>
      </c>
      <c r="F52" s="238" t="s">
        <v>43</v>
      </c>
      <c r="G52" s="244" t="s">
        <v>17</v>
      </c>
      <c r="H52" s="244" t="s">
        <v>746</v>
      </c>
      <c r="I52" s="239" t="s">
        <v>839</v>
      </c>
      <c r="J52" s="240">
        <v>37000000</v>
      </c>
      <c r="K52" s="240">
        <v>0</v>
      </c>
      <c r="L52" s="241">
        <f t="shared" si="7"/>
        <v>37000000</v>
      </c>
    </row>
    <row r="53" spans="1:12" ht="130.5" hidden="1" customHeight="1" x14ac:dyDescent="0.2">
      <c r="A53" s="238" t="s">
        <v>840</v>
      </c>
      <c r="B53" s="238" t="s">
        <v>56</v>
      </c>
      <c r="C53" s="238" t="s">
        <v>21</v>
      </c>
      <c r="D53" s="238" t="s">
        <v>841</v>
      </c>
      <c r="E53" s="238" t="s">
        <v>850</v>
      </c>
      <c r="F53" s="238" t="s">
        <v>43</v>
      </c>
      <c r="G53" s="244" t="s">
        <v>17</v>
      </c>
      <c r="H53" s="244" t="s">
        <v>746</v>
      </c>
      <c r="I53" s="239" t="s">
        <v>851</v>
      </c>
      <c r="J53" s="240">
        <v>50000000</v>
      </c>
      <c r="K53" s="240">
        <v>0</v>
      </c>
      <c r="L53" s="241">
        <f>SUM(J53:K53)</f>
        <v>50000000</v>
      </c>
    </row>
    <row r="54" spans="1:12" ht="15.75" hidden="1" x14ac:dyDescent="0.2">
      <c r="A54" s="233" t="s">
        <v>14</v>
      </c>
      <c r="B54" s="233" t="s">
        <v>56</v>
      </c>
      <c r="C54" s="233" t="s">
        <v>866</v>
      </c>
      <c r="D54" s="233" t="s">
        <v>16</v>
      </c>
      <c r="E54" s="233" t="s">
        <v>14</v>
      </c>
      <c r="F54" s="233" t="s">
        <v>16</v>
      </c>
      <c r="G54" s="242" t="s">
        <v>17</v>
      </c>
      <c r="H54" s="242" t="s">
        <v>14</v>
      </c>
      <c r="I54" s="234" t="s">
        <v>874</v>
      </c>
      <c r="J54" s="243">
        <f>J55</f>
        <v>0</v>
      </c>
      <c r="K54" s="243">
        <f t="shared" ref="K54:L54" si="9">K55</f>
        <v>0</v>
      </c>
      <c r="L54" s="243">
        <f t="shared" si="9"/>
        <v>0</v>
      </c>
    </row>
    <row r="55" spans="1:12" ht="31.5" hidden="1" x14ac:dyDescent="0.2">
      <c r="A55" s="233" t="s">
        <v>14</v>
      </c>
      <c r="B55" s="233" t="s">
        <v>56</v>
      </c>
      <c r="C55" s="233" t="s">
        <v>866</v>
      </c>
      <c r="D55" s="233" t="s">
        <v>28</v>
      </c>
      <c r="E55" s="233" t="s">
        <v>14</v>
      </c>
      <c r="F55" s="233" t="s">
        <v>43</v>
      </c>
      <c r="G55" s="242" t="s">
        <v>14</v>
      </c>
      <c r="H55" s="242" t="s">
        <v>746</v>
      </c>
      <c r="I55" s="234" t="s">
        <v>875</v>
      </c>
      <c r="J55" s="243">
        <f>J56+J57+J58</f>
        <v>0</v>
      </c>
      <c r="K55" s="243">
        <f t="shared" ref="K55:L55" si="10">K56+K57+K58</f>
        <v>0</v>
      </c>
      <c r="L55" s="243">
        <f t="shared" si="10"/>
        <v>0</v>
      </c>
    </row>
    <row r="56" spans="1:12" ht="63" hidden="1" x14ac:dyDescent="0.2">
      <c r="A56" s="238" t="s">
        <v>840</v>
      </c>
      <c r="B56" s="238" t="s">
        <v>56</v>
      </c>
      <c r="C56" s="238" t="s">
        <v>866</v>
      </c>
      <c r="D56" s="238" t="s">
        <v>28</v>
      </c>
      <c r="E56" s="238" t="s">
        <v>867</v>
      </c>
      <c r="F56" s="238" t="s">
        <v>43</v>
      </c>
      <c r="G56" s="244" t="s">
        <v>870</v>
      </c>
      <c r="H56" s="244" t="s">
        <v>746</v>
      </c>
      <c r="I56" s="239" t="s">
        <v>871</v>
      </c>
      <c r="J56" s="240">
        <v>0</v>
      </c>
      <c r="K56" s="240">
        <v>0</v>
      </c>
      <c r="L56" s="241">
        <f t="shared" ref="L56:L58" si="11">SUM(J56:K56)</f>
        <v>0</v>
      </c>
    </row>
    <row r="57" spans="1:12" ht="63" hidden="1" x14ac:dyDescent="0.2">
      <c r="A57" s="238" t="s">
        <v>840</v>
      </c>
      <c r="B57" s="238" t="s">
        <v>56</v>
      </c>
      <c r="C57" s="238" t="s">
        <v>866</v>
      </c>
      <c r="D57" s="238" t="s">
        <v>28</v>
      </c>
      <c r="E57" s="238" t="s">
        <v>867</v>
      </c>
      <c r="F57" s="238" t="s">
        <v>43</v>
      </c>
      <c r="G57" s="244" t="s">
        <v>869</v>
      </c>
      <c r="H57" s="244" t="s">
        <v>746</v>
      </c>
      <c r="I57" s="239" t="s">
        <v>872</v>
      </c>
      <c r="J57" s="240">
        <v>0</v>
      </c>
      <c r="K57" s="240">
        <v>0</v>
      </c>
      <c r="L57" s="241">
        <f t="shared" si="11"/>
        <v>0</v>
      </c>
    </row>
    <row r="58" spans="1:12" ht="63" hidden="1" x14ac:dyDescent="0.2">
      <c r="A58" s="238" t="s">
        <v>840</v>
      </c>
      <c r="B58" s="238" t="s">
        <v>56</v>
      </c>
      <c r="C58" s="238" t="s">
        <v>866</v>
      </c>
      <c r="D58" s="238" t="s">
        <v>28</v>
      </c>
      <c r="E58" s="238" t="s">
        <v>867</v>
      </c>
      <c r="F58" s="238" t="s">
        <v>43</v>
      </c>
      <c r="G58" s="244" t="s">
        <v>868</v>
      </c>
      <c r="H58" s="244" t="s">
        <v>746</v>
      </c>
      <c r="I58" s="239" t="s">
        <v>873</v>
      </c>
      <c r="J58" s="240">
        <v>0</v>
      </c>
      <c r="K58" s="240">
        <v>0</v>
      </c>
      <c r="L58" s="241">
        <f t="shared" si="11"/>
        <v>0</v>
      </c>
    </row>
    <row r="59" spans="1:12" ht="78.75" x14ac:dyDescent="0.2">
      <c r="A59" s="233" t="s">
        <v>14</v>
      </c>
      <c r="B59" s="233" t="s">
        <v>56</v>
      </c>
      <c r="C59" s="233" t="s">
        <v>913</v>
      </c>
      <c r="D59" s="233" t="s">
        <v>16</v>
      </c>
      <c r="E59" s="233" t="s">
        <v>14</v>
      </c>
      <c r="F59" s="233" t="s">
        <v>16</v>
      </c>
      <c r="G59" s="242" t="s">
        <v>17</v>
      </c>
      <c r="H59" s="242" t="s">
        <v>14</v>
      </c>
      <c r="I59" s="234" t="s">
        <v>916</v>
      </c>
      <c r="J59" s="243"/>
      <c r="K59" s="243">
        <f>K60</f>
        <v>822118.04</v>
      </c>
      <c r="L59" s="243"/>
    </row>
    <row r="60" spans="1:12" ht="133.5" customHeight="1" x14ac:dyDescent="0.2">
      <c r="A60" s="233" t="s">
        <v>14</v>
      </c>
      <c r="B60" s="233" t="s">
        <v>56</v>
      </c>
      <c r="C60" s="233" t="s">
        <v>913</v>
      </c>
      <c r="D60" s="233" t="s">
        <v>16</v>
      </c>
      <c r="E60" s="233" t="s">
        <v>14</v>
      </c>
      <c r="F60" s="233" t="s">
        <v>16</v>
      </c>
      <c r="G60" s="242" t="s">
        <v>14</v>
      </c>
      <c r="H60" s="242" t="s">
        <v>746</v>
      </c>
      <c r="I60" s="234" t="s">
        <v>917</v>
      </c>
      <c r="J60" s="243"/>
      <c r="K60" s="243">
        <f>K61</f>
        <v>822118.04</v>
      </c>
      <c r="L60" s="243"/>
    </row>
    <row r="61" spans="1:12" ht="78.75" x14ac:dyDescent="0.2">
      <c r="A61" s="238" t="s">
        <v>840</v>
      </c>
      <c r="B61" s="238" t="s">
        <v>56</v>
      </c>
      <c r="C61" s="238" t="s">
        <v>913</v>
      </c>
      <c r="D61" s="238" t="s">
        <v>915</v>
      </c>
      <c r="E61" s="238" t="s">
        <v>38</v>
      </c>
      <c r="F61" s="238" t="s">
        <v>43</v>
      </c>
      <c r="G61" s="244" t="s">
        <v>17</v>
      </c>
      <c r="H61" s="244" t="s">
        <v>746</v>
      </c>
      <c r="I61" s="239" t="s">
        <v>914</v>
      </c>
      <c r="J61" s="240"/>
      <c r="K61" s="240">
        <v>822118.04</v>
      </c>
      <c r="L61" s="241"/>
    </row>
    <row r="62" spans="1:12" ht="57" customHeight="1" x14ac:dyDescent="0.2">
      <c r="A62" s="233" t="s">
        <v>14</v>
      </c>
      <c r="B62" s="233" t="s">
        <v>56</v>
      </c>
      <c r="C62" s="233" t="s">
        <v>918</v>
      </c>
      <c r="D62" s="233" t="s">
        <v>16</v>
      </c>
      <c r="E62" s="233" t="s">
        <v>14</v>
      </c>
      <c r="F62" s="233" t="s">
        <v>16</v>
      </c>
      <c r="G62" s="242" t="s">
        <v>17</v>
      </c>
      <c r="H62" s="242" t="s">
        <v>14</v>
      </c>
      <c r="I62" s="234" t="s">
        <v>923</v>
      </c>
      <c r="J62" s="243"/>
      <c r="K62" s="243">
        <f>K63</f>
        <v>-841360.67</v>
      </c>
      <c r="L62" s="243"/>
    </row>
    <row r="63" spans="1:12" ht="63" x14ac:dyDescent="0.2">
      <c r="A63" s="233" t="s">
        <v>14</v>
      </c>
      <c r="B63" s="233" t="s">
        <v>56</v>
      </c>
      <c r="C63" s="233" t="s">
        <v>918</v>
      </c>
      <c r="D63" s="233" t="s">
        <v>16</v>
      </c>
      <c r="E63" s="233" t="s">
        <v>14</v>
      </c>
      <c r="F63" s="233" t="s">
        <v>43</v>
      </c>
      <c r="G63" s="242" t="s">
        <v>14</v>
      </c>
      <c r="H63" s="242" t="s">
        <v>746</v>
      </c>
      <c r="I63" s="234" t="s">
        <v>922</v>
      </c>
      <c r="J63" s="243"/>
      <c r="K63" s="243">
        <f>K64+K65</f>
        <v>-841360.67</v>
      </c>
      <c r="L63" s="243"/>
    </row>
    <row r="64" spans="1:12" ht="78.75" x14ac:dyDescent="0.2">
      <c r="A64" s="238" t="s">
        <v>840</v>
      </c>
      <c r="B64" s="238" t="s">
        <v>56</v>
      </c>
      <c r="C64" s="238" t="s">
        <v>918</v>
      </c>
      <c r="D64" s="238" t="s">
        <v>861</v>
      </c>
      <c r="E64" s="238" t="s">
        <v>919</v>
      </c>
      <c r="F64" s="238" t="s">
        <v>43</v>
      </c>
      <c r="G64" s="244" t="s">
        <v>17</v>
      </c>
      <c r="H64" s="244" t="s">
        <v>746</v>
      </c>
      <c r="I64" s="239" t="s">
        <v>921</v>
      </c>
      <c r="J64" s="240"/>
      <c r="K64" s="240">
        <v>-60348.53</v>
      </c>
      <c r="L64" s="241"/>
    </row>
    <row r="65" spans="1:12" ht="110.25" x14ac:dyDescent="0.2">
      <c r="A65" s="238" t="s">
        <v>840</v>
      </c>
      <c r="B65" s="238" t="s">
        <v>56</v>
      </c>
      <c r="C65" s="238" t="s">
        <v>918</v>
      </c>
      <c r="D65" s="238" t="s">
        <v>861</v>
      </c>
      <c r="E65" s="238" t="s">
        <v>920</v>
      </c>
      <c r="F65" s="238" t="s">
        <v>43</v>
      </c>
      <c r="G65" s="244" t="s">
        <v>17</v>
      </c>
      <c r="H65" s="244" t="s">
        <v>746</v>
      </c>
      <c r="I65" s="239" t="s">
        <v>767</v>
      </c>
      <c r="J65" s="240"/>
      <c r="K65" s="240">
        <v>-781012.14</v>
      </c>
      <c r="L65" s="241"/>
    </row>
    <row r="66" spans="1:12" s="253" customFormat="1" ht="15.75" x14ac:dyDescent="0.25">
      <c r="A66" s="238"/>
      <c r="B66" s="238"/>
      <c r="C66" s="238"/>
      <c r="D66" s="238"/>
      <c r="E66" s="238"/>
      <c r="F66" s="238"/>
      <c r="G66" s="244"/>
      <c r="H66" s="244"/>
      <c r="I66" s="234" t="s">
        <v>69</v>
      </c>
      <c r="J66" s="243">
        <f>J11+J41</f>
        <v>226493281</v>
      </c>
      <c r="K66" s="243">
        <f>K11+K41</f>
        <v>60394942.729999997</v>
      </c>
      <c r="L66" s="235">
        <f t="shared" ref="L66" si="12">SUM(J66:K66)</f>
        <v>286888223.73000002</v>
      </c>
    </row>
    <row r="67" spans="1:12" x14ac:dyDescent="0.2">
      <c r="A67" s="238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70866141732283472" right="0.70866141732283472" top="0.74803149606299213" bottom="0.74803149606299213" header="0.51181102362204722" footer="0.51181102362204722"/>
  <pageSetup paperSize="9" scale="91" fitToHeight="40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93" workbookViewId="0">
      <selection activeCell="B1474" sqref="B1473:B1474"/>
    </sheetView>
  </sheetViews>
  <sheetFormatPr defaultColWidth="31.85546875" defaultRowHeight="12.75" x14ac:dyDescent="0.2"/>
  <cols>
    <col min="1" max="1" width="7" style="96" bestFit="1" customWidth="1"/>
    <col min="2" max="2" width="106.140625" style="97" customWidth="1"/>
    <col min="3" max="16384" width="31.85546875" style="89"/>
  </cols>
  <sheetData>
    <row r="1" spans="1:2" s="98" customFormat="1" hidden="1" x14ac:dyDescent="0.2">
      <c r="A1" s="96"/>
      <c r="B1" s="99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89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00">
        <v>100</v>
      </c>
      <c r="B1400" s="101" t="s">
        <v>78</v>
      </c>
      <c r="C1400" s="97"/>
    </row>
    <row r="1401" spans="1:3" x14ac:dyDescent="0.2">
      <c r="A1401" s="102">
        <v>101</v>
      </c>
      <c r="B1401" s="103" t="s">
        <v>79</v>
      </c>
      <c r="C1401" s="97"/>
    </row>
    <row r="1402" spans="1:3" x14ac:dyDescent="0.2">
      <c r="A1402" s="102">
        <v>102</v>
      </c>
      <c r="B1402" s="104" t="s">
        <v>80</v>
      </c>
      <c r="C1402" s="97"/>
    </row>
    <row r="1403" spans="1:3" ht="25.5" x14ac:dyDescent="0.2">
      <c r="A1403" s="102">
        <v>103</v>
      </c>
      <c r="B1403" s="104" t="s">
        <v>81</v>
      </c>
      <c r="C1403" s="97"/>
    </row>
    <row r="1404" spans="1:3" ht="25.5" x14ac:dyDescent="0.2">
      <c r="A1404" s="102">
        <v>104</v>
      </c>
      <c r="B1404" s="104" t="s">
        <v>82</v>
      </c>
      <c r="C1404" s="97"/>
    </row>
    <row r="1405" spans="1:3" x14ac:dyDescent="0.2">
      <c r="A1405" s="102">
        <v>105</v>
      </c>
      <c r="B1405" s="104" t="s">
        <v>83</v>
      </c>
      <c r="C1405" s="97"/>
    </row>
    <row r="1406" spans="1:3" ht="25.5" x14ac:dyDescent="0.2">
      <c r="A1406" s="102">
        <v>106</v>
      </c>
      <c r="B1406" s="104" t="s">
        <v>84</v>
      </c>
      <c r="C1406" s="97"/>
    </row>
    <row r="1407" spans="1:3" x14ac:dyDescent="0.2">
      <c r="A1407" s="102">
        <v>107</v>
      </c>
      <c r="B1407" s="104" t="s">
        <v>85</v>
      </c>
      <c r="C1407" s="97"/>
    </row>
    <row r="1408" spans="1:3" x14ac:dyDescent="0.2">
      <c r="A1408" s="102">
        <v>108</v>
      </c>
      <c r="B1408" s="104" t="s">
        <v>86</v>
      </c>
      <c r="C1408" s="97"/>
    </row>
    <row r="1409" spans="1:3" x14ac:dyDescent="0.2">
      <c r="A1409" s="102">
        <v>109</v>
      </c>
      <c r="B1409" s="104" t="s">
        <v>87</v>
      </c>
      <c r="C1409" s="97"/>
    </row>
    <row r="1410" spans="1:3" x14ac:dyDescent="0.2">
      <c r="A1410" s="102">
        <v>110</v>
      </c>
      <c r="B1410" s="104" t="s">
        <v>88</v>
      </c>
      <c r="C1410" s="97"/>
    </row>
    <row r="1411" spans="1:3" x14ac:dyDescent="0.2">
      <c r="A1411" s="102">
        <v>111</v>
      </c>
      <c r="B1411" s="104" t="s">
        <v>89</v>
      </c>
      <c r="C1411" s="97"/>
    </row>
    <row r="1412" spans="1:3" x14ac:dyDescent="0.2">
      <c r="A1412" s="102">
        <v>112</v>
      </c>
      <c r="B1412" s="104" t="s">
        <v>90</v>
      </c>
      <c r="C1412" s="97"/>
    </row>
    <row r="1413" spans="1:3" x14ac:dyDescent="0.2">
      <c r="A1413" s="102">
        <v>113</v>
      </c>
      <c r="B1413" s="104" t="s">
        <v>91</v>
      </c>
      <c r="C1413" s="97"/>
    </row>
    <row r="1414" spans="1:3" x14ac:dyDescent="0.2">
      <c r="A1414" s="100">
        <v>200</v>
      </c>
      <c r="B1414" s="105" t="s">
        <v>92</v>
      </c>
      <c r="C1414" s="97"/>
    </row>
    <row r="1415" spans="1:3" x14ac:dyDescent="0.2">
      <c r="A1415" s="102">
        <v>201</v>
      </c>
      <c r="B1415" s="104" t="s">
        <v>93</v>
      </c>
      <c r="C1415" s="97"/>
    </row>
    <row r="1416" spans="1:3" x14ac:dyDescent="0.2">
      <c r="A1416" s="102">
        <v>202</v>
      </c>
      <c r="B1416" s="104" t="s">
        <v>94</v>
      </c>
      <c r="C1416" s="97"/>
    </row>
    <row r="1417" spans="1:3" x14ac:dyDescent="0.2">
      <c r="A1417" s="102">
        <v>203</v>
      </c>
      <c r="B1417" s="104" t="s">
        <v>95</v>
      </c>
      <c r="C1417" s="97"/>
    </row>
    <row r="1418" spans="1:3" x14ac:dyDescent="0.2">
      <c r="A1418" s="102">
        <v>204</v>
      </c>
      <c r="B1418" s="104" t="s">
        <v>96</v>
      </c>
      <c r="C1418" s="97"/>
    </row>
    <row r="1419" spans="1:3" x14ac:dyDescent="0.2">
      <c r="A1419" s="102">
        <v>205</v>
      </c>
      <c r="B1419" s="104" t="s">
        <v>97</v>
      </c>
      <c r="C1419" s="97"/>
    </row>
    <row r="1420" spans="1:3" x14ac:dyDescent="0.2">
      <c r="A1420" s="102">
        <v>206</v>
      </c>
      <c r="B1420" s="104" t="s">
        <v>98</v>
      </c>
      <c r="C1420" s="97"/>
    </row>
    <row r="1421" spans="1:3" x14ac:dyDescent="0.2">
      <c r="A1421" s="102">
        <v>207</v>
      </c>
      <c r="B1421" s="104" t="s">
        <v>99</v>
      </c>
      <c r="C1421" s="97"/>
    </row>
    <row r="1422" spans="1:3" x14ac:dyDescent="0.2">
      <c r="A1422" s="102">
        <v>208</v>
      </c>
      <c r="B1422" s="104" t="s">
        <v>100</v>
      </c>
      <c r="C1422" s="97"/>
    </row>
    <row r="1423" spans="1:3" x14ac:dyDescent="0.2">
      <c r="A1423" s="102">
        <v>209</v>
      </c>
      <c r="B1423" s="104" t="s">
        <v>101</v>
      </c>
      <c r="C1423" s="97"/>
    </row>
    <row r="1424" spans="1:3" x14ac:dyDescent="0.2">
      <c r="A1424" s="100">
        <v>300</v>
      </c>
      <c r="B1424" s="105" t="s">
        <v>102</v>
      </c>
      <c r="C1424" s="97"/>
    </row>
    <row r="1425" spans="1:3" x14ac:dyDescent="0.2">
      <c r="A1425" s="102">
        <v>301</v>
      </c>
      <c r="B1425" s="104" t="s">
        <v>556</v>
      </c>
      <c r="C1425" s="97"/>
    </row>
    <row r="1426" spans="1:3" x14ac:dyDescent="0.2">
      <c r="A1426" s="102">
        <v>302</v>
      </c>
      <c r="B1426" s="104" t="s">
        <v>557</v>
      </c>
      <c r="C1426" s="97"/>
    </row>
    <row r="1427" spans="1:3" x14ac:dyDescent="0.2">
      <c r="A1427" s="102">
        <v>303</v>
      </c>
      <c r="B1427" s="104" t="s">
        <v>103</v>
      </c>
      <c r="C1427" s="97"/>
    </row>
    <row r="1428" spans="1:3" x14ac:dyDescent="0.2">
      <c r="A1428" s="102">
        <v>304</v>
      </c>
      <c r="B1428" s="104" t="s">
        <v>104</v>
      </c>
      <c r="C1428" s="97"/>
    </row>
    <row r="1429" spans="1:3" x14ac:dyDescent="0.2">
      <c r="A1429" s="102">
        <v>305</v>
      </c>
      <c r="B1429" s="104" t="s">
        <v>105</v>
      </c>
      <c r="C1429" s="97"/>
    </row>
    <row r="1430" spans="1:3" x14ac:dyDescent="0.2">
      <c r="A1430" s="102">
        <v>306</v>
      </c>
      <c r="B1430" s="104" t="s">
        <v>106</v>
      </c>
      <c r="C1430" s="97"/>
    </row>
    <row r="1431" spans="1:3" x14ac:dyDescent="0.2">
      <c r="A1431" s="102">
        <v>307</v>
      </c>
      <c r="B1431" s="104" t="s">
        <v>107</v>
      </c>
      <c r="C1431" s="97"/>
    </row>
    <row r="1432" spans="1:3" x14ac:dyDescent="0.2">
      <c r="A1432" s="102">
        <v>308</v>
      </c>
      <c r="B1432" s="104" t="s">
        <v>108</v>
      </c>
      <c r="C1432" s="97"/>
    </row>
    <row r="1433" spans="1:3" ht="25.5" x14ac:dyDescent="0.2">
      <c r="A1433" s="102">
        <v>309</v>
      </c>
      <c r="B1433" s="104" t="s">
        <v>109</v>
      </c>
      <c r="C1433" s="97"/>
    </row>
    <row r="1434" spans="1:3" x14ac:dyDescent="0.2">
      <c r="A1434" s="102">
        <v>310</v>
      </c>
      <c r="B1434" s="104" t="s">
        <v>110</v>
      </c>
      <c r="C1434" s="97"/>
    </row>
    <row r="1435" spans="1:3" x14ac:dyDescent="0.2">
      <c r="A1435" s="102">
        <v>311</v>
      </c>
      <c r="B1435" s="104" t="s">
        <v>111</v>
      </c>
      <c r="C1435" s="97"/>
    </row>
    <row r="1436" spans="1:3" x14ac:dyDescent="0.2">
      <c r="A1436" s="102">
        <v>312</v>
      </c>
      <c r="B1436" s="104" t="s">
        <v>112</v>
      </c>
      <c r="C1436" s="97"/>
    </row>
    <row r="1437" spans="1:3" x14ac:dyDescent="0.2">
      <c r="A1437" s="102">
        <v>313</v>
      </c>
      <c r="B1437" s="104" t="s">
        <v>113</v>
      </c>
      <c r="C1437" s="97"/>
    </row>
    <row r="1438" spans="1:3" x14ac:dyDescent="0.2">
      <c r="A1438" s="102">
        <v>314</v>
      </c>
      <c r="B1438" s="104" t="s">
        <v>114</v>
      </c>
      <c r="C1438" s="97"/>
    </row>
    <row r="1439" spans="1:3" x14ac:dyDescent="0.2">
      <c r="A1439" s="100">
        <v>400</v>
      </c>
      <c r="B1439" s="105" t="s">
        <v>115</v>
      </c>
      <c r="C1439" s="97"/>
    </row>
    <row r="1440" spans="1:3" x14ac:dyDescent="0.2">
      <c r="A1440" s="102">
        <v>401</v>
      </c>
      <c r="B1440" s="106" t="s">
        <v>116</v>
      </c>
      <c r="C1440" s="97"/>
    </row>
    <row r="1441" spans="1:3" x14ac:dyDescent="0.2">
      <c r="A1441" s="102">
        <v>402</v>
      </c>
      <c r="B1441" s="103" t="s">
        <v>117</v>
      </c>
      <c r="C1441" s="97"/>
    </row>
    <row r="1442" spans="1:3" x14ac:dyDescent="0.2">
      <c r="A1442" s="102">
        <v>403</v>
      </c>
      <c r="B1442" s="104" t="s">
        <v>118</v>
      </c>
      <c r="C1442" s="97"/>
    </row>
    <row r="1443" spans="1:3" x14ac:dyDescent="0.2">
      <c r="A1443" s="102">
        <v>404</v>
      </c>
      <c r="B1443" s="104" t="s">
        <v>119</v>
      </c>
      <c r="C1443" s="97"/>
    </row>
    <row r="1444" spans="1:3" x14ac:dyDescent="0.2">
      <c r="A1444" s="102">
        <v>405</v>
      </c>
      <c r="B1444" s="104" t="s">
        <v>120</v>
      </c>
      <c r="C1444" s="97"/>
    </row>
    <row r="1445" spans="1:3" x14ac:dyDescent="0.2">
      <c r="A1445" s="102">
        <v>406</v>
      </c>
      <c r="B1445" s="104" t="s">
        <v>121</v>
      </c>
      <c r="C1445" s="97"/>
    </row>
    <row r="1446" spans="1:3" x14ac:dyDescent="0.2">
      <c r="A1446" s="102">
        <v>407</v>
      </c>
      <c r="B1446" s="104" t="s">
        <v>122</v>
      </c>
      <c r="C1446" s="97"/>
    </row>
    <row r="1447" spans="1:3" x14ac:dyDescent="0.2">
      <c r="A1447" s="102">
        <v>408</v>
      </c>
      <c r="B1447" s="104" t="s">
        <v>123</v>
      </c>
      <c r="C1447" s="97"/>
    </row>
    <row r="1448" spans="1:3" x14ac:dyDescent="0.2">
      <c r="A1448" s="102">
        <v>409</v>
      </c>
      <c r="B1448" s="104" t="s">
        <v>124</v>
      </c>
      <c r="C1448" s="97"/>
    </row>
    <row r="1449" spans="1:3" x14ac:dyDescent="0.2">
      <c r="A1449" s="102">
        <v>410</v>
      </c>
      <c r="B1449" s="104" t="s">
        <v>125</v>
      </c>
      <c r="C1449" s="97"/>
    </row>
    <row r="1450" spans="1:3" x14ac:dyDescent="0.2">
      <c r="A1450" s="102">
        <v>411</v>
      </c>
      <c r="B1450" s="104" t="s">
        <v>126</v>
      </c>
      <c r="C1450" s="97"/>
    </row>
    <row r="1451" spans="1:3" x14ac:dyDescent="0.2">
      <c r="A1451" s="102">
        <v>412</v>
      </c>
      <c r="B1451" s="104" t="s">
        <v>127</v>
      </c>
      <c r="C1451" s="97"/>
    </row>
    <row r="1452" spans="1:3" x14ac:dyDescent="0.2">
      <c r="A1452" s="100">
        <v>500</v>
      </c>
      <c r="B1452" s="105" t="s">
        <v>128</v>
      </c>
      <c r="C1452" s="97"/>
    </row>
    <row r="1453" spans="1:3" x14ac:dyDescent="0.2">
      <c r="A1453" s="102">
        <v>501</v>
      </c>
      <c r="B1453" s="104" t="s">
        <v>129</v>
      </c>
      <c r="C1453" s="97"/>
    </row>
    <row r="1454" spans="1:3" x14ac:dyDescent="0.2">
      <c r="A1454" s="102">
        <v>502</v>
      </c>
      <c r="B1454" s="104" t="s">
        <v>130</v>
      </c>
      <c r="C1454" s="97"/>
    </row>
    <row r="1455" spans="1:3" x14ac:dyDescent="0.2">
      <c r="A1455" s="102">
        <v>503</v>
      </c>
      <c r="B1455" s="103" t="s">
        <v>131</v>
      </c>
      <c r="C1455" s="97"/>
    </row>
    <row r="1456" spans="1:3" x14ac:dyDescent="0.2">
      <c r="A1456" s="102">
        <v>504</v>
      </c>
      <c r="B1456" s="104" t="s">
        <v>132</v>
      </c>
      <c r="C1456" s="97"/>
    </row>
    <row r="1457" spans="1:3" x14ac:dyDescent="0.2">
      <c r="A1457" s="102">
        <v>505</v>
      </c>
      <c r="B1457" s="104" t="s">
        <v>133</v>
      </c>
      <c r="C1457" s="97"/>
    </row>
    <row r="1458" spans="1:3" x14ac:dyDescent="0.2">
      <c r="A1458" s="100">
        <v>600</v>
      </c>
      <c r="B1458" s="107" t="s">
        <v>134</v>
      </c>
      <c r="C1458" s="97"/>
    </row>
    <row r="1459" spans="1:3" x14ac:dyDescent="0.2">
      <c r="A1459" s="102">
        <v>601</v>
      </c>
      <c r="B1459" s="103" t="s">
        <v>135</v>
      </c>
      <c r="C1459" s="97"/>
    </row>
    <row r="1460" spans="1:3" x14ac:dyDescent="0.2">
      <c r="A1460" s="102">
        <v>602</v>
      </c>
      <c r="B1460" s="104" t="s">
        <v>136</v>
      </c>
      <c r="C1460" s="97"/>
    </row>
    <row r="1461" spans="1:3" x14ac:dyDescent="0.2">
      <c r="A1461" s="102">
        <v>603</v>
      </c>
      <c r="B1461" s="104" t="s">
        <v>137</v>
      </c>
      <c r="C1461" s="97"/>
    </row>
    <row r="1462" spans="1:3" x14ac:dyDescent="0.2">
      <c r="A1462" s="102">
        <v>604</v>
      </c>
      <c r="B1462" s="104" t="s">
        <v>138</v>
      </c>
      <c r="C1462" s="97"/>
    </row>
    <row r="1463" spans="1:3" x14ac:dyDescent="0.2">
      <c r="A1463" s="102">
        <v>605</v>
      </c>
      <c r="B1463" s="104" t="s">
        <v>139</v>
      </c>
      <c r="C1463" s="97"/>
    </row>
    <row r="1464" spans="1:3" x14ac:dyDescent="0.2">
      <c r="A1464" s="100">
        <v>700</v>
      </c>
      <c r="B1464" s="107" t="s">
        <v>140</v>
      </c>
      <c r="C1464" s="97"/>
    </row>
    <row r="1465" spans="1:3" x14ac:dyDescent="0.2">
      <c r="A1465" s="102">
        <v>701</v>
      </c>
      <c r="B1465" s="104" t="s">
        <v>141</v>
      </c>
      <c r="C1465" s="97"/>
    </row>
    <row r="1466" spans="1:3" x14ac:dyDescent="0.2">
      <c r="A1466" s="102">
        <v>702</v>
      </c>
      <c r="B1466" s="104" t="s">
        <v>142</v>
      </c>
      <c r="C1466" s="97"/>
    </row>
    <row r="1467" spans="1:3" x14ac:dyDescent="0.2">
      <c r="A1467" s="102">
        <v>703</v>
      </c>
      <c r="B1467" s="104" t="s">
        <v>560</v>
      </c>
      <c r="C1467" s="97"/>
    </row>
    <row r="1468" spans="1:3" x14ac:dyDescent="0.2">
      <c r="A1468" s="102">
        <v>704</v>
      </c>
      <c r="B1468" s="104" t="s">
        <v>143</v>
      </c>
      <c r="C1468" s="97"/>
    </row>
    <row r="1469" spans="1:3" x14ac:dyDescent="0.2">
      <c r="A1469" s="102">
        <v>705</v>
      </c>
      <c r="B1469" s="104" t="s">
        <v>144</v>
      </c>
      <c r="C1469" s="97"/>
    </row>
    <row r="1470" spans="1:3" x14ac:dyDescent="0.2">
      <c r="A1470" s="108">
        <v>706</v>
      </c>
      <c r="B1470" s="109" t="s">
        <v>145</v>
      </c>
      <c r="C1470" s="97"/>
    </row>
    <row r="1471" spans="1:3" x14ac:dyDescent="0.2">
      <c r="A1471" s="102">
        <v>707</v>
      </c>
      <c r="B1471" s="104" t="s">
        <v>561</v>
      </c>
      <c r="C1471" s="97"/>
    </row>
    <row r="1472" spans="1:3" x14ac:dyDescent="0.2">
      <c r="A1472" s="102">
        <v>708</v>
      </c>
      <c r="B1472" s="104" t="s">
        <v>146</v>
      </c>
      <c r="C1472" s="97"/>
    </row>
    <row r="1473" spans="1:3" x14ac:dyDescent="0.2">
      <c r="A1473" s="102">
        <v>709</v>
      </c>
      <c r="B1473" s="104" t="s">
        <v>147</v>
      </c>
      <c r="C1473" s="97"/>
    </row>
    <row r="1474" spans="1:3" x14ac:dyDescent="0.2">
      <c r="A1474" s="100">
        <v>800</v>
      </c>
      <c r="B1474" s="107" t="s">
        <v>148</v>
      </c>
      <c r="C1474" s="97"/>
    </row>
    <row r="1475" spans="1:3" x14ac:dyDescent="0.2">
      <c r="A1475" s="102">
        <v>801</v>
      </c>
      <c r="B1475" s="104" t="s">
        <v>149</v>
      </c>
      <c r="C1475" s="97"/>
    </row>
    <row r="1476" spans="1:3" x14ac:dyDescent="0.2">
      <c r="A1476" s="102">
        <v>802</v>
      </c>
      <c r="B1476" s="104" t="s">
        <v>150</v>
      </c>
      <c r="C1476" s="97"/>
    </row>
    <row r="1477" spans="1:3" x14ac:dyDescent="0.2">
      <c r="A1477" s="102">
        <v>803</v>
      </c>
      <c r="B1477" s="104" t="s">
        <v>151</v>
      </c>
      <c r="C1477" s="97"/>
    </row>
    <row r="1478" spans="1:3" x14ac:dyDescent="0.2">
      <c r="A1478" s="102">
        <v>804</v>
      </c>
      <c r="B1478" s="104" t="s">
        <v>152</v>
      </c>
      <c r="C1478" s="97"/>
    </row>
    <row r="1479" spans="1:3" x14ac:dyDescent="0.2">
      <c r="A1479" s="100">
        <v>900</v>
      </c>
      <c r="B1479" s="107" t="s">
        <v>153</v>
      </c>
      <c r="C1479" s="97"/>
    </row>
    <row r="1480" spans="1:3" x14ac:dyDescent="0.2">
      <c r="A1480" s="102">
        <v>901</v>
      </c>
      <c r="B1480" s="104" t="s">
        <v>154</v>
      </c>
      <c r="C1480" s="97"/>
    </row>
    <row r="1481" spans="1:3" x14ac:dyDescent="0.2">
      <c r="A1481" s="102">
        <v>902</v>
      </c>
      <c r="B1481" s="104" t="s">
        <v>155</v>
      </c>
      <c r="C1481" s="97"/>
    </row>
    <row r="1482" spans="1:3" x14ac:dyDescent="0.2">
      <c r="A1482" s="102">
        <v>903</v>
      </c>
      <c r="B1482" s="104" t="s">
        <v>156</v>
      </c>
      <c r="C1482" s="97"/>
    </row>
    <row r="1483" spans="1:3" x14ac:dyDescent="0.2">
      <c r="A1483" s="102">
        <v>904</v>
      </c>
      <c r="B1483" s="104" t="s">
        <v>157</v>
      </c>
      <c r="C1483" s="97"/>
    </row>
    <row r="1484" spans="1:3" x14ac:dyDescent="0.2">
      <c r="A1484" s="102">
        <v>905</v>
      </c>
      <c r="B1484" s="110" t="s">
        <v>158</v>
      </c>
      <c r="C1484" s="97"/>
    </row>
    <row r="1485" spans="1:3" x14ac:dyDescent="0.2">
      <c r="A1485" s="102">
        <v>906</v>
      </c>
      <c r="B1485" s="110" t="s">
        <v>159</v>
      </c>
      <c r="C1485" s="97"/>
    </row>
    <row r="1486" spans="1:3" x14ac:dyDescent="0.2">
      <c r="A1486" s="102">
        <v>907</v>
      </c>
      <c r="B1486" s="104" t="s">
        <v>160</v>
      </c>
      <c r="C1486" s="97"/>
    </row>
    <row r="1487" spans="1:3" x14ac:dyDescent="0.2">
      <c r="A1487" s="102">
        <v>908</v>
      </c>
      <c r="B1487" s="103" t="s">
        <v>161</v>
      </c>
      <c r="C1487" s="97"/>
    </row>
    <row r="1488" spans="1:3" x14ac:dyDescent="0.2">
      <c r="A1488" s="102">
        <v>909</v>
      </c>
      <c r="B1488" s="104" t="s">
        <v>162</v>
      </c>
      <c r="C1488" s="97"/>
    </row>
    <row r="1489" spans="1:3" x14ac:dyDescent="0.2">
      <c r="A1489" s="100">
        <v>1000</v>
      </c>
      <c r="B1489" s="107" t="s">
        <v>163</v>
      </c>
      <c r="C1489" s="97"/>
    </row>
    <row r="1490" spans="1:3" x14ac:dyDescent="0.2">
      <c r="A1490" s="102">
        <v>1001</v>
      </c>
      <c r="B1490" s="104" t="s">
        <v>164</v>
      </c>
      <c r="C1490" s="97"/>
    </row>
    <row r="1491" spans="1:3" x14ac:dyDescent="0.2">
      <c r="A1491" s="102">
        <v>1002</v>
      </c>
      <c r="B1491" s="104" t="s">
        <v>165</v>
      </c>
      <c r="C1491" s="97"/>
    </row>
    <row r="1492" spans="1:3" x14ac:dyDescent="0.2">
      <c r="A1492" s="102">
        <v>1003</v>
      </c>
      <c r="B1492" s="104" t="s">
        <v>166</v>
      </c>
      <c r="C1492" s="97"/>
    </row>
    <row r="1493" spans="1:3" x14ac:dyDescent="0.2">
      <c r="A1493" s="102">
        <v>1004</v>
      </c>
      <c r="B1493" s="103" t="s">
        <v>167</v>
      </c>
      <c r="C1493" s="97"/>
    </row>
    <row r="1494" spans="1:3" x14ac:dyDescent="0.2">
      <c r="A1494" s="102">
        <v>1005</v>
      </c>
      <c r="B1494" s="104" t="s">
        <v>168</v>
      </c>
      <c r="C1494" s="97"/>
    </row>
    <row r="1495" spans="1:3" x14ac:dyDescent="0.2">
      <c r="A1495" s="102">
        <v>1006</v>
      </c>
      <c r="B1495" s="104" t="s">
        <v>169</v>
      </c>
      <c r="C1495" s="97"/>
    </row>
    <row r="1496" spans="1:3" x14ac:dyDescent="0.2">
      <c r="A1496" s="100">
        <v>1100</v>
      </c>
      <c r="B1496" s="107" t="s">
        <v>170</v>
      </c>
      <c r="C1496" s="97"/>
    </row>
    <row r="1497" spans="1:3" x14ac:dyDescent="0.2">
      <c r="A1497" s="102">
        <v>1101</v>
      </c>
      <c r="B1497" s="104" t="s">
        <v>171</v>
      </c>
      <c r="C1497" s="97"/>
    </row>
    <row r="1498" spans="1:3" x14ac:dyDescent="0.2">
      <c r="A1498" s="102">
        <v>1102</v>
      </c>
      <c r="B1498" s="110" t="s">
        <v>172</v>
      </c>
      <c r="C1498" s="97"/>
    </row>
    <row r="1499" spans="1:3" x14ac:dyDescent="0.2">
      <c r="A1499" s="102">
        <v>1103</v>
      </c>
      <c r="B1499" s="104" t="s">
        <v>173</v>
      </c>
      <c r="C1499" s="97"/>
    </row>
    <row r="1500" spans="1:3" x14ac:dyDescent="0.2">
      <c r="A1500" s="102">
        <v>1104</v>
      </c>
      <c r="B1500" s="104" t="s">
        <v>174</v>
      </c>
      <c r="C1500" s="97"/>
    </row>
    <row r="1501" spans="1:3" x14ac:dyDescent="0.2">
      <c r="A1501" s="102">
        <v>1105</v>
      </c>
      <c r="B1501" s="104" t="s">
        <v>175</v>
      </c>
      <c r="C1501" s="97"/>
    </row>
    <row r="1502" spans="1:3" x14ac:dyDescent="0.2">
      <c r="A1502" s="100">
        <v>1200</v>
      </c>
      <c r="B1502" s="107" t="s">
        <v>176</v>
      </c>
    </row>
    <row r="1503" spans="1:3" x14ac:dyDescent="0.2">
      <c r="A1503" s="102">
        <v>1201</v>
      </c>
      <c r="B1503" s="104" t="s">
        <v>177</v>
      </c>
    </row>
    <row r="1504" spans="1:3" x14ac:dyDescent="0.2">
      <c r="A1504" s="102">
        <v>1202</v>
      </c>
      <c r="B1504" s="104" t="s">
        <v>178</v>
      </c>
    </row>
    <row r="1505" spans="1:2" x14ac:dyDescent="0.2">
      <c r="A1505" s="102">
        <v>1203</v>
      </c>
      <c r="B1505" s="104" t="s">
        <v>179</v>
      </c>
    </row>
    <row r="1506" spans="1:2" x14ac:dyDescent="0.2">
      <c r="A1506" s="102">
        <v>1204</v>
      </c>
      <c r="B1506" s="104" t="s">
        <v>180</v>
      </c>
    </row>
    <row r="1507" spans="1:2" x14ac:dyDescent="0.2">
      <c r="A1507" s="100">
        <v>1300</v>
      </c>
      <c r="B1507" s="107" t="s">
        <v>181</v>
      </c>
    </row>
    <row r="1508" spans="1:2" x14ac:dyDescent="0.2">
      <c r="A1508" s="102">
        <v>1301</v>
      </c>
      <c r="B1508" s="104" t="s">
        <v>182</v>
      </c>
    </row>
    <row r="1509" spans="1:2" x14ac:dyDescent="0.2">
      <c r="A1509" s="102">
        <v>1302</v>
      </c>
      <c r="B1509" s="104" t="s">
        <v>183</v>
      </c>
    </row>
    <row r="1510" spans="1:2" ht="25.5" x14ac:dyDescent="0.2">
      <c r="A1510" s="100">
        <v>1400</v>
      </c>
      <c r="B1510" s="107" t="s">
        <v>184</v>
      </c>
    </row>
    <row r="1511" spans="1:2" x14ac:dyDescent="0.2">
      <c r="A1511" s="102">
        <v>1401</v>
      </c>
      <c r="B1511" s="104" t="s">
        <v>185</v>
      </c>
    </row>
    <row r="1512" spans="1:2" x14ac:dyDescent="0.2">
      <c r="A1512" s="102">
        <v>1402</v>
      </c>
      <c r="B1512" s="104" t="s">
        <v>186</v>
      </c>
    </row>
    <row r="1513" spans="1:2" ht="25.5" x14ac:dyDescent="0.2">
      <c r="A1513" s="102">
        <v>1403</v>
      </c>
      <c r="B1513" s="104" t="s">
        <v>187</v>
      </c>
    </row>
  </sheetData>
  <printOptions gridLinesSet="0"/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3"/>
  <sheetViews>
    <sheetView topLeftCell="A7" workbookViewId="0">
      <selection activeCell="B14" sqref="B14"/>
    </sheetView>
  </sheetViews>
  <sheetFormatPr defaultColWidth="9.140625" defaultRowHeight="15.75" x14ac:dyDescent="0.25"/>
  <cols>
    <col min="1" max="1" width="19.5703125" style="111" customWidth="1"/>
    <col min="2" max="2" width="81.7109375" style="111" customWidth="1"/>
    <col min="3" max="16384" width="9.140625" style="111"/>
  </cols>
  <sheetData>
    <row r="2" spans="1:2" ht="16.5" thickBot="1" x14ac:dyDescent="0.3"/>
    <row r="3" spans="1:2" x14ac:dyDescent="0.25">
      <c r="A3" s="169" t="s">
        <v>273</v>
      </c>
      <c r="B3" s="170" t="s">
        <v>559</v>
      </c>
    </row>
    <row r="4" spans="1:2" x14ac:dyDescent="0.25">
      <c r="A4" s="296" t="s">
        <v>776</v>
      </c>
      <c r="B4" s="297" t="s">
        <v>888</v>
      </c>
    </row>
    <row r="5" spans="1:2" ht="36.75" customHeight="1" x14ac:dyDescent="0.25">
      <c r="A5" s="163" t="s">
        <v>256</v>
      </c>
      <c r="B5" s="166" t="s">
        <v>889</v>
      </c>
    </row>
    <row r="6" spans="1:2" x14ac:dyDescent="0.25">
      <c r="A6" s="113" t="s">
        <v>610</v>
      </c>
      <c r="B6" s="147" t="s">
        <v>575</v>
      </c>
    </row>
    <row r="7" spans="1:2" ht="31.5" x14ac:dyDescent="0.25">
      <c r="A7" s="113" t="s">
        <v>612</v>
      </c>
      <c r="B7" s="4" t="s">
        <v>748</v>
      </c>
    </row>
    <row r="8" spans="1:2" ht="31.5" x14ac:dyDescent="0.25">
      <c r="A8" s="113" t="s">
        <v>846</v>
      </c>
      <c r="B8" s="494" t="s">
        <v>845</v>
      </c>
    </row>
    <row r="9" spans="1:2" ht="24" customHeight="1" x14ac:dyDescent="0.25">
      <c r="A9" s="113" t="s">
        <v>847</v>
      </c>
      <c r="B9" s="494" t="s">
        <v>857</v>
      </c>
    </row>
    <row r="10" spans="1:2" s="112" customFormat="1" ht="31.5" x14ac:dyDescent="0.25">
      <c r="A10" s="163" t="s">
        <v>252</v>
      </c>
      <c r="B10" s="167" t="s">
        <v>878</v>
      </c>
    </row>
    <row r="11" spans="1:2" x14ac:dyDescent="0.25">
      <c r="A11" s="113" t="s">
        <v>611</v>
      </c>
      <c r="B11" s="175" t="s">
        <v>607</v>
      </c>
    </row>
    <row r="12" spans="1:2" ht="31.5" x14ac:dyDescent="0.25">
      <c r="A12" s="113" t="s">
        <v>613</v>
      </c>
      <c r="B12" s="175" t="s">
        <v>614</v>
      </c>
    </row>
    <row r="13" spans="1:2" x14ac:dyDescent="0.25">
      <c r="A13" s="113" t="s">
        <v>689</v>
      </c>
      <c r="B13" s="175" t="s">
        <v>690</v>
      </c>
    </row>
    <row r="14" spans="1:2" s="112" customFormat="1" ht="36.75" customHeight="1" x14ac:dyDescent="0.25">
      <c r="A14" s="163" t="s">
        <v>254</v>
      </c>
      <c r="B14" s="166" t="s">
        <v>899</v>
      </c>
    </row>
    <row r="15" spans="1:2" ht="31.5" x14ac:dyDescent="0.25">
      <c r="A15" s="113" t="s">
        <v>616</v>
      </c>
      <c r="B15" s="176" t="s">
        <v>608</v>
      </c>
    </row>
    <row r="16" spans="1:2" s="112" customFormat="1" ht="31.5" x14ac:dyDescent="0.25">
      <c r="A16" s="113" t="s">
        <v>619</v>
      </c>
      <c r="B16" s="176" t="s">
        <v>614</v>
      </c>
    </row>
    <row r="17" spans="1:2" ht="31.5" x14ac:dyDescent="0.25">
      <c r="A17" s="164" t="s">
        <v>262</v>
      </c>
      <c r="B17" s="168" t="s">
        <v>879</v>
      </c>
    </row>
    <row r="18" spans="1:2" s="112" customFormat="1" ht="31.5" x14ac:dyDescent="0.25">
      <c r="A18" s="113" t="s">
        <v>263</v>
      </c>
      <c r="B18" s="177" t="s">
        <v>609</v>
      </c>
    </row>
    <row r="19" spans="1:2" ht="47.25" x14ac:dyDescent="0.25">
      <c r="A19" s="171" t="s">
        <v>265</v>
      </c>
      <c r="B19" s="172" t="s">
        <v>880</v>
      </c>
    </row>
    <row r="20" spans="1:2" ht="31.5" x14ac:dyDescent="0.25">
      <c r="A20" s="113" t="s">
        <v>615</v>
      </c>
      <c r="B20" s="178" t="s">
        <v>719</v>
      </c>
    </row>
    <row r="21" spans="1:2" ht="31.5" x14ac:dyDescent="0.25">
      <c r="A21" s="163" t="s">
        <v>266</v>
      </c>
      <c r="B21" s="168" t="s">
        <v>881</v>
      </c>
    </row>
    <row r="22" spans="1:2" s="112" customFormat="1" ht="31.5" x14ac:dyDescent="0.25">
      <c r="A22" s="113" t="s">
        <v>267</v>
      </c>
      <c r="B22" s="177" t="s">
        <v>890</v>
      </c>
    </row>
    <row r="23" spans="1:2" ht="47.25" x14ac:dyDescent="0.25">
      <c r="A23" s="165" t="s">
        <v>268</v>
      </c>
      <c r="B23" s="168" t="s">
        <v>885</v>
      </c>
    </row>
    <row r="24" spans="1:2" ht="31.5" x14ac:dyDescent="0.25">
      <c r="A24" s="113" t="s">
        <v>617</v>
      </c>
      <c r="B24" s="177" t="s">
        <v>752</v>
      </c>
    </row>
    <row r="25" spans="1:2" ht="31.5" x14ac:dyDescent="0.25">
      <c r="A25" s="165" t="s">
        <v>721</v>
      </c>
      <c r="B25" s="168" t="s">
        <v>882</v>
      </c>
    </row>
    <row r="26" spans="1:2" ht="31.5" x14ac:dyDescent="0.25">
      <c r="A26" s="113" t="s">
        <v>722</v>
      </c>
      <c r="B26" s="177" t="s">
        <v>723</v>
      </c>
    </row>
    <row r="27" spans="1:2" ht="31.5" x14ac:dyDescent="0.25">
      <c r="A27" s="165" t="s">
        <v>827</v>
      </c>
      <c r="B27" s="168" t="s">
        <v>883</v>
      </c>
    </row>
    <row r="28" spans="1:2" ht="31.5" x14ac:dyDescent="0.25">
      <c r="A28" s="113" t="s">
        <v>828</v>
      </c>
      <c r="B28" s="177" t="s">
        <v>834</v>
      </c>
    </row>
    <row r="29" spans="1:2" ht="31.5" x14ac:dyDescent="0.25">
      <c r="A29" s="113" t="s">
        <v>829</v>
      </c>
      <c r="B29" s="479" t="s">
        <v>886</v>
      </c>
    </row>
    <row r="30" spans="1:2" ht="47.25" x14ac:dyDescent="0.25">
      <c r="A30" s="165" t="s">
        <v>831</v>
      </c>
      <c r="B30" s="168" t="s">
        <v>884</v>
      </c>
    </row>
    <row r="31" spans="1:2" ht="31.5" x14ac:dyDescent="0.25">
      <c r="A31" s="113" t="s">
        <v>832</v>
      </c>
      <c r="B31" s="176" t="s">
        <v>887</v>
      </c>
    </row>
    <row r="32" spans="1:2" x14ac:dyDescent="0.25">
      <c r="A32" s="113" t="s">
        <v>833</v>
      </c>
      <c r="B32" s="177" t="s">
        <v>830</v>
      </c>
    </row>
    <row r="33" spans="1:2" ht="16.5" thickBot="1" x14ac:dyDescent="0.3">
      <c r="A33" s="173" t="s">
        <v>618</v>
      </c>
      <c r="B33" s="174" t="s">
        <v>247</v>
      </c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0"/>
  <sheetViews>
    <sheetView topLeftCell="A105" workbookViewId="0">
      <selection activeCell="B114" sqref="B114"/>
    </sheetView>
  </sheetViews>
  <sheetFormatPr defaultColWidth="9.140625" defaultRowHeight="15.75" x14ac:dyDescent="0.2"/>
  <cols>
    <col min="1" max="1" width="21.42578125" style="197" customWidth="1"/>
    <col min="2" max="2" width="117.140625" style="197" customWidth="1"/>
    <col min="3" max="16384" width="9.140625" style="197"/>
  </cols>
  <sheetData>
    <row r="1" spans="1:2" ht="16.5" thickBot="1" x14ac:dyDescent="0.25">
      <c r="A1" s="195" t="s">
        <v>558</v>
      </c>
      <c r="B1" s="196" t="s">
        <v>76</v>
      </c>
    </row>
    <row r="2" spans="1:2" x14ac:dyDescent="0.2">
      <c r="A2" s="201">
        <v>20010</v>
      </c>
      <c r="B2" s="191" t="s">
        <v>694</v>
      </c>
    </row>
    <row r="3" spans="1:2" x14ac:dyDescent="0.2">
      <c r="A3" s="307">
        <v>20020</v>
      </c>
      <c r="B3" s="308"/>
    </row>
    <row r="4" spans="1:2" x14ac:dyDescent="0.2">
      <c r="A4" s="202">
        <v>20030</v>
      </c>
      <c r="B4" s="190" t="s">
        <v>717</v>
      </c>
    </row>
    <row r="5" spans="1:2" x14ac:dyDescent="0.2">
      <c r="A5" s="202">
        <v>20040</v>
      </c>
      <c r="B5" s="190" t="s">
        <v>877</v>
      </c>
    </row>
    <row r="6" spans="1:2" x14ac:dyDescent="0.2">
      <c r="A6" s="202">
        <v>20050</v>
      </c>
      <c r="B6" s="190" t="s">
        <v>711</v>
      </c>
    </row>
    <row r="7" spans="1:2" x14ac:dyDescent="0.2">
      <c r="A7" s="202">
        <v>20060</v>
      </c>
      <c r="B7" s="190"/>
    </row>
    <row r="8" spans="1:2" x14ac:dyDescent="0.2">
      <c r="A8" s="202">
        <v>20070</v>
      </c>
      <c r="B8" s="190" t="s">
        <v>695</v>
      </c>
    </row>
    <row r="9" spans="1:2" x14ac:dyDescent="0.2">
      <c r="A9" s="202">
        <v>20080</v>
      </c>
      <c r="B9" s="190"/>
    </row>
    <row r="10" spans="1:2" x14ac:dyDescent="0.2">
      <c r="A10" s="202">
        <v>20090</v>
      </c>
      <c r="B10" s="190" t="s">
        <v>696</v>
      </c>
    </row>
    <row r="11" spans="1:2" x14ac:dyDescent="0.2">
      <c r="A11" s="202">
        <v>20100</v>
      </c>
      <c r="B11" s="190"/>
    </row>
    <row r="12" spans="1:2" x14ac:dyDescent="0.2">
      <c r="A12" s="202">
        <v>20110</v>
      </c>
      <c r="B12" s="190"/>
    </row>
    <row r="13" spans="1:2" x14ac:dyDescent="0.2">
      <c r="A13" s="202">
        <v>20120</v>
      </c>
      <c r="B13" s="190" t="s">
        <v>697</v>
      </c>
    </row>
    <row r="14" spans="1:2" x14ac:dyDescent="0.2">
      <c r="A14" s="202">
        <v>20130</v>
      </c>
      <c r="B14" s="190" t="s">
        <v>698</v>
      </c>
    </row>
    <row r="15" spans="1:2" x14ac:dyDescent="0.2">
      <c r="A15" s="202">
        <v>20140</v>
      </c>
      <c r="B15" s="190"/>
    </row>
    <row r="16" spans="1:2" ht="31.5" x14ac:dyDescent="0.2">
      <c r="A16" s="202">
        <v>20150</v>
      </c>
      <c r="B16" s="190" t="s">
        <v>707</v>
      </c>
    </row>
    <row r="17" spans="1:2" ht="31.5" x14ac:dyDescent="0.2">
      <c r="A17" s="202">
        <v>20160</v>
      </c>
      <c r="B17" s="190" t="s">
        <v>708</v>
      </c>
    </row>
    <row r="18" spans="1:2" x14ac:dyDescent="0.2">
      <c r="A18" s="202">
        <v>20170</v>
      </c>
      <c r="B18" s="190" t="s">
        <v>777</v>
      </c>
    </row>
    <row r="19" spans="1:2" ht="31.5" x14ac:dyDescent="0.2">
      <c r="A19" s="202">
        <v>20180</v>
      </c>
      <c r="B19" s="190" t="s">
        <v>751</v>
      </c>
    </row>
    <row r="20" spans="1:2" ht="31.5" x14ac:dyDescent="0.2">
      <c r="A20" s="202">
        <v>20190</v>
      </c>
      <c r="B20" s="190" t="s">
        <v>699</v>
      </c>
    </row>
    <row r="21" spans="1:2" x14ac:dyDescent="0.2">
      <c r="A21" s="202">
        <v>20200</v>
      </c>
      <c r="B21" s="190" t="s">
        <v>891</v>
      </c>
    </row>
    <row r="22" spans="1:2" x14ac:dyDescent="0.2">
      <c r="A22" s="202">
        <v>20210</v>
      </c>
      <c r="B22" s="190" t="s">
        <v>753</v>
      </c>
    </row>
    <row r="23" spans="1:2" x14ac:dyDescent="0.2">
      <c r="A23" s="202">
        <v>20220</v>
      </c>
      <c r="B23" s="190" t="s">
        <v>892</v>
      </c>
    </row>
    <row r="24" spans="1:2" ht="31.5" x14ac:dyDescent="0.2">
      <c r="A24" s="202">
        <v>20230</v>
      </c>
      <c r="B24" s="189" t="s">
        <v>755</v>
      </c>
    </row>
    <row r="25" spans="1:2" ht="31.5" x14ac:dyDescent="0.2">
      <c r="A25" s="202">
        <v>20240</v>
      </c>
      <c r="B25" s="190" t="s">
        <v>893</v>
      </c>
    </row>
    <row r="26" spans="1:2" x14ac:dyDescent="0.2">
      <c r="A26" s="202">
        <v>20250</v>
      </c>
      <c r="B26" s="189"/>
    </row>
    <row r="27" spans="1:2" x14ac:dyDescent="0.2">
      <c r="A27" s="202">
        <v>20260</v>
      </c>
      <c r="B27" s="189"/>
    </row>
    <row r="28" spans="1:2" x14ac:dyDescent="0.2">
      <c r="A28" s="202">
        <v>20270</v>
      </c>
      <c r="B28" s="189"/>
    </row>
    <row r="29" spans="1:2" x14ac:dyDescent="0.2">
      <c r="A29" s="202">
        <v>20280</v>
      </c>
      <c r="B29" s="190" t="s">
        <v>700</v>
      </c>
    </row>
    <row r="30" spans="1:2" x14ac:dyDescent="0.2">
      <c r="A30" s="202">
        <v>20290</v>
      </c>
      <c r="B30" s="190" t="s">
        <v>702</v>
      </c>
    </row>
    <row r="31" spans="1:2" x14ac:dyDescent="0.2">
      <c r="A31" s="202">
        <v>20300</v>
      </c>
      <c r="B31" s="190" t="s">
        <v>701</v>
      </c>
    </row>
    <row r="32" spans="1:2" x14ac:dyDescent="0.2">
      <c r="A32" s="202">
        <v>20310</v>
      </c>
      <c r="B32" s="190" t="s">
        <v>703</v>
      </c>
    </row>
    <row r="33" spans="1:2" x14ac:dyDescent="0.2">
      <c r="A33" s="202">
        <v>20320</v>
      </c>
      <c r="B33" s="190" t="s">
        <v>704</v>
      </c>
    </row>
    <row r="34" spans="1:2" x14ac:dyDescent="0.2">
      <c r="A34" s="202">
        <v>20330</v>
      </c>
      <c r="B34" s="190"/>
    </row>
    <row r="35" spans="1:2" x14ac:dyDescent="0.2">
      <c r="A35" s="202">
        <v>20340</v>
      </c>
      <c r="B35" s="190"/>
    </row>
    <row r="36" spans="1:2" x14ac:dyDescent="0.2">
      <c r="A36" s="202">
        <v>20350</v>
      </c>
      <c r="B36" s="190" t="s">
        <v>720</v>
      </c>
    </row>
    <row r="37" spans="1:2" ht="31.5" x14ac:dyDescent="0.2">
      <c r="A37" s="202">
        <v>20360</v>
      </c>
      <c r="B37" s="190" t="s">
        <v>705</v>
      </c>
    </row>
    <row r="38" spans="1:2" ht="31.5" x14ac:dyDescent="0.2">
      <c r="A38" s="202">
        <v>20370</v>
      </c>
      <c r="B38" s="190" t="s">
        <v>710</v>
      </c>
    </row>
    <row r="39" spans="1:2" ht="32.25" thickBot="1" x14ac:dyDescent="0.25">
      <c r="A39" s="203">
        <v>20380</v>
      </c>
      <c r="B39" s="192" t="s">
        <v>709</v>
      </c>
    </row>
    <row r="40" spans="1:2" ht="16.5" thickBot="1" x14ac:dyDescent="0.25">
      <c r="A40" s="221"/>
      <c r="B40" s="222"/>
    </row>
    <row r="41" spans="1:2" x14ac:dyDescent="0.2">
      <c r="A41" s="201">
        <v>21236</v>
      </c>
      <c r="B41" s="191" t="s">
        <v>813</v>
      </c>
    </row>
    <row r="42" spans="1:2" ht="31.5" x14ac:dyDescent="0.2">
      <c r="A42" s="202">
        <v>22446</v>
      </c>
      <c r="B42" s="193" t="s">
        <v>814</v>
      </c>
    </row>
    <row r="43" spans="1:2" ht="31.5" x14ac:dyDescent="0.2">
      <c r="A43" s="202">
        <v>23906</v>
      </c>
      <c r="B43" s="193" t="s">
        <v>815</v>
      </c>
    </row>
    <row r="44" spans="1:2" ht="31.5" x14ac:dyDescent="0.2">
      <c r="A44" s="202">
        <v>25356</v>
      </c>
      <c r="B44" s="193" t="s">
        <v>816</v>
      </c>
    </row>
    <row r="45" spans="1:2" ht="32.25" thickBot="1" x14ac:dyDescent="0.25">
      <c r="A45" s="203">
        <v>25626</v>
      </c>
      <c r="B45" s="192" t="s">
        <v>817</v>
      </c>
    </row>
    <row r="46" spans="1:2" ht="16.5" thickBot="1" x14ac:dyDescent="0.25">
      <c r="A46" s="206"/>
      <c r="B46" s="198"/>
    </row>
    <row r="47" spans="1:2" x14ac:dyDescent="0.2">
      <c r="A47" s="207">
        <v>29016</v>
      </c>
      <c r="B47" s="199" t="s">
        <v>750</v>
      </c>
    </row>
    <row r="48" spans="1:2" ht="31.5" x14ac:dyDescent="0.2">
      <c r="A48" s="208">
        <v>29026</v>
      </c>
      <c r="B48" s="189" t="s">
        <v>637</v>
      </c>
    </row>
    <row r="49" spans="1:2" ht="31.5" x14ac:dyDescent="0.2">
      <c r="A49" s="208">
        <v>29036</v>
      </c>
      <c r="B49" s="189" t="s">
        <v>638</v>
      </c>
    </row>
    <row r="50" spans="1:2" ht="31.5" x14ac:dyDescent="0.2">
      <c r="A50" s="208">
        <v>29046</v>
      </c>
      <c r="B50" s="189" t="s">
        <v>639</v>
      </c>
    </row>
    <row r="51" spans="1:2" ht="31.5" x14ac:dyDescent="0.2">
      <c r="A51" s="208">
        <v>29056</v>
      </c>
      <c r="B51" s="189" t="s">
        <v>61</v>
      </c>
    </row>
    <row r="52" spans="1:2" x14ac:dyDescent="0.2">
      <c r="A52" s="208">
        <v>29066</v>
      </c>
      <c r="B52" s="189" t="s">
        <v>706</v>
      </c>
    </row>
    <row r="53" spans="1:2" ht="31.5" x14ac:dyDescent="0.2">
      <c r="A53" s="208">
        <v>29076</v>
      </c>
      <c r="B53" s="189" t="s">
        <v>640</v>
      </c>
    </row>
    <row r="54" spans="1:2" ht="31.5" x14ac:dyDescent="0.2">
      <c r="A54" s="208">
        <v>29086</v>
      </c>
      <c r="B54" s="189" t="s">
        <v>641</v>
      </c>
    </row>
    <row r="55" spans="1:2" ht="31.5" x14ac:dyDescent="0.2">
      <c r="A55" s="208">
        <v>29096</v>
      </c>
      <c r="B55" s="189" t="s">
        <v>62</v>
      </c>
    </row>
    <row r="56" spans="1:2" ht="31.5" x14ac:dyDescent="0.2">
      <c r="A56" s="208">
        <v>29106</v>
      </c>
      <c r="B56" s="189" t="s">
        <v>642</v>
      </c>
    </row>
    <row r="57" spans="1:2" ht="31.5" x14ac:dyDescent="0.2">
      <c r="A57" s="208">
        <v>29116</v>
      </c>
      <c r="B57" s="189" t="s">
        <v>749</v>
      </c>
    </row>
    <row r="58" spans="1:2" ht="30" customHeight="1" x14ac:dyDescent="0.2">
      <c r="A58" s="208">
        <v>29126</v>
      </c>
      <c r="B58" s="189" t="s">
        <v>643</v>
      </c>
    </row>
    <row r="59" spans="1:2" ht="31.5" x14ac:dyDescent="0.2">
      <c r="A59" s="208">
        <v>29136</v>
      </c>
      <c r="B59" s="189" t="s">
        <v>894</v>
      </c>
    </row>
    <row r="60" spans="1:2" ht="31.5" x14ac:dyDescent="0.2">
      <c r="A60" s="208">
        <v>29146</v>
      </c>
      <c r="B60" s="189" t="s">
        <v>644</v>
      </c>
    </row>
    <row r="61" spans="1:2" x14ac:dyDescent="0.2">
      <c r="A61" s="208">
        <v>29156</v>
      </c>
      <c r="B61" s="189" t="s">
        <v>63</v>
      </c>
    </row>
    <row r="62" spans="1:2" ht="31.5" x14ac:dyDescent="0.2">
      <c r="A62" s="208">
        <v>29166</v>
      </c>
      <c r="B62" s="189" t="s">
        <v>645</v>
      </c>
    </row>
    <row r="63" spans="1:2" ht="31.5" x14ac:dyDescent="0.2">
      <c r="A63" s="208">
        <v>29176</v>
      </c>
      <c r="B63" s="189" t="s">
        <v>895</v>
      </c>
    </row>
    <row r="64" spans="1:2" ht="31.5" x14ac:dyDescent="0.2">
      <c r="A64" s="208">
        <v>29186</v>
      </c>
      <c r="B64" s="189" t="s">
        <v>64</v>
      </c>
    </row>
    <row r="65" spans="1:2" ht="31.5" x14ac:dyDescent="0.2">
      <c r="A65" s="208">
        <v>29196</v>
      </c>
      <c r="B65" s="189" t="s">
        <v>65</v>
      </c>
    </row>
    <row r="66" spans="1:2" ht="22.5" customHeight="1" x14ac:dyDescent="0.2">
      <c r="A66" s="208">
        <v>29206</v>
      </c>
      <c r="B66" s="189" t="s">
        <v>646</v>
      </c>
    </row>
    <row r="67" spans="1:2" x14ac:dyDescent="0.2">
      <c r="A67" s="208">
        <v>29216</v>
      </c>
      <c r="B67" s="189" t="s">
        <v>647</v>
      </c>
    </row>
    <row r="68" spans="1:2" x14ac:dyDescent="0.2">
      <c r="A68" s="208">
        <v>29226</v>
      </c>
      <c r="B68" s="189" t="s">
        <v>648</v>
      </c>
    </row>
    <row r="69" spans="1:2" x14ac:dyDescent="0.2">
      <c r="A69" s="208">
        <v>29236</v>
      </c>
      <c r="B69" s="189" t="s">
        <v>66</v>
      </c>
    </row>
    <row r="70" spans="1:2" ht="31.5" x14ac:dyDescent="0.2">
      <c r="A70" s="208">
        <v>29246</v>
      </c>
      <c r="B70" s="189" t="s">
        <v>67</v>
      </c>
    </row>
    <row r="71" spans="1:2" ht="31.5" x14ac:dyDescent="0.2">
      <c r="A71" s="208">
        <v>29256</v>
      </c>
      <c r="B71" s="189" t="s">
        <v>649</v>
      </c>
    </row>
    <row r="72" spans="1:2" x14ac:dyDescent="0.2">
      <c r="A72" s="208">
        <v>29266</v>
      </c>
      <c r="B72" s="189" t="s">
        <v>650</v>
      </c>
    </row>
    <row r="73" spans="1:2" ht="31.5" x14ac:dyDescent="0.2">
      <c r="A73" s="208">
        <v>29276</v>
      </c>
      <c r="B73" s="189" t="s">
        <v>724</v>
      </c>
    </row>
    <row r="74" spans="1:2" ht="31.5" x14ac:dyDescent="0.2">
      <c r="A74" s="208">
        <v>29286</v>
      </c>
      <c r="B74" s="189" t="s">
        <v>651</v>
      </c>
    </row>
    <row r="75" spans="1:2" x14ac:dyDescent="0.2">
      <c r="A75" s="208">
        <v>29296</v>
      </c>
      <c r="B75" s="189" t="s">
        <v>652</v>
      </c>
    </row>
    <row r="76" spans="1:2" x14ac:dyDescent="0.2">
      <c r="A76" s="208">
        <v>29306</v>
      </c>
      <c r="B76" s="189"/>
    </row>
    <row r="77" spans="1:2" x14ac:dyDescent="0.2">
      <c r="A77" s="208">
        <v>29316</v>
      </c>
      <c r="B77" s="189" t="s">
        <v>653</v>
      </c>
    </row>
    <row r="78" spans="1:2" ht="31.5" x14ac:dyDescent="0.2">
      <c r="A78" s="208">
        <v>29326</v>
      </c>
      <c r="B78" s="189" t="s">
        <v>896</v>
      </c>
    </row>
    <row r="79" spans="1:2" ht="31.5" x14ac:dyDescent="0.2">
      <c r="A79" s="208">
        <v>29336</v>
      </c>
      <c r="B79" s="189" t="s">
        <v>68</v>
      </c>
    </row>
    <row r="80" spans="1:2" x14ac:dyDescent="0.2">
      <c r="A80" s="208">
        <v>29346</v>
      </c>
      <c r="B80" s="189" t="s">
        <v>654</v>
      </c>
    </row>
    <row r="81" spans="1:2" x14ac:dyDescent="0.2">
      <c r="A81" s="208">
        <v>29356</v>
      </c>
      <c r="B81" s="189"/>
    </row>
    <row r="82" spans="1:2" x14ac:dyDescent="0.2">
      <c r="A82" s="208">
        <v>29366</v>
      </c>
      <c r="B82" s="189" t="s">
        <v>655</v>
      </c>
    </row>
    <row r="83" spans="1:2" ht="31.5" x14ac:dyDescent="0.2">
      <c r="A83" s="208">
        <v>29376</v>
      </c>
      <c r="B83" s="189" t="s">
        <v>656</v>
      </c>
    </row>
    <row r="84" spans="1:2" x14ac:dyDescent="0.2">
      <c r="A84" s="208">
        <v>29386</v>
      </c>
      <c r="B84" s="189" t="s">
        <v>657</v>
      </c>
    </row>
    <row r="85" spans="1:2" ht="31.5" x14ac:dyDescent="0.2">
      <c r="A85" s="208">
        <v>29396</v>
      </c>
      <c r="B85" s="189" t="s">
        <v>658</v>
      </c>
    </row>
    <row r="86" spans="1:2" ht="31.5" x14ac:dyDescent="0.2">
      <c r="A86" s="208">
        <v>29406</v>
      </c>
      <c r="B86" s="189" t="s">
        <v>659</v>
      </c>
    </row>
    <row r="87" spans="1:2" ht="47.25" x14ac:dyDescent="0.2">
      <c r="A87" s="208">
        <v>29416</v>
      </c>
      <c r="B87" s="189" t="s">
        <v>660</v>
      </c>
    </row>
    <row r="88" spans="1:2" x14ac:dyDescent="0.2">
      <c r="A88" s="208">
        <v>29426</v>
      </c>
      <c r="B88" s="189" t="s">
        <v>661</v>
      </c>
    </row>
    <row r="89" spans="1:2" ht="31.5" x14ac:dyDescent="0.2">
      <c r="A89" s="208">
        <v>29436</v>
      </c>
      <c r="B89" s="189" t="s">
        <v>662</v>
      </c>
    </row>
    <row r="90" spans="1:2" ht="31.5" x14ac:dyDescent="0.2">
      <c r="A90" s="208">
        <v>29446</v>
      </c>
      <c r="B90" s="189" t="s">
        <v>663</v>
      </c>
    </row>
    <row r="91" spans="1:2" x14ac:dyDescent="0.2">
      <c r="A91" s="208">
        <v>29456</v>
      </c>
      <c r="B91" s="189" t="s">
        <v>826</v>
      </c>
    </row>
    <row r="92" spans="1:2" ht="31.5" x14ac:dyDescent="0.2">
      <c r="A92" s="208">
        <v>29466</v>
      </c>
      <c r="B92" s="189" t="s">
        <v>664</v>
      </c>
    </row>
    <row r="93" spans="1:2" x14ac:dyDescent="0.2">
      <c r="A93" s="208">
        <v>29476</v>
      </c>
      <c r="B93" s="189" t="s">
        <v>665</v>
      </c>
    </row>
    <row r="94" spans="1:2" x14ac:dyDescent="0.2">
      <c r="A94" s="208">
        <v>29486</v>
      </c>
      <c r="B94" s="189" t="s">
        <v>666</v>
      </c>
    </row>
    <row r="95" spans="1:2" ht="31.5" x14ac:dyDescent="0.2">
      <c r="A95" s="208">
        <v>29496</v>
      </c>
      <c r="B95" s="189" t="s">
        <v>667</v>
      </c>
    </row>
    <row r="96" spans="1:2" ht="31.5" x14ac:dyDescent="0.2">
      <c r="A96" s="208">
        <v>29506</v>
      </c>
      <c r="B96" s="189" t="s">
        <v>668</v>
      </c>
    </row>
    <row r="97" spans="1:2" ht="31.5" x14ac:dyDescent="0.2">
      <c r="A97" s="208">
        <v>29516</v>
      </c>
      <c r="B97" s="189" t="s">
        <v>669</v>
      </c>
    </row>
    <row r="98" spans="1:2" x14ac:dyDescent="0.2">
      <c r="A98" s="208">
        <v>29526</v>
      </c>
      <c r="B98" s="189" t="s">
        <v>670</v>
      </c>
    </row>
    <row r="99" spans="1:2" x14ac:dyDescent="0.2">
      <c r="A99" s="208">
        <v>29536</v>
      </c>
      <c r="B99" s="189" t="s">
        <v>897</v>
      </c>
    </row>
    <row r="100" spans="1:2" x14ac:dyDescent="0.2">
      <c r="A100" s="208">
        <v>29546</v>
      </c>
      <c r="B100" s="189" t="s">
        <v>671</v>
      </c>
    </row>
    <row r="101" spans="1:2" x14ac:dyDescent="0.2">
      <c r="A101" s="208">
        <v>29556</v>
      </c>
      <c r="B101" s="189" t="s">
        <v>854</v>
      </c>
    </row>
    <row r="102" spans="1:2" ht="31.5" x14ac:dyDescent="0.2">
      <c r="A102" s="208">
        <v>29566</v>
      </c>
      <c r="B102" s="189" t="s">
        <v>672</v>
      </c>
    </row>
    <row r="103" spans="1:2" ht="31.5" x14ac:dyDescent="0.2">
      <c r="A103" s="208">
        <v>29576</v>
      </c>
      <c r="B103" s="189" t="s">
        <v>692</v>
      </c>
    </row>
    <row r="104" spans="1:2" ht="31.5" x14ac:dyDescent="0.2">
      <c r="A104" s="208">
        <v>29586</v>
      </c>
      <c r="B104" s="189" t="s">
        <v>693</v>
      </c>
    </row>
    <row r="105" spans="1:2" ht="31.5" x14ac:dyDescent="0.2">
      <c r="A105" s="208">
        <v>29596</v>
      </c>
      <c r="B105" s="189" t="s">
        <v>673</v>
      </c>
    </row>
    <row r="106" spans="1:2" x14ac:dyDescent="0.2">
      <c r="A106" s="208">
        <v>29606</v>
      </c>
      <c r="B106" s="189" t="s">
        <v>674</v>
      </c>
    </row>
    <row r="107" spans="1:2" x14ac:dyDescent="0.2">
      <c r="A107" s="208">
        <v>29616</v>
      </c>
      <c r="B107" s="189" t="s">
        <v>675</v>
      </c>
    </row>
    <row r="108" spans="1:2" ht="31.5" x14ac:dyDescent="0.2">
      <c r="A108" s="208">
        <v>29626</v>
      </c>
      <c r="B108" s="189" t="s">
        <v>676</v>
      </c>
    </row>
    <row r="109" spans="1:2" x14ac:dyDescent="0.2">
      <c r="A109" s="208">
        <v>29636</v>
      </c>
      <c r="B109" s="189" t="s">
        <v>677</v>
      </c>
    </row>
    <row r="110" spans="1:2" ht="31.5" x14ac:dyDescent="0.2">
      <c r="A110" s="208">
        <v>29646</v>
      </c>
      <c r="B110" s="189" t="s">
        <v>678</v>
      </c>
    </row>
    <row r="111" spans="1:2" ht="31.5" x14ac:dyDescent="0.2">
      <c r="A111" s="208">
        <v>29656</v>
      </c>
      <c r="B111" s="189" t="s">
        <v>754</v>
      </c>
    </row>
    <row r="112" spans="1:2" ht="31.5" x14ac:dyDescent="0.2">
      <c r="A112" s="208">
        <v>29666</v>
      </c>
      <c r="B112" s="189" t="s">
        <v>679</v>
      </c>
    </row>
    <row r="113" spans="1:2" ht="31.5" x14ac:dyDescent="0.2">
      <c r="A113" s="208">
        <v>29676</v>
      </c>
      <c r="B113" s="189" t="s">
        <v>636</v>
      </c>
    </row>
    <row r="114" spans="1:2" ht="31.5" x14ac:dyDescent="0.2">
      <c r="A114" s="208">
        <v>29686</v>
      </c>
      <c r="B114" s="189" t="s">
        <v>898</v>
      </c>
    </row>
    <row r="115" spans="1:2" ht="31.5" x14ac:dyDescent="0.2">
      <c r="A115" s="208">
        <v>29696</v>
      </c>
      <c r="B115" s="122" t="s">
        <v>680</v>
      </c>
    </row>
    <row r="116" spans="1:2" ht="31.5" x14ac:dyDescent="0.2">
      <c r="A116" s="208">
        <v>29706</v>
      </c>
      <c r="B116" s="189" t="s">
        <v>681</v>
      </c>
    </row>
    <row r="117" spans="1:2" ht="31.5" x14ac:dyDescent="0.2">
      <c r="A117" s="208">
        <v>29716</v>
      </c>
      <c r="B117" s="189" t="s">
        <v>682</v>
      </c>
    </row>
    <row r="118" spans="1:2" ht="31.5" x14ac:dyDescent="0.2">
      <c r="A118" s="208">
        <v>29726</v>
      </c>
      <c r="B118" s="189" t="s">
        <v>683</v>
      </c>
    </row>
    <row r="119" spans="1:2" ht="31.5" x14ac:dyDescent="0.2">
      <c r="A119" s="208">
        <v>29736</v>
      </c>
      <c r="B119" s="189" t="s">
        <v>684</v>
      </c>
    </row>
    <row r="120" spans="1:2" ht="31.5" x14ac:dyDescent="0.2">
      <c r="A120" s="208">
        <v>29746</v>
      </c>
      <c r="B120" s="189" t="s">
        <v>685</v>
      </c>
    </row>
    <row r="121" spans="1:2" ht="31.5" x14ac:dyDescent="0.2">
      <c r="A121" s="495">
        <v>29756</v>
      </c>
      <c r="B121" s="496" t="s">
        <v>718</v>
      </c>
    </row>
    <row r="122" spans="1:2" x14ac:dyDescent="0.2">
      <c r="A122" s="497"/>
      <c r="B122" s="498"/>
    </row>
    <row r="123" spans="1:2" ht="31.5" x14ac:dyDescent="0.2">
      <c r="A123" s="497">
        <v>53116</v>
      </c>
      <c r="B123" s="498" t="s">
        <v>848</v>
      </c>
    </row>
    <row r="124" spans="1:2" ht="31.5" x14ac:dyDescent="0.2">
      <c r="A124" s="497">
        <v>55556</v>
      </c>
      <c r="B124" s="498" t="s">
        <v>849</v>
      </c>
    </row>
    <row r="125" spans="1:2" x14ac:dyDescent="0.2">
      <c r="A125" s="497"/>
      <c r="B125" s="498"/>
    </row>
    <row r="126" spans="1:2" x14ac:dyDescent="0.2">
      <c r="A126" s="497"/>
      <c r="B126" s="498"/>
    </row>
    <row r="127" spans="1:2" ht="31.5" x14ac:dyDescent="0.2">
      <c r="A127" s="493" t="s">
        <v>625</v>
      </c>
      <c r="B127" s="308" t="s">
        <v>712</v>
      </c>
    </row>
    <row r="128" spans="1:2" ht="31.5" x14ac:dyDescent="0.2">
      <c r="A128" s="204" t="s">
        <v>634</v>
      </c>
      <c r="B128" s="193" t="s">
        <v>635</v>
      </c>
    </row>
    <row r="129" spans="1:2" x14ac:dyDescent="0.2">
      <c r="A129" s="204" t="s">
        <v>626</v>
      </c>
      <c r="B129" s="502" t="s">
        <v>856</v>
      </c>
    </row>
    <row r="130" spans="1:2" x14ac:dyDescent="0.2">
      <c r="A130" s="204" t="s">
        <v>627</v>
      </c>
      <c r="B130" s="502" t="s">
        <v>713</v>
      </c>
    </row>
    <row r="131" spans="1:2" x14ac:dyDescent="0.2">
      <c r="A131" s="501" t="s">
        <v>628</v>
      </c>
      <c r="B131" s="193" t="s">
        <v>714</v>
      </c>
    </row>
    <row r="132" spans="1:2" x14ac:dyDescent="0.2">
      <c r="A132" s="501" t="s">
        <v>629</v>
      </c>
      <c r="B132" s="193" t="s">
        <v>630</v>
      </c>
    </row>
    <row r="133" spans="1:2" x14ac:dyDescent="0.2">
      <c r="A133" s="501" t="s">
        <v>631</v>
      </c>
      <c r="B133" s="193" t="s">
        <v>632</v>
      </c>
    </row>
    <row r="134" spans="1:2" ht="31.5" x14ac:dyDescent="0.2">
      <c r="A134" s="501" t="s">
        <v>633</v>
      </c>
      <c r="B134" s="193" t="s">
        <v>715</v>
      </c>
    </row>
    <row r="135" spans="1:2" ht="32.25" thickBot="1" x14ac:dyDescent="0.25">
      <c r="A135" s="205" t="s">
        <v>624</v>
      </c>
      <c r="B135" s="194" t="s">
        <v>716</v>
      </c>
    </row>
    <row r="136" spans="1:2" ht="16.5" thickBot="1" x14ac:dyDescent="0.25">
      <c r="A136" s="206"/>
      <c r="B136" s="198"/>
    </row>
    <row r="137" spans="1:2" x14ac:dyDescent="0.2">
      <c r="A137" s="209" t="s">
        <v>620</v>
      </c>
      <c r="B137" s="200" t="s">
        <v>621</v>
      </c>
    </row>
    <row r="138" spans="1:2" ht="47.25" x14ac:dyDescent="0.2">
      <c r="A138" s="202" t="s">
        <v>836</v>
      </c>
      <c r="B138" s="190" t="s">
        <v>688</v>
      </c>
    </row>
    <row r="139" spans="1:2" x14ac:dyDescent="0.2">
      <c r="A139" s="202" t="s">
        <v>622</v>
      </c>
      <c r="B139" s="190" t="s">
        <v>687</v>
      </c>
    </row>
    <row r="140" spans="1:2" ht="16.5" thickBot="1" x14ac:dyDescent="0.25">
      <c r="A140" s="203" t="s">
        <v>623</v>
      </c>
      <c r="B140" s="192" t="s">
        <v>686</v>
      </c>
    </row>
  </sheetData>
  <pageMargins left="0.70866141732283472" right="0.70866141732283472" top="0.74803149606299213" bottom="0.74803149606299213" header="0.51181102362204722" footer="0.51181102362204722"/>
  <pageSetup paperSize="9" scale="64" fitToHeight="0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56" workbookViewId="0">
      <selection activeCell="B1884" sqref="B1884"/>
    </sheetView>
  </sheetViews>
  <sheetFormatPr defaultColWidth="9.140625" defaultRowHeight="12.75" x14ac:dyDescent="0.2"/>
  <cols>
    <col min="1" max="1" width="7.140625" style="90" customWidth="1"/>
    <col min="2" max="2" width="128" style="91" customWidth="1"/>
    <col min="3" max="16384" width="9.140625" style="89"/>
  </cols>
  <sheetData>
    <row r="1" spans="2:2" hidden="1" x14ac:dyDescent="0.2">
      <c r="B1" s="92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93">
        <v>100</v>
      </c>
      <c r="B1820" s="94" t="s">
        <v>573</v>
      </c>
    </row>
    <row r="1821" spans="1:2" x14ac:dyDescent="0.2">
      <c r="A1821" s="93">
        <v>110</v>
      </c>
      <c r="B1821" s="94" t="s">
        <v>465</v>
      </c>
    </row>
    <row r="1822" spans="1:2" x14ac:dyDescent="0.2">
      <c r="A1822" s="93">
        <v>111</v>
      </c>
      <c r="B1822" s="94" t="s">
        <v>466</v>
      </c>
    </row>
    <row r="1823" spans="1:2" x14ac:dyDescent="0.2">
      <c r="A1823" s="93">
        <v>112</v>
      </c>
      <c r="B1823" s="94" t="s">
        <v>467</v>
      </c>
    </row>
    <row r="1824" spans="1:2" x14ac:dyDescent="0.2">
      <c r="A1824" s="93">
        <v>120</v>
      </c>
      <c r="B1824" s="94" t="s">
        <v>468</v>
      </c>
    </row>
    <row r="1825" spans="1:2" x14ac:dyDescent="0.2">
      <c r="A1825" s="93">
        <v>121</v>
      </c>
      <c r="B1825" s="94" t="s">
        <v>466</v>
      </c>
    </row>
    <row r="1826" spans="1:2" x14ac:dyDescent="0.2">
      <c r="A1826" s="93">
        <v>122</v>
      </c>
      <c r="B1826" s="94" t="s">
        <v>467</v>
      </c>
    </row>
    <row r="1827" spans="1:2" x14ac:dyDescent="0.2">
      <c r="A1827" s="93">
        <v>130</v>
      </c>
      <c r="B1827" s="94" t="s">
        <v>469</v>
      </c>
    </row>
    <row r="1828" spans="1:2" x14ac:dyDescent="0.2">
      <c r="A1828" s="93">
        <v>131</v>
      </c>
      <c r="B1828" s="94" t="s">
        <v>470</v>
      </c>
    </row>
    <row r="1829" spans="1:2" x14ac:dyDescent="0.2">
      <c r="A1829" s="93">
        <v>132</v>
      </c>
      <c r="B1829" s="94" t="s">
        <v>471</v>
      </c>
    </row>
    <row r="1830" spans="1:2" x14ac:dyDescent="0.2">
      <c r="A1830" s="93">
        <v>133</v>
      </c>
      <c r="B1830" s="94" t="s">
        <v>472</v>
      </c>
    </row>
    <row r="1831" spans="1:2" x14ac:dyDescent="0.2">
      <c r="A1831" s="93">
        <v>134</v>
      </c>
      <c r="B1831" s="94" t="s">
        <v>473</v>
      </c>
    </row>
    <row r="1832" spans="1:2" x14ac:dyDescent="0.2">
      <c r="A1832" s="93">
        <v>140</v>
      </c>
      <c r="B1832" s="94" t="s">
        <v>474</v>
      </c>
    </row>
    <row r="1833" spans="1:2" x14ac:dyDescent="0.2">
      <c r="A1833" s="93">
        <v>141</v>
      </c>
      <c r="B1833" s="94" t="s">
        <v>466</v>
      </c>
    </row>
    <row r="1834" spans="1:2" ht="25.5" x14ac:dyDescent="0.2">
      <c r="A1834" s="93">
        <v>142</v>
      </c>
      <c r="B1834" s="94" t="s">
        <v>475</v>
      </c>
    </row>
    <row r="1835" spans="1:2" ht="25.5" x14ac:dyDescent="0.2">
      <c r="A1835" s="93">
        <v>200</v>
      </c>
      <c r="B1835" s="94" t="s">
        <v>572</v>
      </c>
    </row>
    <row r="1836" spans="1:2" x14ac:dyDescent="0.2">
      <c r="A1836" s="93">
        <v>210</v>
      </c>
      <c r="B1836" s="94" t="s">
        <v>476</v>
      </c>
    </row>
    <row r="1837" spans="1:2" ht="25.5" x14ac:dyDescent="0.2">
      <c r="A1837" s="93">
        <v>211</v>
      </c>
      <c r="B1837" s="94" t="s">
        <v>477</v>
      </c>
    </row>
    <row r="1838" spans="1:2" ht="25.5" x14ac:dyDescent="0.2">
      <c r="A1838" s="93">
        <v>212</v>
      </c>
      <c r="B1838" s="94" t="s">
        <v>478</v>
      </c>
    </row>
    <row r="1839" spans="1:2" ht="25.5" x14ac:dyDescent="0.2">
      <c r="A1839" s="93">
        <v>213</v>
      </c>
      <c r="B1839" s="94" t="s">
        <v>479</v>
      </c>
    </row>
    <row r="1840" spans="1:2" ht="25.5" x14ac:dyDescent="0.2">
      <c r="A1840" s="93">
        <v>214</v>
      </c>
      <c r="B1840" s="94" t="s">
        <v>480</v>
      </c>
    </row>
    <row r="1841" spans="1:2" ht="25.5" x14ac:dyDescent="0.2">
      <c r="A1841" s="93">
        <v>215</v>
      </c>
      <c r="B1841" s="94" t="s">
        <v>481</v>
      </c>
    </row>
    <row r="1842" spans="1:2" ht="25.5" x14ac:dyDescent="0.2">
      <c r="A1842" s="93">
        <v>216</v>
      </c>
      <c r="B1842" s="94" t="s">
        <v>482</v>
      </c>
    </row>
    <row r="1843" spans="1:2" ht="25.5" x14ac:dyDescent="0.2">
      <c r="A1843" s="93">
        <v>217</v>
      </c>
      <c r="B1843" s="94" t="s">
        <v>483</v>
      </c>
    </row>
    <row r="1844" spans="1:2" ht="25.5" x14ac:dyDescent="0.2">
      <c r="A1844" s="93">
        <v>218</v>
      </c>
      <c r="B1844" s="94" t="s">
        <v>484</v>
      </c>
    </row>
    <row r="1845" spans="1:2" x14ac:dyDescent="0.2">
      <c r="A1845" s="93">
        <v>219</v>
      </c>
      <c r="B1845" s="94" t="s">
        <v>485</v>
      </c>
    </row>
    <row r="1846" spans="1:2" ht="25.5" x14ac:dyDescent="0.2">
      <c r="A1846" s="93">
        <v>220</v>
      </c>
      <c r="B1846" s="94" t="s">
        <v>486</v>
      </c>
    </row>
    <row r="1847" spans="1:2" x14ac:dyDescent="0.2">
      <c r="A1847" s="93">
        <v>221</v>
      </c>
      <c r="B1847" s="94" t="s">
        <v>487</v>
      </c>
    </row>
    <row r="1848" spans="1:2" x14ac:dyDescent="0.2">
      <c r="A1848" s="93">
        <v>222</v>
      </c>
      <c r="B1848" s="94" t="s">
        <v>488</v>
      </c>
    </row>
    <row r="1849" spans="1:2" x14ac:dyDescent="0.2">
      <c r="A1849" s="93">
        <v>223</v>
      </c>
      <c r="B1849" s="94" t="s">
        <v>459</v>
      </c>
    </row>
    <row r="1850" spans="1:2" x14ac:dyDescent="0.2">
      <c r="A1850" s="93">
        <v>224</v>
      </c>
      <c r="B1850" s="94" t="s">
        <v>460</v>
      </c>
    </row>
    <row r="1851" spans="1:2" x14ac:dyDescent="0.2">
      <c r="A1851" s="93">
        <v>225</v>
      </c>
      <c r="B1851" s="94" t="s">
        <v>461</v>
      </c>
    </row>
    <row r="1852" spans="1:2" x14ac:dyDescent="0.2">
      <c r="A1852" s="93">
        <v>226</v>
      </c>
      <c r="B1852" s="94" t="s">
        <v>462</v>
      </c>
    </row>
    <row r="1853" spans="1:2" x14ac:dyDescent="0.2">
      <c r="A1853" s="93">
        <v>230</v>
      </c>
      <c r="B1853" s="94" t="s">
        <v>489</v>
      </c>
    </row>
    <row r="1854" spans="1:2" x14ac:dyDescent="0.2">
      <c r="A1854" s="93">
        <v>240</v>
      </c>
      <c r="B1854" s="94" t="s">
        <v>490</v>
      </c>
    </row>
    <row r="1855" spans="1:2" x14ac:dyDescent="0.2">
      <c r="A1855" s="93">
        <v>241</v>
      </c>
      <c r="B1855" s="94" t="s">
        <v>491</v>
      </c>
    </row>
    <row r="1856" spans="1:2" x14ac:dyDescent="0.2">
      <c r="A1856" s="93">
        <v>242</v>
      </c>
      <c r="B1856" s="94" t="s">
        <v>492</v>
      </c>
    </row>
    <row r="1857" spans="1:2" x14ac:dyDescent="0.2">
      <c r="A1857" s="93">
        <v>243</v>
      </c>
      <c r="B1857" s="94" t="s">
        <v>493</v>
      </c>
    </row>
    <row r="1858" spans="1:2" x14ac:dyDescent="0.2">
      <c r="A1858" s="93">
        <v>244</v>
      </c>
      <c r="B1858" s="94" t="s">
        <v>571</v>
      </c>
    </row>
    <row r="1859" spans="1:2" x14ac:dyDescent="0.2">
      <c r="A1859" s="93">
        <v>300</v>
      </c>
      <c r="B1859" s="94" t="s">
        <v>249</v>
      </c>
    </row>
    <row r="1860" spans="1:2" x14ac:dyDescent="0.2">
      <c r="A1860" s="93">
        <v>310</v>
      </c>
      <c r="B1860" s="94" t="s">
        <v>494</v>
      </c>
    </row>
    <row r="1861" spans="1:2" x14ac:dyDescent="0.2">
      <c r="A1861" s="93">
        <v>311</v>
      </c>
      <c r="B1861" s="94" t="s">
        <v>495</v>
      </c>
    </row>
    <row r="1862" spans="1:2" x14ac:dyDescent="0.2">
      <c r="A1862" s="93">
        <v>312</v>
      </c>
      <c r="B1862" s="94" t="s">
        <v>496</v>
      </c>
    </row>
    <row r="1863" spans="1:2" x14ac:dyDescent="0.2">
      <c r="A1863" s="93">
        <v>313</v>
      </c>
      <c r="B1863" s="94" t="s">
        <v>497</v>
      </c>
    </row>
    <row r="1864" spans="1:2" x14ac:dyDescent="0.2">
      <c r="A1864" s="93">
        <v>314</v>
      </c>
      <c r="B1864" s="94" t="s">
        <v>498</v>
      </c>
    </row>
    <row r="1865" spans="1:2" x14ac:dyDescent="0.2">
      <c r="A1865" s="93">
        <v>320</v>
      </c>
      <c r="B1865" s="94" t="s">
        <v>499</v>
      </c>
    </row>
    <row r="1866" spans="1:2" x14ac:dyDescent="0.2">
      <c r="A1866" s="93">
        <v>321</v>
      </c>
      <c r="B1866" s="94" t="s">
        <v>500</v>
      </c>
    </row>
    <row r="1867" spans="1:2" x14ac:dyDescent="0.2">
      <c r="A1867" s="93">
        <v>322</v>
      </c>
      <c r="B1867" s="94" t="s">
        <v>501</v>
      </c>
    </row>
    <row r="1868" spans="1:2" x14ac:dyDescent="0.2">
      <c r="A1868" s="93">
        <v>323</v>
      </c>
      <c r="B1868" s="94" t="s">
        <v>502</v>
      </c>
    </row>
    <row r="1869" spans="1:2" x14ac:dyDescent="0.2">
      <c r="A1869" s="93">
        <v>330</v>
      </c>
      <c r="B1869" s="94" t="s">
        <v>503</v>
      </c>
    </row>
    <row r="1870" spans="1:2" x14ac:dyDescent="0.2">
      <c r="A1870" s="93">
        <v>340</v>
      </c>
      <c r="B1870" s="94" t="s">
        <v>504</v>
      </c>
    </row>
    <row r="1871" spans="1:2" x14ac:dyDescent="0.2">
      <c r="A1871" s="93">
        <v>350</v>
      </c>
      <c r="B1871" s="94" t="s">
        <v>505</v>
      </c>
    </row>
    <row r="1872" spans="1:2" x14ac:dyDescent="0.2">
      <c r="A1872" s="93">
        <v>360</v>
      </c>
      <c r="B1872" s="94" t="s">
        <v>506</v>
      </c>
    </row>
    <row r="1873" spans="1:2" ht="12.75" customHeight="1" x14ac:dyDescent="0.2">
      <c r="A1873" s="93">
        <v>400</v>
      </c>
      <c r="B1873" s="94" t="s">
        <v>574</v>
      </c>
    </row>
    <row r="1874" spans="1:2" x14ac:dyDescent="0.2">
      <c r="A1874" s="93">
        <v>410</v>
      </c>
      <c r="B1874" s="94" t="s">
        <v>507</v>
      </c>
    </row>
    <row r="1875" spans="1:2" x14ac:dyDescent="0.2">
      <c r="A1875" s="93">
        <v>411</v>
      </c>
      <c r="B1875" s="94" t="s">
        <v>508</v>
      </c>
    </row>
    <row r="1876" spans="1:2" x14ac:dyDescent="0.2">
      <c r="A1876" s="93">
        <v>412</v>
      </c>
      <c r="B1876" s="94" t="s">
        <v>509</v>
      </c>
    </row>
    <row r="1877" spans="1:2" x14ac:dyDescent="0.2">
      <c r="A1877" s="93">
        <v>413</v>
      </c>
      <c r="B1877" s="94" t="s">
        <v>510</v>
      </c>
    </row>
    <row r="1878" spans="1:2" x14ac:dyDescent="0.2">
      <c r="A1878" s="93">
        <v>414</v>
      </c>
      <c r="B1878" s="94" t="s">
        <v>511</v>
      </c>
    </row>
    <row r="1879" spans="1:2" x14ac:dyDescent="0.2">
      <c r="A1879" s="93">
        <v>415</v>
      </c>
      <c r="B1879" s="94" t="s">
        <v>512</v>
      </c>
    </row>
    <row r="1880" spans="1:2" x14ac:dyDescent="0.2">
      <c r="A1880" s="93">
        <v>420</v>
      </c>
      <c r="B1880" s="94" t="s">
        <v>513</v>
      </c>
    </row>
    <row r="1881" spans="1:2" ht="25.5" x14ac:dyDescent="0.2">
      <c r="A1881" s="93">
        <v>421</v>
      </c>
      <c r="B1881" s="94" t="s">
        <v>514</v>
      </c>
    </row>
    <row r="1882" spans="1:2" ht="25.5" x14ac:dyDescent="0.2">
      <c r="A1882" s="93">
        <v>422</v>
      </c>
      <c r="B1882" s="94" t="s">
        <v>515</v>
      </c>
    </row>
    <row r="1883" spans="1:2" x14ac:dyDescent="0.2">
      <c r="A1883" s="93">
        <v>430</v>
      </c>
      <c r="B1883" s="94" t="s">
        <v>516</v>
      </c>
    </row>
    <row r="1884" spans="1:2" x14ac:dyDescent="0.2">
      <c r="A1884" s="93">
        <v>440</v>
      </c>
      <c r="B1884" s="94" t="s">
        <v>517</v>
      </c>
    </row>
    <row r="1885" spans="1:2" x14ac:dyDescent="0.2">
      <c r="A1885" s="93">
        <v>500</v>
      </c>
      <c r="B1885" s="94" t="s">
        <v>259</v>
      </c>
    </row>
    <row r="1886" spans="1:2" x14ac:dyDescent="0.2">
      <c r="A1886" s="93">
        <v>510</v>
      </c>
      <c r="B1886" s="94" t="s">
        <v>464</v>
      </c>
    </row>
    <row r="1887" spans="1:2" x14ac:dyDescent="0.2">
      <c r="A1887" s="93">
        <v>511</v>
      </c>
      <c r="B1887" s="94" t="s">
        <v>518</v>
      </c>
    </row>
    <row r="1888" spans="1:2" x14ac:dyDescent="0.2">
      <c r="A1888" s="93">
        <v>512</v>
      </c>
      <c r="B1888" s="94" t="s">
        <v>519</v>
      </c>
    </row>
    <row r="1889" spans="1:2" ht="25.5" x14ac:dyDescent="0.2">
      <c r="A1889" s="93">
        <v>513</v>
      </c>
      <c r="B1889" s="94" t="s">
        <v>520</v>
      </c>
    </row>
    <row r="1890" spans="1:2" x14ac:dyDescent="0.2">
      <c r="A1890" s="93">
        <v>514</v>
      </c>
      <c r="B1890" s="94" t="s">
        <v>521</v>
      </c>
    </row>
    <row r="1891" spans="1:2" x14ac:dyDescent="0.2">
      <c r="A1891" s="93">
        <v>515</v>
      </c>
      <c r="B1891" s="94" t="s">
        <v>186</v>
      </c>
    </row>
    <row r="1892" spans="1:2" x14ac:dyDescent="0.2">
      <c r="A1892" s="93">
        <v>520</v>
      </c>
      <c r="B1892" s="94" t="s">
        <v>463</v>
      </c>
    </row>
    <row r="1893" spans="1:2" ht="25.5" x14ac:dyDescent="0.2">
      <c r="A1893" s="93">
        <v>521</v>
      </c>
      <c r="B1893" s="94" t="s">
        <v>522</v>
      </c>
    </row>
    <row r="1894" spans="1:2" x14ac:dyDescent="0.2">
      <c r="A1894" s="93">
        <v>522</v>
      </c>
      <c r="B1894" s="94" t="s">
        <v>523</v>
      </c>
    </row>
    <row r="1895" spans="1:2" x14ac:dyDescent="0.2">
      <c r="A1895" s="93">
        <v>530</v>
      </c>
      <c r="B1895" s="94" t="s">
        <v>524</v>
      </c>
    </row>
    <row r="1896" spans="1:2" x14ac:dyDescent="0.2">
      <c r="A1896" s="93">
        <v>540</v>
      </c>
      <c r="B1896" s="94" t="s">
        <v>525</v>
      </c>
    </row>
    <row r="1897" spans="1:2" x14ac:dyDescent="0.2">
      <c r="A1897" s="93">
        <v>560</v>
      </c>
      <c r="B1897" s="94" t="s">
        <v>526</v>
      </c>
    </row>
    <row r="1898" spans="1:2" x14ac:dyDescent="0.2">
      <c r="A1898" s="93">
        <v>570</v>
      </c>
      <c r="B1898" s="94" t="s">
        <v>527</v>
      </c>
    </row>
    <row r="1899" spans="1:2" x14ac:dyDescent="0.2">
      <c r="A1899" s="93">
        <v>580</v>
      </c>
      <c r="B1899" s="94" t="s">
        <v>528</v>
      </c>
    </row>
    <row r="1900" spans="1:2" x14ac:dyDescent="0.2">
      <c r="A1900" s="93">
        <v>600</v>
      </c>
      <c r="B1900" s="94" t="s">
        <v>253</v>
      </c>
    </row>
    <row r="1901" spans="1:2" x14ac:dyDescent="0.2">
      <c r="A1901" s="93">
        <v>610</v>
      </c>
      <c r="B1901" s="94" t="s">
        <v>529</v>
      </c>
    </row>
    <row r="1902" spans="1:2" x14ac:dyDescent="0.2">
      <c r="A1902" s="93">
        <v>611</v>
      </c>
      <c r="B1902" s="94" t="s">
        <v>255</v>
      </c>
    </row>
    <row r="1903" spans="1:2" x14ac:dyDescent="0.2">
      <c r="A1903" s="93">
        <v>612</v>
      </c>
      <c r="B1903" s="94" t="s">
        <v>530</v>
      </c>
    </row>
    <row r="1904" spans="1:2" x14ac:dyDescent="0.2">
      <c r="A1904" s="93">
        <v>620</v>
      </c>
      <c r="B1904" s="94" t="s">
        <v>531</v>
      </c>
    </row>
    <row r="1905" spans="1:2" x14ac:dyDescent="0.2">
      <c r="A1905" s="93">
        <v>621</v>
      </c>
      <c r="B1905" s="94" t="s">
        <v>532</v>
      </c>
    </row>
    <row r="1906" spans="1:2" x14ac:dyDescent="0.2">
      <c r="A1906" s="93">
        <v>622</v>
      </c>
      <c r="B1906" s="94" t="s">
        <v>533</v>
      </c>
    </row>
    <row r="1907" spans="1:2" x14ac:dyDescent="0.2">
      <c r="A1907" s="93">
        <v>630</v>
      </c>
      <c r="B1907" s="94" t="s">
        <v>534</v>
      </c>
    </row>
    <row r="1908" spans="1:2" x14ac:dyDescent="0.2">
      <c r="A1908" s="93">
        <v>700</v>
      </c>
      <c r="B1908" s="94" t="s">
        <v>260</v>
      </c>
    </row>
    <row r="1909" spans="1:2" x14ac:dyDescent="0.2">
      <c r="A1909" s="93">
        <v>710</v>
      </c>
      <c r="B1909" s="94" t="s">
        <v>260</v>
      </c>
    </row>
    <row r="1910" spans="1:2" x14ac:dyDescent="0.2">
      <c r="A1910" s="93">
        <v>800</v>
      </c>
      <c r="B1910" s="94" t="s">
        <v>248</v>
      </c>
    </row>
    <row r="1911" spans="1:2" x14ac:dyDescent="0.2">
      <c r="A1911" s="93">
        <v>810</v>
      </c>
      <c r="B1911" s="94" t="s">
        <v>535</v>
      </c>
    </row>
    <row r="1912" spans="1:2" x14ac:dyDescent="0.2">
      <c r="A1912" s="93">
        <v>820</v>
      </c>
      <c r="B1912" s="94" t="s">
        <v>536</v>
      </c>
    </row>
    <row r="1913" spans="1:2" x14ac:dyDescent="0.2">
      <c r="A1913" s="93">
        <v>821</v>
      </c>
      <c r="B1913" s="94" t="s">
        <v>537</v>
      </c>
    </row>
    <row r="1914" spans="1:2" x14ac:dyDescent="0.2">
      <c r="A1914" s="93">
        <v>822</v>
      </c>
      <c r="B1914" s="94" t="s">
        <v>538</v>
      </c>
    </row>
    <row r="1915" spans="1:2" x14ac:dyDescent="0.2">
      <c r="A1915" s="93">
        <v>823</v>
      </c>
      <c r="B1915" s="94" t="s">
        <v>539</v>
      </c>
    </row>
    <row r="1916" spans="1:2" x14ac:dyDescent="0.2">
      <c r="A1916" s="93">
        <v>830</v>
      </c>
      <c r="B1916" s="94" t="s">
        <v>540</v>
      </c>
    </row>
    <row r="1917" spans="1:2" ht="38.25" x14ac:dyDescent="0.2">
      <c r="A1917" s="93">
        <v>831</v>
      </c>
      <c r="B1917" s="95" t="s">
        <v>541</v>
      </c>
    </row>
    <row r="1918" spans="1:2" ht="51" x14ac:dyDescent="0.2">
      <c r="A1918" s="93">
        <v>832</v>
      </c>
      <c r="B1918" s="95" t="s">
        <v>542</v>
      </c>
    </row>
    <row r="1919" spans="1:2" x14ac:dyDescent="0.2">
      <c r="A1919" s="93">
        <v>833</v>
      </c>
      <c r="B1919" s="94" t="s">
        <v>543</v>
      </c>
    </row>
    <row r="1920" spans="1:2" ht="25.5" x14ac:dyDescent="0.2">
      <c r="A1920" s="93">
        <v>840</v>
      </c>
      <c r="B1920" s="94" t="s">
        <v>544</v>
      </c>
    </row>
    <row r="1921" spans="1:2" x14ac:dyDescent="0.2">
      <c r="A1921" s="93">
        <v>841</v>
      </c>
      <c r="B1921" s="94" t="s">
        <v>545</v>
      </c>
    </row>
    <row r="1922" spans="1:2" x14ac:dyDescent="0.2">
      <c r="A1922" s="93">
        <v>850</v>
      </c>
      <c r="B1922" s="94" t="s">
        <v>546</v>
      </c>
    </row>
    <row r="1923" spans="1:2" x14ac:dyDescent="0.2">
      <c r="A1923" s="93">
        <v>851</v>
      </c>
      <c r="B1923" s="94" t="s">
        <v>547</v>
      </c>
    </row>
    <row r="1924" spans="1:2" ht="12.75" customHeight="1" x14ac:dyDescent="0.2">
      <c r="A1924" s="93">
        <v>852</v>
      </c>
      <c r="B1924" s="94" t="s">
        <v>548</v>
      </c>
    </row>
    <row r="1925" spans="1:2" x14ac:dyDescent="0.2">
      <c r="A1925" s="93">
        <v>860</v>
      </c>
      <c r="B1925" s="94" t="s">
        <v>549</v>
      </c>
    </row>
    <row r="1926" spans="1:2" x14ac:dyDescent="0.2">
      <c r="A1926" s="93">
        <v>861</v>
      </c>
      <c r="B1926" s="94" t="s">
        <v>550</v>
      </c>
    </row>
    <row r="1927" spans="1:2" x14ac:dyDescent="0.2">
      <c r="A1927" s="93">
        <v>862</v>
      </c>
      <c r="B1927" s="94" t="s">
        <v>551</v>
      </c>
    </row>
    <row r="1928" spans="1:2" x14ac:dyDescent="0.2">
      <c r="A1928" s="93">
        <v>863</v>
      </c>
      <c r="B1928" s="94" t="s">
        <v>552</v>
      </c>
    </row>
    <row r="1929" spans="1:2" x14ac:dyDescent="0.2">
      <c r="A1929" s="93">
        <v>870</v>
      </c>
      <c r="B1929" s="94" t="s">
        <v>553</v>
      </c>
    </row>
    <row r="1930" spans="1:2" x14ac:dyDescent="0.2">
      <c r="A1930" s="93">
        <v>880</v>
      </c>
      <c r="B1930" s="94" t="s">
        <v>554</v>
      </c>
    </row>
  </sheetData>
  <printOptions gridLinesSet="0"/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view="pageBreakPreview" zoomScaleSheetLayoutView="100" workbookViewId="0">
      <selection activeCell="I17" sqref="I17"/>
    </sheetView>
  </sheetViews>
  <sheetFormatPr defaultColWidth="9.140625" defaultRowHeight="12.75" x14ac:dyDescent="0.2"/>
  <cols>
    <col min="1" max="1" width="5.140625" style="8" bestFit="1" customWidth="1"/>
    <col min="2" max="3" width="3" style="8" bestFit="1" customWidth="1"/>
    <col min="4" max="4" width="3" style="8" customWidth="1"/>
    <col min="5" max="5" width="5.42578125" style="8" customWidth="1"/>
    <col min="6" max="6" width="3" style="8" customWidth="1"/>
    <col min="7" max="7" width="5.85546875" style="8" customWidth="1"/>
    <col min="8" max="8" width="4.85546875" style="8" bestFit="1" customWidth="1"/>
    <col min="9" max="9" width="37.5703125" style="8" customWidth="1"/>
    <col min="10" max="10" width="14.85546875" style="8" hidden="1" customWidth="1"/>
    <col min="11" max="11" width="11.42578125" style="8" hidden="1" customWidth="1"/>
    <col min="12" max="12" width="14.28515625" style="8" customWidth="1"/>
    <col min="13" max="14" width="14.28515625" style="8" hidden="1" customWidth="1"/>
    <col min="15" max="15" width="14.28515625" style="8" customWidth="1"/>
    <col min="16" max="16384" width="9.140625" style="8"/>
  </cols>
  <sheetData>
    <row r="1" spans="1:15" ht="15.75" x14ac:dyDescent="0.25">
      <c r="A1" s="596" t="s">
        <v>74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</row>
    <row r="2" spans="1:15" ht="15.75" x14ac:dyDescent="0.25">
      <c r="A2" s="596" t="s">
        <v>583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</row>
    <row r="3" spans="1:15" ht="15.75" x14ac:dyDescent="0.25">
      <c r="A3" s="596" t="s">
        <v>584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</row>
    <row r="4" spans="1:15" ht="15.75" x14ac:dyDescent="0.25">
      <c r="A4" s="596" t="s">
        <v>858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</row>
    <row r="5" spans="1:15" ht="15.75" x14ac:dyDescent="0.25">
      <c r="A5" s="125"/>
      <c r="B5" s="125"/>
      <c r="C5" s="125"/>
      <c r="D5" s="125"/>
      <c r="E5" s="125"/>
      <c r="F5" s="125"/>
      <c r="G5" s="126"/>
      <c r="H5" s="127"/>
      <c r="I5" s="595"/>
      <c r="J5" s="595"/>
      <c r="K5" s="595"/>
      <c r="L5" s="124"/>
      <c r="M5" s="124"/>
      <c r="N5" s="124"/>
      <c r="O5" s="124"/>
    </row>
    <row r="6" spans="1:15" ht="57.75" customHeight="1" x14ac:dyDescent="0.2">
      <c r="A6" s="598" t="s">
        <v>598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</row>
    <row r="7" spans="1:15" ht="18.75" x14ac:dyDescent="0.2">
      <c r="A7" s="125"/>
      <c r="B7" s="125"/>
      <c r="C7" s="125"/>
      <c r="D7" s="125"/>
      <c r="E7" s="125"/>
      <c r="F7" s="125"/>
      <c r="G7" s="119"/>
      <c r="H7" s="118"/>
      <c r="I7" s="599"/>
      <c r="J7" s="599"/>
      <c r="K7" s="599"/>
      <c r="L7" s="124"/>
      <c r="M7" s="124"/>
      <c r="N7" s="124"/>
      <c r="O7" s="124"/>
    </row>
    <row r="8" spans="1:15" ht="2.25" customHeight="1" x14ac:dyDescent="0.2">
      <c r="A8" s="125"/>
      <c r="B8" s="125"/>
      <c r="C8" s="125"/>
      <c r="D8" s="125"/>
      <c r="E8" s="125"/>
      <c r="F8" s="125"/>
      <c r="G8" s="119"/>
      <c r="H8" s="118"/>
      <c r="I8" s="600"/>
      <c r="J8" s="600"/>
      <c r="K8" s="600"/>
      <c r="L8" s="124"/>
      <c r="M8" s="124"/>
      <c r="N8" s="124"/>
      <c r="O8" s="124"/>
    </row>
    <row r="9" spans="1:15" ht="12.75" customHeight="1" x14ac:dyDescent="0.2">
      <c r="A9" s="601" t="s">
        <v>3</v>
      </c>
      <c r="B9" s="601"/>
      <c r="C9" s="601"/>
      <c r="D9" s="601"/>
      <c r="E9" s="601"/>
      <c r="F9" s="601"/>
      <c r="G9" s="601"/>
      <c r="H9" s="601"/>
      <c r="I9" s="597" t="s">
        <v>4</v>
      </c>
      <c r="J9" s="597" t="s">
        <v>821</v>
      </c>
      <c r="K9" s="597" t="s">
        <v>285</v>
      </c>
      <c r="L9" s="597" t="s">
        <v>821</v>
      </c>
      <c r="M9" s="597" t="s">
        <v>820</v>
      </c>
      <c r="N9" s="597" t="s">
        <v>285</v>
      </c>
      <c r="O9" s="597" t="s">
        <v>823</v>
      </c>
    </row>
    <row r="10" spans="1:15" ht="120.95" customHeight="1" x14ac:dyDescent="0.2">
      <c r="A10" s="128" t="s">
        <v>6</v>
      </c>
      <c r="B10" s="128" t="s">
        <v>7</v>
      </c>
      <c r="C10" s="128" t="s">
        <v>8</v>
      </c>
      <c r="D10" s="128" t="s">
        <v>71</v>
      </c>
      <c r="E10" s="129" t="s">
        <v>72</v>
      </c>
      <c r="F10" s="128" t="s">
        <v>73</v>
      </c>
      <c r="G10" s="130" t="s">
        <v>12</v>
      </c>
      <c r="H10" s="129" t="s">
        <v>13</v>
      </c>
      <c r="I10" s="597"/>
      <c r="J10" s="597"/>
      <c r="K10" s="597"/>
      <c r="L10" s="597"/>
      <c r="M10" s="597"/>
      <c r="N10" s="597"/>
      <c r="O10" s="597"/>
    </row>
    <row r="11" spans="1:15" ht="24" customHeight="1" x14ac:dyDescent="0.2">
      <c r="A11" s="273" t="s">
        <v>14</v>
      </c>
      <c r="B11" s="273" t="s">
        <v>15</v>
      </c>
      <c r="C11" s="273" t="s">
        <v>16</v>
      </c>
      <c r="D11" s="273" t="s">
        <v>16</v>
      </c>
      <c r="E11" s="273" t="s">
        <v>14</v>
      </c>
      <c r="F11" s="273" t="s">
        <v>16</v>
      </c>
      <c r="G11" s="274" t="s">
        <v>17</v>
      </c>
      <c r="H11" s="274" t="s">
        <v>14</v>
      </c>
      <c r="I11" s="234" t="s">
        <v>726</v>
      </c>
      <c r="J11" s="132">
        <f>J12+J14+J16+J18+J21+J30+J36+J38</f>
        <v>110087000</v>
      </c>
      <c r="K11" s="132">
        <f t="shared" ref="K11:O11" si="0">K12+K14+K16+K18+K21+K30+K36+K38</f>
        <v>0</v>
      </c>
      <c r="L11" s="132">
        <f t="shared" si="0"/>
        <v>110087000</v>
      </c>
      <c r="M11" s="132">
        <f t="shared" si="0"/>
        <v>116309000</v>
      </c>
      <c r="N11" s="132">
        <f t="shared" si="0"/>
        <v>0</v>
      </c>
      <c r="O11" s="132">
        <f t="shared" si="0"/>
        <v>116309000</v>
      </c>
    </row>
    <row r="12" spans="1:15" ht="18.75" customHeight="1" x14ac:dyDescent="0.2">
      <c r="A12" s="273" t="s">
        <v>14</v>
      </c>
      <c r="B12" s="273" t="s">
        <v>15</v>
      </c>
      <c r="C12" s="273" t="s">
        <v>18</v>
      </c>
      <c r="D12" s="273" t="s">
        <v>16</v>
      </c>
      <c r="E12" s="273" t="s">
        <v>14</v>
      </c>
      <c r="F12" s="273" t="s">
        <v>16</v>
      </c>
      <c r="G12" s="274" t="s">
        <v>17</v>
      </c>
      <c r="H12" s="274" t="s">
        <v>14</v>
      </c>
      <c r="I12" s="131" t="s">
        <v>19</v>
      </c>
      <c r="J12" s="132">
        <f>J13</f>
        <v>47462000</v>
      </c>
      <c r="K12" s="132">
        <f t="shared" ref="K12" si="1">K13</f>
        <v>0</v>
      </c>
      <c r="L12" s="132">
        <f t="shared" ref="L12" si="2">SUM(J12:K12)</f>
        <v>47462000</v>
      </c>
      <c r="M12" s="132">
        <f>M13</f>
        <v>50737000</v>
      </c>
      <c r="N12" s="132">
        <f t="shared" ref="N12" si="3">N13</f>
        <v>0</v>
      </c>
      <c r="O12" s="132">
        <f t="shared" ref="O12" si="4">SUM(M12:N12)</f>
        <v>50737000</v>
      </c>
    </row>
    <row r="13" spans="1:15" ht="21" customHeight="1" x14ac:dyDescent="0.2">
      <c r="A13" s="275" t="s">
        <v>20</v>
      </c>
      <c r="B13" s="275" t="s">
        <v>15</v>
      </c>
      <c r="C13" s="275" t="s">
        <v>18</v>
      </c>
      <c r="D13" s="275" t="s">
        <v>21</v>
      </c>
      <c r="E13" s="275" t="s">
        <v>14</v>
      </c>
      <c r="F13" s="275" t="s">
        <v>18</v>
      </c>
      <c r="G13" s="276" t="s">
        <v>17</v>
      </c>
      <c r="H13" s="276" t="s">
        <v>22</v>
      </c>
      <c r="I13" s="122" t="s">
        <v>23</v>
      </c>
      <c r="J13" s="133">
        <v>47462000</v>
      </c>
      <c r="K13" s="133"/>
      <c r="L13" s="133">
        <f>SUM(J13:K13)</f>
        <v>47462000</v>
      </c>
      <c r="M13" s="133">
        <v>50737000</v>
      </c>
      <c r="N13" s="133"/>
      <c r="O13" s="133">
        <f>SUM(M13:N13)</f>
        <v>50737000</v>
      </c>
    </row>
    <row r="14" spans="1:15" s="59" customFormat="1" ht="46.5" customHeight="1" x14ac:dyDescent="0.2">
      <c r="A14" s="233" t="s">
        <v>14</v>
      </c>
      <c r="B14" s="233" t="s">
        <v>15</v>
      </c>
      <c r="C14" s="233" t="s">
        <v>24</v>
      </c>
      <c r="D14" s="233" t="s">
        <v>16</v>
      </c>
      <c r="E14" s="233" t="s">
        <v>14</v>
      </c>
      <c r="F14" s="233" t="s">
        <v>16</v>
      </c>
      <c r="G14" s="233" t="s">
        <v>17</v>
      </c>
      <c r="H14" s="233" t="s">
        <v>14</v>
      </c>
      <c r="I14" s="234" t="s">
        <v>25</v>
      </c>
      <c r="J14" s="237">
        <f>J15</f>
        <v>1985000</v>
      </c>
      <c r="K14" s="132">
        <f t="shared" ref="K14" si="5">K15</f>
        <v>0</v>
      </c>
      <c r="L14" s="132">
        <f t="shared" ref="L14:L44" si="6">SUM(J14:K14)</f>
        <v>1985000</v>
      </c>
      <c r="M14" s="132">
        <f>M15</f>
        <v>3118000</v>
      </c>
      <c r="N14" s="132">
        <f t="shared" ref="N14" si="7">N15</f>
        <v>0</v>
      </c>
      <c r="O14" s="132">
        <f t="shared" ref="O14:O44" si="8">SUM(M14:N14)</f>
        <v>3118000</v>
      </c>
    </row>
    <row r="15" spans="1:15" ht="47.25" x14ac:dyDescent="0.2">
      <c r="A15" s="238" t="s">
        <v>26</v>
      </c>
      <c r="B15" s="238" t="s">
        <v>15</v>
      </c>
      <c r="C15" s="238" t="s">
        <v>24</v>
      </c>
      <c r="D15" s="238" t="s">
        <v>21</v>
      </c>
      <c r="E15" s="238" t="s">
        <v>14</v>
      </c>
      <c r="F15" s="238" t="s">
        <v>18</v>
      </c>
      <c r="G15" s="238" t="s">
        <v>17</v>
      </c>
      <c r="H15" s="238" t="s">
        <v>22</v>
      </c>
      <c r="I15" s="239" t="s">
        <v>27</v>
      </c>
      <c r="J15" s="240">
        <v>1985000</v>
      </c>
      <c r="K15" s="133"/>
      <c r="L15" s="133">
        <f t="shared" si="6"/>
        <v>1985000</v>
      </c>
      <c r="M15" s="133">
        <v>3118000</v>
      </c>
      <c r="N15" s="133"/>
      <c r="O15" s="133">
        <f t="shared" si="8"/>
        <v>3118000</v>
      </c>
    </row>
    <row r="16" spans="1:15" ht="15.75" x14ac:dyDescent="0.2">
      <c r="A16" s="233" t="s">
        <v>14</v>
      </c>
      <c r="B16" s="233" t="s">
        <v>15</v>
      </c>
      <c r="C16" s="233" t="s">
        <v>28</v>
      </c>
      <c r="D16" s="233" t="s">
        <v>16</v>
      </c>
      <c r="E16" s="233" t="s">
        <v>14</v>
      </c>
      <c r="F16" s="233" t="s">
        <v>16</v>
      </c>
      <c r="G16" s="242" t="s">
        <v>17</v>
      </c>
      <c r="H16" s="242" t="s">
        <v>14</v>
      </c>
      <c r="I16" s="234" t="s">
        <v>29</v>
      </c>
      <c r="J16" s="243">
        <f>J17</f>
        <v>114000</v>
      </c>
      <c r="K16" s="243">
        <f t="shared" ref="K16:L16" si="9">K17</f>
        <v>0</v>
      </c>
      <c r="L16" s="243">
        <f t="shared" si="9"/>
        <v>114000</v>
      </c>
      <c r="M16" s="243">
        <f>M17</f>
        <v>115000</v>
      </c>
      <c r="N16" s="243">
        <f t="shared" ref="N16:O16" si="10">N17</f>
        <v>0</v>
      </c>
      <c r="O16" s="243">
        <f t="shared" si="10"/>
        <v>115000</v>
      </c>
    </row>
    <row r="17" spans="1:15" ht="31.5" x14ac:dyDescent="0.2">
      <c r="A17" s="238" t="s">
        <v>20</v>
      </c>
      <c r="B17" s="238" t="s">
        <v>15</v>
      </c>
      <c r="C17" s="238" t="s">
        <v>28</v>
      </c>
      <c r="D17" s="238" t="s">
        <v>24</v>
      </c>
      <c r="E17" s="238" t="s">
        <v>14</v>
      </c>
      <c r="F17" s="238" t="s">
        <v>18</v>
      </c>
      <c r="G17" s="244" t="s">
        <v>17</v>
      </c>
      <c r="H17" s="244" t="s">
        <v>22</v>
      </c>
      <c r="I17" s="239" t="s">
        <v>30</v>
      </c>
      <c r="J17" s="240">
        <v>114000</v>
      </c>
      <c r="K17" s="133"/>
      <c r="L17" s="133">
        <f t="shared" si="6"/>
        <v>114000</v>
      </c>
      <c r="M17" s="133">
        <v>115000</v>
      </c>
      <c r="N17" s="133"/>
      <c r="O17" s="133">
        <f t="shared" si="8"/>
        <v>115000</v>
      </c>
    </row>
    <row r="18" spans="1:15" ht="19.5" customHeight="1" x14ac:dyDescent="0.2">
      <c r="A18" s="233" t="s">
        <v>14</v>
      </c>
      <c r="B18" s="233" t="s">
        <v>15</v>
      </c>
      <c r="C18" s="233" t="s">
        <v>48</v>
      </c>
      <c r="D18" s="233" t="s">
        <v>16</v>
      </c>
      <c r="E18" s="233" t="s">
        <v>14</v>
      </c>
      <c r="F18" s="233" t="s">
        <v>16</v>
      </c>
      <c r="G18" s="242" t="s">
        <v>17</v>
      </c>
      <c r="H18" s="242" t="s">
        <v>14</v>
      </c>
      <c r="I18" s="234" t="s">
        <v>727</v>
      </c>
      <c r="J18" s="243">
        <f>J19+J20</f>
        <v>48760000</v>
      </c>
      <c r="K18" s="132">
        <f t="shared" ref="K18" si="11">K19+K20</f>
        <v>0</v>
      </c>
      <c r="L18" s="132">
        <f t="shared" si="6"/>
        <v>48760000</v>
      </c>
      <c r="M18" s="132">
        <f>M19+M20</f>
        <v>50650000</v>
      </c>
      <c r="N18" s="132">
        <f t="shared" ref="N18" si="12">N19+N20</f>
        <v>0</v>
      </c>
      <c r="O18" s="132">
        <f t="shared" si="8"/>
        <v>50650000</v>
      </c>
    </row>
    <row r="19" spans="1:15" ht="15.75" x14ac:dyDescent="0.2">
      <c r="A19" s="238" t="s">
        <v>20</v>
      </c>
      <c r="B19" s="238" t="s">
        <v>15</v>
      </c>
      <c r="C19" s="238" t="s">
        <v>48</v>
      </c>
      <c r="D19" s="238" t="s">
        <v>18</v>
      </c>
      <c r="E19" s="238" t="s">
        <v>14</v>
      </c>
      <c r="F19" s="238" t="s">
        <v>16</v>
      </c>
      <c r="G19" s="244" t="s">
        <v>17</v>
      </c>
      <c r="H19" s="244" t="s">
        <v>22</v>
      </c>
      <c r="I19" s="239" t="s">
        <v>728</v>
      </c>
      <c r="J19" s="240">
        <v>18340000</v>
      </c>
      <c r="K19" s="133"/>
      <c r="L19" s="133">
        <f t="shared" si="6"/>
        <v>18340000</v>
      </c>
      <c r="M19" s="133">
        <v>20230000</v>
      </c>
      <c r="N19" s="133"/>
      <c r="O19" s="133">
        <f t="shared" si="8"/>
        <v>20230000</v>
      </c>
    </row>
    <row r="20" spans="1:15" ht="15.75" x14ac:dyDescent="0.2">
      <c r="A20" s="238" t="s">
        <v>20</v>
      </c>
      <c r="B20" s="238" t="s">
        <v>15</v>
      </c>
      <c r="C20" s="238" t="s">
        <v>48</v>
      </c>
      <c r="D20" s="238" t="s">
        <v>48</v>
      </c>
      <c r="E20" s="238" t="s">
        <v>14</v>
      </c>
      <c r="F20" s="238" t="s">
        <v>16</v>
      </c>
      <c r="G20" s="244" t="s">
        <v>17</v>
      </c>
      <c r="H20" s="244" t="s">
        <v>22</v>
      </c>
      <c r="I20" s="239" t="s">
        <v>729</v>
      </c>
      <c r="J20" s="240">
        <v>30420000</v>
      </c>
      <c r="K20" s="133"/>
      <c r="L20" s="133">
        <f t="shared" si="6"/>
        <v>30420000</v>
      </c>
      <c r="M20" s="133">
        <v>30420000</v>
      </c>
      <c r="N20" s="133"/>
      <c r="O20" s="133">
        <f t="shared" si="8"/>
        <v>30420000</v>
      </c>
    </row>
    <row r="21" spans="1:15" ht="79.5" customHeight="1" x14ac:dyDescent="0.2">
      <c r="A21" s="273" t="s">
        <v>14</v>
      </c>
      <c r="B21" s="273" t="s">
        <v>15</v>
      </c>
      <c r="C21" s="273" t="s">
        <v>33</v>
      </c>
      <c r="D21" s="273" t="s">
        <v>16</v>
      </c>
      <c r="E21" s="273" t="s">
        <v>14</v>
      </c>
      <c r="F21" s="273" t="s">
        <v>16</v>
      </c>
      <c r="G21" s="274" t="s">
        <v>17</v>
      </c>
      <c r="H21" s="274" t="s">
        <v>14</v>
      </c>
      <c r="I21" s="131" t="s">
        <v>34</v>
      </c>
      <c r="J21" s="134">
        <f>J22+J25</f>
        <v>10766000</v>
      </c>
      <c r="K21" s="134">
        <f t="shared" ref="K21" si="13">K22+K25</f>
        <v>0</v>
      </c>
      <c r="L21" s="132">
        <f t="shared" si="6"/>
        <v>10766000</v>
      </c>
      <c r="M21" s="134">
        <f>M22+M25</f>
        <v>10689000</v>
      </c>
      <c r="N21" s="134">
        <f t="shared" ref="N21" si="14">N22+N25</f>
        <v>0</v>
      </c>
      <c r="O21" s="132">
        <f t="shared" si="8"/>
        <v>10689000</v>
      </c>
    </row>
    <row r="22" spans="1:15" ht="158.25" customHeight="1" x14ac:dyDescent="0.2">
      <c r="A22" s="245" t="s">
        <v>14</v>
      </c>
      <c r="B22" s="245" t="s">
        <v>15</v>
      </c>
      <c r="C22" s="245" t="s">
        <v>33</v>
      </c>
      <c r="D22" s="245" t="s">
        <v>28</v>
      </c>
      <c r="E22" s="245" t="s">
        <v>14</v>
      </c>
      <c r="F22" s="245" t="s">
        <v>16</v>
      </c>
      <c r="G22" s="246" t="s">
        <v>17</v>
      </c>
      <c r="H22" s="246" t="s">
        <v>35</v>
      </c>
      <c r="I22" s="247" t="s">
        <v>37</v>
      </c>
      <c r="J22" s="248">
        <f>J23+J24</f>
        <v>6840000</v>
      </c>
      <c r="K22" s="248">
        <f t="shared" ref="K22:L22" si="15">K23+K24</f>
        <v>0</v>
      </c>
      <c r="L22" s="248">
        <f t="shared" si="15"/>
        <v>6840000</v>
      </c>
      <c r="M22" s="248">
        <f t="shared" ref="M22" si="16">M23+M24</f>
        <v>6840000</v>
      </c>
      <c r="N22" s="135"/>
      <c r="O22" s="136">
        <f t="shared" si="8"/>
        <v>6840000</v>
      </c>
    </row>
    <row r="23" spans="1:15" ht="147" customHeight="1" x14ac:dyDescent="0.2">
      <c r="A23" s="238" t="s">
        <v>14</v>
      </c>
      <c r="B23" s="238" t="s">
        <v>15</v>
      </c>
      <c r="C23" s="238" t="s">
        <v>33</v>
      </c>
      <c r="D23" s="238" t="s">
        <v>28</v>
      </c>
      <c r="E23" s="238" t="s">
        <v>38</v>
      </c>
      <c r="F23" s="238" t="s">
        <v>16</v>
      </c>
      <c r="G23" s="244" t="s">
        <v>17</v>
      </c>
      <c r="H23" s="244" t="s">
        <v>35</v>
      </c>
      <c r="I23" s="239" t="s">
        <v>39</v>
      </c>
      <c r="J23" s="251">
        <v>6040000</v>
      </c>
      <c r="K23" s="133"/>
      <c r="L23" s="133">
        <f t="shared" si="6"/>
        <v>6040000</v>
      </c>
      <c r="M23" s="133">
        <v>6040000</v>
      </c>
      <c r="N23" s="133"/>
      <c r="O23" s="133">
        <f t="shared" si="8"/>
        <v>6040000</v>
      </c>
    </row>
    <row r="24" spans="1:15" ht="157.5" x14ac:dyDescent="0.2">
      <c r="A24" s="238" t="s">
        <v>14</v>
      </c>
      <c r="B24" s="238" t="s">
        <v>15</v>
      </c>
      <c r="C24" s="238" t="s">
        <v>33</v>
      </c>
      <c r="D24" s="238" t="s">
        <v>28</v>
      </c>
      <c r="E24" s="238" t="s">
        <v>730</v>
      </c>
      <c r="F24" s="238" t="s">
        <v>16</v>
      </c>
      <c r="G24" s="244" t="s">
        <v>17</v>
      </c>
      <c r="H24" s="244" t="s">
        <v>35</v>
      </c>
      <c r="I24" s="239" t="s">
        <v>731</v>
      </c>
      <c r="J24" s="251">
        <v>800000</v>
      </c>
      <c r="K24" s="133"/>
      <c r="L24" s="133">
        <f>J24+K24</f>
        <v>800000</v>
      </c>
      <c r="M24" s="133">
        <v>800000</v>
      </c>
      <c r="N24" s="133"/>
      <c r="O24" s="133">
        <f t="shared" si="8"/>
        <v>800000</v>
      </c>
    </row>
    <row r="25" spans="1:15" ht="160.5" customHeight="1" x14ac:dyDescent="0.2">
      <c r="A25" s="245" t="s">
        <v>14</v>
      </c>
      <c r="B25" s="245" t="s">
        <v>15</v>
      </c>
      <c r="C25" s="245" t="s">
        <v>33</v>
      </c>
      <c r="D25" s="245" t="s">
        <v>31</v>
      </c>
      <c r="E25" s="245" t="s">
        <v>14</v>
      </c>
      <c r="F25" s="245" t="s">
        <v>16</v>
      </c>
      <c r="G25" s="246" t="s">
        <v>17</v>
      </c>
      <c r="H25" s="246" t="s">
        <v>35</v>
      </c>
      <c r="I25" s="247" t="s">
        <v>733</v>
      </c>
      <c r="J25" s="248">
        <f>J26</f>
        <v>3926000</v>
      </c>
      <c r="K25" s="248">
        <f t="shared" ref="K25:L25" si="17">K26</f>
        <v>0</v>
      </c>
      <c r="L25" s="248">
        <f t="shared" si="17"/>
        <v>3926000</v>
      </c>
      <c r="M25" s="248">
        <f>M26</f>
        <v>3849000</v>
      </c>
      <c r="N25" s="136"/>
      <c r="O25" s="133">
        <f t="shared" si="8"/>
        <v>3849000</v>
      </c>
    </row>
    <row r="26" spans="1:15" ht="157.5" x14ac:dyDescent="0.2">
      <c r="A26" s="238" t="s">
        <v>14</v>
      </c>
      <c r="B26" s="238" t="s">
        <v>15</v>
      </c>
      <c r="C26" s="238" t="s">
        <v>33</v>
      </c>
      <c r="D26" s="238" t="s">
        <v>31</v>
      </c>
      <c r="E26" s="238" t="s">
        <v>732</v>
      </c>
      <c r="F26" s="238" t="s">
        <v>16</v>
      </c>
      <c r="G26" s="244" t="s">
        <v>17</v>
      </c>
      <c r="H26" s="244" t="s">
        <v>35</v>
      </c>
      <c r="I26" s="239" t="s">
        <v>734</v>
      </c>
      <c r="J26" s="251">
        <v>3926000</v>
      </c>
      <c r="K26" s="133"/>
      <c r="L26" s="133">
        <f t="shared" si="6"/>
        <v>3926000</v>
      </c>
      <c r="M26" s="133">
        <v>3849000</v>
      </c>
      <c r="N26" s="133"/>
      <c r="O26" s="133">
        <f t="shared" si="8"/>
        <v>3849000</v>
      </c>
    </row>
    <row r="27" spans="1:15" ht="0.75" customHeight="1" x14ac:dyDescent="0.2">
      <c r="A27" s="275" t="s">
        <v>20</v>
      </c>
      <c r="B27" s="275" t="s">
        <v>15</v>
      </c>
      <c r="C27" s="275" t="s">
        <v>40</v>
      </c>
      <c r="D27" s="275"/>
      <c r="E27" s="275" t="s">
        <v>41</v>
      </c>
      <c r="F27" s="275" t="s">
        <v>18</v>
      </c>
      <c r="G27" s="276" t="s">
        <v>17</v>
      </c>
      <c r="H27" s="276" t="s">
        <v>35</v>
      </c>
      <c r="I27" s="122" t="s">
        <v>42</v>
      </c>
      <c r="J27" s="133">
        <v>0</v>
      </c>
      <c r="K27" s="133">
        <v>0</v>
      </c>
      <c r="L27" s="133">
        <f t="shared" si="6"/>
        <v>0</v>
      </c>
      <c r="M27" s="133">
        <v>0</v>
      </c>
      <c r="N27" s="133">
        <v>0</v>
      </c>
      <c r="O27" s="133">
        <f t="shared" si="8"/>
        <v>0</v>
      </c>
    </row>
    <row r="28" spans="1:15" s="224" customFormat="1" ht="54.75" hidden="1" customHeight="1" x14ac:dyDescent="0.2">
      <c r="A28" s="233" t="s">
        <v>14</v>
      </c>
      <c r="B28" s="233" t="s">
        <v>15</v>
      </c>
      <c r="C28" s="233" t="s">
        <v>43</v>
      </c>
      <c r="D28" s="233" t="s">
        <v>16</v>
      </c>
      <c r="E28" s="233" t="s">
        <v>14</v>
      </c>
      <c r="F28" s="233" t="s">
        <v>16</v>
      </c>
      <c r="G28" s="242" t="s">
        <v>17</v>
      </c>
      <c r="H28" s="242" t="s">
        <v>44</v>
      </c>
      <c r="I28" s="234" t="s">
        <v>45</v>
      </c>
      <c r="J28" s="243">
        <f>J29</f>
        <v>0</v>
      </c>
      <c r="K28" s="243">
        <f t="shared" ref="K28:M28" si="18">K29</f>
        <v>0</v>
      </c>
      <c r="L28" s="243">
        <f t="shared" si="18"/>
        <v>0</v>
      </c>
      <c r="M28" s="243">
        <f t="shared" si="18"/>
        <v>0</v>
      </c>
      <c r="N28" s="481"/>
      <c r="O28" s="482">
        <f>M28+N28</f>
        <v>0</v>
      </c>
    </row>
    <row r="29" spans="1:15" s="224" customFormat="1" ht="31.5" hidden="1" customHeight="1" x14ac:dyDescent="0.2">
      <c r="A29" s="238" t="s">
        <v>14</v>
      </c>
      <c r="B29" s="238" t="s">
        <v>15</v>
      </c>
      <c r="C29" s="238" t="s">
        <v>43</v>
      </c>
      <c r="D29" s="238" t="s">
        <v>21</v>
      </c>
      <c r="E29" s="238" t="s">
        <v>14</v>
      </c>
      <c r="F29" s="238" t="s">
        <v>16</v>
      </c>
      <c r="G29" s="244" t="s">
        <v>17</v>
      </c>
      <c r="H29" s="244" t="s">
        <v>44</v>
      </c>
      <c r="I29" s="239" t="s">
        <v>735</v>
      </c>
      <c r="J29" s="240">
        <v>0</v>
      </c>
      <c r="K29" s="240"/>
      <c r="L29" s="241">
        <f t="shared" si="6"/>
        <v>0</v>
      </c>
      <c r="M29" s="240">
        <v>0</v>
      </c>
      <c r="N29" s="480"/>
      <c r="O29" s="483">
        <f>M29+N29</f>
        <v>0</v>
      </c>
    </row>
    <row r="30" spans="1:15" ht="48" customHeight="1" x14ac:dyDescent="0.2">
      <c r="A30" s="233" t="s">
        <v>14</v>
      </c>
      <c r="B30" s="233" t="s">
        <v>15</v>
      </c>
      <c r="C30" s="233" t="s">
        <v>46</v>
      </c>
      <c r="D30" s="233" t="s">
        <v>16</v>
      </c>
      <c r="E30" s="233" t="s">
        <v>14</v>
      </c>
      <c r="F30" s="233" t="s">
        <v>16</v>
      </c>
      <c r="G30" s="242" t="s">
        <v>17</v>
      </c>
      <c r="H30" s="242" t="s">
        <v>14</v>
      </c>
      <c r="I30" s="234" t="s">
        <v>47</v>
      </c>
      <c r="J30" s="243">
        <f>J31+J33</f>
        <v>750000</v>
      </c>
      <c r="K30" s="243">
        <f t="shared" ref="K30:O30" si="19">K31+K33</f>
        <v>0</v>
      </c>
      <c r="L30" s="243">
        <f t="shared" si="19"/>
        <v>750000</v>
      </c>
      <c r="M30" s="243">
        <f t="shared" si="19"/>
        <v>750000</v>
      </c>
      <c r="N30" s="243">
        <f t="shared" si="19"/>
        <v>0</v>
      </c>
      <c r="O30" s="243">
        <f t="shared" si="19"/>
        <v>750000</v>
      </c>
    </row>
    <row r="31" spans="1:15" ht="152.25" customHeight="1" x14ac:dyDescent="0.2">
      <c r="A31" s="245" t="s">
        <v>14</v>
      </c>
      <c r="B31" s="245" t="s">
        <v>15</v>
      </c>
      <c r="C31" s="245" t="s">
        <v>46</v>
      </c>
      <c r="D31" s="245" t="s">
        <v>21</v>
      </c>
      <c r="E31" s="245" t="s">
        <v>14</v>
      </c>
      <c r="F31" s="245" t="s">
        <v>16</v>
      </c>
      <c r="G31" s="246" t="s">
        <v>17</v>
      </c>
      <c r="H31" s="246" t="s">
        <v>14</v>
      </c>
      <c r="I31" s="247" t="s">
        <v>736</v>
      </c>
      <c r="J31" s="252">
        <f>J32</f>
        <v>100000</v>
      </c>
      <c r="K31" s="252">
        <f t="shared" ref="K31:M31" si="20">K32</f>
        <v>0</v>
      </c>
      <c r="L31" s="252">
        <f t="shared" si="20"/>
        <v>100000</v>
      </c>
      <c r="M31" s="252">
        <f t="shared" si="20"/>
        <v>100000</v>
      </c>
      <c r="N31" s="133"/>
      <c r="O31" s="133">
        <f t="shared" si="8"/>
        <v>100000</v>
      </c>
    </row>
    <row r="32" spans="1:15" ht="189" x14ac:dyDescent="0.2">
      <c r="A32" s="238" t="s">
        <v>14</v>
      </c>
      <c r="B32" s="238" t="s">
        <v>15</v>
      </c>
      <c r="C32" s="238" t="s">
        <v>46</v>
      </c>
      <c r="D32" s="238" t="s">
        <v>21</v>
      </c>
      <c r="E32" s="238" t="s">
        <v>36</v>
      </c>
      <c r="F32" s="238" t="s">
        <v>43</v>
      </c>
      <c r="G32" s="244" t="s">
        <v>17</v>
      </c>
      <c r="H32" s="244" t="s">
        <v>738</v>
      </c>
      <c r="I32" s="239" t="s">
        <v>737</v>
      </c>
      <c r="J32" s="240">
        <v>100000</v>
      </c>
      <c r="K32" s="133"/>
      <c r="L32" s="252">
        <f>J32+K32</f>
        <v>100000</v>
      </c>
      <c r="M32" s="133">
        <v>100000</v>
      </c>
      <c r="N32" s="133"/>
      <c r="O32" s="133">
        <f>M32+N32</f>
        <v>100000</v>
      </c>
    </row>
    <row r="33" spans="1:15" ht="63" x14ac:dyDescent="0.2">
      <c r="A33" s="245" t="s">
        <v>14</v>
      </c>
      <c r="B33" s="245" t="s">
        <v>15</v>
      </c>
      <c r="C33" s="245" t="s">
        <v>46</v>
      </c>
      <c r="D33" s="245" t="s">
        <v>48</v>
      </c>
      <c r="E33" s="245" t="s">
        <v>14</v>
      </c>
      <c r="F33" s="245" t="s">
        <v>16</v>
      </c>
      <c r="G33" s="246" t="s">
        <v>17</v>
      </c>
      <c r="H33" s="246" t="s">
        <v>49</v>
      </c>
      <c r="I33" s="247" t="s">
        <v>50</v>
      </c>
      <c r="J33" s="252">
        <f>J34+J35</f>
        <v>650000</v>
      </c>
      <c r="K33" s="252">
        <f t="shared" ref="K33:O33" si="21">K34+K35</f>
        <v>0</v>
      </c>
      <c r="L33" s="252">
        <f t="shared" si="21"/>
        <v>650000</v>
      </c>
      <c r="M33" s="252">
        <f t="shared" si="21"/>
        <v>650000</v>
      </c>
      <c r="N33" s="252">
        <f t="shared" si="21"/>
        <v>0</v>
      </c>
      <c r="O33" s="252">
        <f t="shared" si="21"/>
        <v>650000</v>
      </c>
    </row>
    <row r="34" spans="1:15" ht="66.75" customHeight="1" x14ac:dyDescent="0.2">
      <c r="A34" s="238" t="s">
        <v>14</v>
      </c>
      <c r="B34" s="238" t="s">
        <v>15</v>
      </c>
      <c r="C34" s="238" t="s">
        <v>46</v>
      </c>
      <c r="D34" s="238" t="s">
        <v>48</v>
      </c>
      <c r="E34" s="238" t="s">
        <v>38</v>
      </c>
      <c r="F34" s="238" t="s">
        <v>16</v>
      </c>
      <c r="G34" s="244" t="s">
        <v>17</v>
      </c>
      <c r="H34" s="244" t="s">
        <v>49</v>
      </c>
      <c r="I34" s="239" t="s">
        <v>739</v>
      </c>
      <c r="J34" s="240">
        <v>500000</v>
      </c>
      <c r="K34" s="137"/>
      <c r="L34" s="133">
        <f t="shared" si="6"/>
        <v>500000</v>
      </c>
      <c r="M34" s="137">
        <v>500000</v>
      </c>
      <c r="N34" s="137"/>
      <c r="O34" s="133">
        <f t="shared" si="8"/>
        <v>500000</v>
      </c>
    </row>
    <row r="35" spans="1:15" ht="94.5" x14ac:dyDescent="0.2">
      <c r="A35" s="238" t="s">
        <v>14</v>
      </c>
      <c r="B35" s="238" t="s">
        <v>15</v>
      </c>
      <c r="C35" s="238" t="s">
        <v>46</v>
      </c>
      <c r="D35" s="238" t="s">
        <v>48</v>
      </c>
      <c r="E35" s="238" t="s">
        <v>730</v>
      </c>
      <c r="F35" s="238" t="s">
        <v>16</v>
      </c>
      <c r="G35" s="244" t="s">
        <v>17</v>
      </c>
      <c r="H35" s="244" t="s">
        <v>49</v>
      </c>
      <c r="I35" s="239" t="s">
        <v>740</v>
      </c>
      <c r="J35" s="240">
        <v>150000</v>
      </c>
      <c r="K35" s="133"/>
      <c r="L35" s="133">
        <f t="shared" si="6"/>
        <v>150000</v>
      </c>
      <c r="M35" s="133">
        <v>150000</v>
      </c>
      <c r="N35" s="133">
        <v>0</v>
      </c>
      <c r="O35" s="133">
        <f t="shared" si="8"/>
        <v>150000</v>
      </c>
    </row>
    <row r="36" spans="1:15" ht="31.5" x14ac:dyDescent="0.2">
      <c r="A36" s="233" t="s">
        <v>14</v>
      </c>
      <c r="B36" s="233" t="s">
        <v>15</v>
      </c>
      <c r="C36" s="233" t="s">
        <v>52</v>
      </c>
      <c r="D36" s="233" t="s">
        <v>16</v>
      </c>
      <c r="E36" s="233" t="s">
        <v>14</v>
      </c>
      <c r="F36" s="233" t="s">
        <v>16</v>
      </c>
      <c r="G36" s="242" t="s">
        <v>17</v>
      </c>
      <c r="H36" s="242" t="s">
        <v>14</v>
      </c>
      <c r="I36" s="234" t="s">
        <v>53</v>
      </c>
      <c r="J36" s="243">
        <f>J37</f>
        <v>50000</v>
      </c>
      <c r="K36" s="243">
        <f t="shared" ref="K36:M36" si="22">K37</f>
        <v>0</v>
      </c>
      <c r="L36" s="243">
        <f t="shared" si="22"/>
        <v>50000</v>
      </c>
      <c r="M36" s="243">
        <f t="shared" si="22"/>
        <v>50000</v>
      </c>
      <c r="N36" s="132"/>
      <c r="O36" s="132">
        <f>SUM(M36:N36)</f>
        <v>50000</v>
      </c>
    </row>
    <row r="37" spans="1:15" ht="78.75" x14ac:dyDescent="0.2">
      <c r="A37" s="238" t="s">
        <v>14</v>
      </c>
      <c r="B37" s="238" t="s">
        <v>15</v>
      </c>
      <c r="C37" s="238" t="s">
        <v>52</v>
      </c>
      <c r="D37" s="238" t="s">
        <v>741</v>
      </c>
      <c r="E37" s="238" t="s">
        <v>14</v>
      </c>
      <c r="F37" s="238" t="s">
        <v>21</v>
      </c>
      <c r="G37" s="244" t="s">
        <v>17</v>
      </c>
      <c r="H37" s="244" t="s">
        <v>14</v>
      </c>
      <c r="I37" s="239" t="s">
        <v>742</v>
      </c>
      <c r="J37" s="240">
        <v>50000</v>
      </c>
      <c r="K37" s="132"/>
      <c r="L37" s="133">
        <f>K37+J37</f>
        <v>50000</v>
      </c>
      <c r="M37" s="240">
        <v>50000</v>
      </c>
      <c r="N37" s="133"/>
      <c r="O37" s="133">
        <f>M37+N37</f>
        <v>50000</v>
      </c>
    </row>
    <row r="38" spans="1:15" ht="15.75" x14ac:dyDescent="0.2">
      <c r="A38" s="233" t="s">
        <v>14</v>
      </c>
      <c r="B38" s="233" t="s">
        <v>15</v>
      </c>
      <c r="C38" s="233" t="s">
        <v>54</v>
      </c>
      <c r="D38" s="233" t="s">
        <v>16</v>
      </c>
      <c r="E38" s="233" t="s">
        <v>32</v>
      </c>
      <c r="F38" s="233" t="s">
        <v>16</v>
      </c>
      <c r="G38" s="242" t="s">
        <v>17</v>
      </c>
      <c r="H38" s="242" t="s">
        <v>14</v>
      </c>
      <c r="I38" s="234" t="s">
        <v>55</v>
      </c>
      <c r="J38" s="243">
        <f>J39</f>
        <v>200000</v>
      </c>
      <c r="K38" s="243">
        <f t="shared" ref="K38:O39" si="23">K39</f>
        <v>0</v>
      </c>
      <c r="L38" s="243">
        <f t="shared" si="23"/>
        <v>200000</v>
      </c>
      <c r="M38" s="243">
        <f t="shared" si="23"/>
        <v>200000</v>
      </c>
      <c r="N38" s="243">
        <f t="shared" si="23"/>
        <v>0</v>
      </c>
      <c r="O38" s="243">
        <f t="shared" si="23"/>
        <v>200000</v>
      </c>
    </row>
    <row r="39" spans="1:15" ht="15.75" x14ac:dyDescent="0.2">
      <c r="A39" s="245" t="s">
        <v>14</v>
      </c>
      <c r="B39" s="245" t="s">
        <v>15</v>
      </c>
      <c r="C39" s="245" t="s">
        <v>54</v>
      </c>
      <c r="D39" s="245" t="s">
        <v>28</v>
      </c>
      <c r="E39" s="245" t="s">
        <v>32</v>
      </c>
      <c r="F39" s="245" t="s">
        <v>16</v>
      </c>
      <c r="G39" s="246" t="s">
        <v>17</v>
      </c>
      <c r="H39" s="246" t="s">
        <v>743</v>
      </c>
      <c r="I39" s="247" t="s">
        <v>55</v>
      </c>
      <c r="J39" s="252">
        <f>J40</f>
        <v>200000</v>
      </c>
      <c r="K39" s="252">
        <f t="shared" si="23"/>
        <v>0</v>
      </c>
      <c r="L39" s="252">
        <f t="shared" si="23"/>
        <v>200000</v>
      </c>
      <c r="M39" s="252">
        <f t="shared" si="23"/>
        <v>200000</v>
      </c>
      <c r="N39" s="252">
        <f t="shared" si="23"/>
        <v>0</v>
      </c>
      <c r="O39" s="252">
        <f t="shared" si="23"/>
        <v>200000</v>
      </c>
    </row>
    <row r="40" spans="1:15" ht="37.5" customHeight="1" x14ac:dyDescent="0.2">
      <c r="A40" s="238" t="s">
        <v>14</v>
      </c>
      <c r="B40" s="238" t="s">
        <v>15</v>
      </c>
      <c r="C40" s="238" t="s">
        <v>54</v>
      </c>
      <c r="D40" s="238" t="s">
        <v>28</v>
      </c>
      <c r="E40" s="238" t="s">
        <v>744</v>
      </c>
      <c r="F40" s="238" t="s">
        <v>43</v>
      </c>
      <c r="G40" s="244" t="s">
        <v>17</v>
      </c>
      <c r="H40" s="244" t="s">
        <v>743</v>
      </c>
      <c r="I40" s="239" t="s">
        <v>238</v>
      </c>
      <c r="J40" s="240">
        <v>200000</v>
      </c>
      <c r="K40" s="132"/>
      <c r="L40" s="133">
        <f>J40+K40</f>
        <v>200000</v>
      </c>
      <c r="M40" s="240">
        <v>200000</v>
      </c>
      <c r="N40" s="132"/>
      <c r="O40" s="133">
        <f t="shared" si="8"/>
        <v>200000</v>
      </c>
    </row>
    <row r="41" spans="1:15" s="59" customFormat="1" ht="15.75" x14ac:dyDescent="0.2">
      <c r="A41" s="233" t="s">
        <v>14</v>
      </c>
      <c r="B41" s="233" t="s">
        <v>56</v>
      </c>
      <c r="C41" s="233" t="s">
        <v>16</v>
      </c>
      <c r="D41" s="233" t="s">
        <v>16</v>
      </c>
      <c r="E41" s="233" t="s">
        <v>14</v>
      </c>
      <c r="F41" s="233" t="s">
        <v>16</v>
      </c>
      <c r="G41" s="242" t="s">
        <v>17</v>
      </c>
      <c r="H41" s="242" t="s">
        <v>14</v>
      </c>
      <c r="I41" s="234" t="s">
        <v>57</v>
      </c>
      <c r="J41" s="243">
        <f>J42</f>
        <v>0</v>
      </c>
      <c r="K41" s="134">
        <f t="shared" ref="K41" si="24">K42</f>
        <v>35000000</v>
      </c>
      <c r="L41" s="132">
        <f t="shared" si="6"/>
        <v>35000000</v>
      </c>
      <c r="M41" s="134">
        <f>M42</f>
        <v>0</v>
      </c>
      <c r="N41" s="134">
        <f t="shared" ref="N41" si="25">N42</f>
        <v>30800000</v>
      </c>
      <c r="O41" s="132">
        <f t="shared" si="8"/>
        <v>30800000</v>
      </c>
    </row>
    <row r="42" spans="1:15" ht="47.25" x14ac:dyDescent="0.2">
      <c r="A42" s="233" t="s">
        <v>14</v>
      </c>
      <c r="B42" s="233" t="s">
        <v>56</v>
      </c>
      <c r="C42" s="233" t="s">
        <v>21</v>
      </c>
      <c r="D42" s="233" t="s">
        <v>16</v>
      </c>
      <c r="E42" s="233" t="s">
        <v>14</v>
      </c>
      <c r="F42" s="233" t="s">
        <v>16</v>
      </c>
      <c r="G42" s="242" t="s">
        <v>17</v>
      </c>
      <c r="H42" s="242" t="s">
        <v>14</v>
      </c>
      <c r="I42" s="234" t="s">
        <v>58</v>
      </c>
      <c r="J42" s="243">
        <f>J43+J45</f>
        <v>0</v>
      </c>
      <c r="K42" s="243">
        <f t="shared" ref="K42:O42" si="26">K43+K45</f>
        <v>35000000</v>
      </c>
      <c r="L42" s="243">
        <f t="shared" si="26"/>
        <v>35000000</v>
      </c>
      <c r="M42" s="243">
        <f t="shared" si="26"/>
        <v>0</v>
      </c>
      <c r="N42" s="243">
        <f t="shared" si="26"/>
        <v>30800000</v>
      </c>
      <c r="O42" s="243">
        <f t="shared" si="26"/>
        <v>30800000</v>
      </c>
    </row>
    <row r="43" spans="1:15" ht="31.5" x14ac:dyDescent="0.2">
      <c r="A43" s="233" t="s">
        <v>14</v>
      </c>
      <c r="B43" s="233" t="s">
        <v>56</v>
      </c>
      <c r="C43" s="233" t="s">
        <v>21</v>
      </c>
      <c r="D43" s="233" t="s">
        <v>51</v>
      </c>
      <c r="E43" s="233" t="s">
        <v>14</v>
      </c>
      <c r="F43" s="233" t="s">
        <v>16</v>
      </c>
      <c r="G43" s="242" t="s">
        <v>17</v>
      </c>
      <c r="H43" s="242" t="s">
        <v>746</v>
      </c>
      <c r="I43" s="234" t="s">
        <v>745</v>
      </c>
      <c r="J43" s="243">
        <f>J44</f>
        <v>0</v>
      </c>
      <c r="K43" s="243">
        <f t="shared" ref="K43:L43" si="27">K44</f>
        <v>0</v>
      </c>
      <c r="L43" s="243">
        <f t="shared" si="27"/>
        <v>0</v>
      </c>
      <c r="M43" s="243">
        <f>M44</f>
        <v>0</v>
      </c>
      <c r="N43" s="243">
        <f t="shared" ref="N43:O43" si="28">N44</f>
        <v>0</v>
      </c>
      <c r="O43" s="243">
        <f t="shared" si="28"/>
        <v>0</v>
      </c>
    </row>
    <row r="44" spans="1:15" ht="31.5" x14ac:dyDescent="0.2">
      <c r="A44" s="238" t="s">
        <v>59</v>
      </c>
      <c r="B44" s="238" t="s">
        <v>56</v>
      </c>
      <c r="C44" s="238" t="s">
        <v>21</v>
      </c>
      <c r="D44" s="238" t="s">
        <v>287</v>
      </c>
      <c r="E44" s="238" t="s">
        <v>60</v>
      </c>
      <c r="F44" s="238" t="s">
        <v>16</v>
      </c>
      <c r="G44" s="244" t="s">
        <v>17</v>
      </c>
      <c r="H44" s="244" t="s">
        <v>746</v>
      </c>
      <c r="I44" s="239" t="s">
        <v>747</v>
      </c>
      <c r="J44" s="240">
        <v>0</v>
      </c>
      <c r="K44" s="133"/>
      <c r="L44" s="133">
        <f t="shared" si="6"/>
        <v>0</v>
      </c>
      <c r="M44" s="133">
        <v>0</v>
      </c>
      <c r="N44" s="133"/>
      <c r="O44" s="133">
        <f t="shared" si="8"/>
        <v>0</v>
      </c>
    </row>
    <row r="45" spans="1:15" s="59" customFormat="1" ht="31.5" x14ac:dyDescent="0.2">
      <c r="A45" s="233" t="s">
        <v>14</v>
      </c>
      <c r="B45" s="233" t="s">
        <v>56</v>
      </c>
      <c r="C45" s="233" t="s">
        <v>21</v>
      </c>
      <c r="D45" s="233" t="s">
        <v>843</v>
      </c>
      <c r="E45" s="233" t="s">
        <v>14</v>
      </c>
      <c r="F45" s="233" t="s">
        <v>16</v>
      </c>
      <c r="G45" s="242" t="s">
        <v>17</v>
      </c>
      <c r="H45" s="242" t="s">
        <v>746</v>
      </c>
      <c r="I45" s="234" t="s">
        <v>844</v>
      </c>
      <c r="J45" s="243">
        <f>J46</f>
        <v>0</v>
      </c>
      <c r="K45" s="243">
        <f t="shared" ref="K45:O45" si="29">K46</f>
        <v>35000000</v>
      </c>
      <c r="L45" s="243">
        <f>L46</f>
        <v>35000000</v>
      </c>
      <c r="M45" s="243">
        <f>M46</f>
        <v>0</v>
      </c>
      <c r="N45" s="243">
        <f t="shared" si="29"/>
        <v>30800000</v>
      </c>
      <c r="O45" s="243">
        <f t="shared" si="29"/>
        <v>30800000</v>
      </c>
    </row>
    <row r="46" spans="1:15" ht="126" x14ac:dyDescent="0.2">
      <c r="A46" s="238" t="s">
        <v>840</v>
      </c>
      <c r="B46" s="238" t="s">
        <v>56</v>
      </c>
      <c r="C46" s="238" t="s">
        <v>21</v>
      </c>
      <c r="D46" s="238" t="s">
        <v>841</v>
      </c>
      <c r="E46" s="238" t="s">
        <v>842</v>
      </c>
      <c r="F46" s="238" t="s">
        <v>43</v>
      </c>
      <c r="G46" s="244" t="s">
        <v>17</v>
      </c>
      <c r="H46" s="244" t="s">
        <v>746</v>
      </c>
      <c r="I46" s="239" t="s">
        <v>839</v>
      </c>
      <c r="J46" s="240">
        <v>0</v>
      </c>
      <c r="K46" s="133">
        <v>35000000</v>
      </c>
      <c r="L46" s="133">
        <f>SUM(J46:K46)</f>
        <v>35000000</v>
      </c>
      <c r="M46" s="133">
        <v>0</v>
      </c>
      <c r="N46" s="133">
        <v>30800000</v>
      </c>
      <c r="O46" s="133">
        <f>SUM(M46:N46)</f>
        <v>30800000</v>
      </c>
    </row>
    <row r="47" spans="1:15" ht="23.25" customHeight="1" x14ac:dyDescent="0.2">
      <c r="A47" s="275"/>
      <c r="B47" s="275"/>
      <c r="C47" s="275"/>
      <c r="D47" s="275"/>
      <c r="E47" s="275"/>
      <c r="F47" s="275"/>
      <c r="G47" s="277"/>
      <c r="H47" s="277"/>
      <c r="I47" s="131" t="s">
        <v>69</v>
      </c>
      <c r="J47" s="132">
        <f>J11+J41</f>
        <v>110087000</v>
      </c>
      <c r="K47" s="132">
        <f t="shared" ref="K47:O47" si="30">K11+K41</f>
        <v>35000000</v>
      </c>
      <c r="L47" s="132">
        <f t="shared" si="30"/>
        <v>145087000</v>
      </c>
      <c r="M47" s="132">
        <f t="shared" si="30"/>
        <v>116309000</v>
      </c>
      <c r="N47" s="132">
        <f t="shared" si="30"/>
        <v>30800000</v>
      </c>
      <c r="O47" s="132">
        <f t="shared" si="30"/>
        <v>147109000</v>
      </c>
    </row>
    <row r="48" spans="1:15" ht="252.75" customHeight="1" x14ac:dyDescent="0.2">
      <c r="A48" s="9"/>
      <c r="B48" s="9"/>
      <c r="C48" s="9"/>
      <c r="D48" s="9"/>
      <c r="E48" s="9"/>
      <c r="F48" s="9"/>
      <c r="G48" s="10"/>
      <c r="H48" s="10"/>
      <c r="I48" s="7"/>
    </row>
    <row r="49" spans="1:9" ht="15.75" x14ac:dyDescent="0.2">
      <c r="A49" s="11"/>
      <c r="B49" s="11"/>
      <c r="C49" s="11"/>
      <c r="D49" s="11"/>
      <c r="E49" s="11"/>
      <c r="F49" s="11"/>
      <c r="G49" s="12"/>
      <c r="H49" s="12"/>
      <c r="I49" s="13"/>
    </row>
    <row r="50" spans="1:9" ht="25.5" customHeight="1" x14ac:dyDescent="0.2">
      <c r="A50" s="9"/>
      <c r="B50" s="9"/>
      <c r="C50" s="9"/>
      <c r="D50" s="9"/>
      <c r="E50" s="9"/>
      <c r="F50" s="9"/>
      <c r="G50" s="10"/>
      <c r="H50" s="10"/>
      <c r="I50" s="7"/>
    </row>
    <row r="51" spans="1:9" ht="79.5" customHeight="1" x14ac:dyDescent="0.2">
      <c r="A51" s="9"/>
      <c r="B51" s="9"/>
      <c r="C51" s="9"/>
      <c r="D51" s="9"/>
      <c r="E51" s="9"/>
      <c r="F51" s="9"/>
      <c r="G51" s="10"/>
      <c r="H51" s="10"/>
      <c r="I51" s="7"/>
    </row>
    <row r="52" spans="1:9" ht="54.75" customHeight="1" x14ac:dyDescent="0.2">
      <c r="A52" s="9"/>
      <c r="B52" s="9"/>
      <c r="C52" s="9"/>
      <c r="D52" s="9"/>
      <c r="E52" s="9"/>
      <c r="F52" s="9"/>
      <c r="G52" s="10"/>
      <c r="H52" s="10"/>
      <c r="I52" s="7"/>
    </row>
    <row r="53" spans="1:9" ht="95.25" customHeight="1" x14ac:dyDescent="0.2">
      <c r="A53" s="9"/>
      <c r="B53" s="9"/>
      <c r="C53" s="9"/>
      <c r="D53" s="9"/>
      <c r="E53" s="9"/>
      <c r="F53" s="9"/>
      <c r="G53" s="10"/>
      <c r="H53" s="10"/>
      <c r="I53" s="14"/>
    </row>
    <row r="54" spans="1:9" ht="16.5" customHeight="1" x14ac:dyDescent="0.25">
      <c r="A54" s="15"/>
      <c r="B54" s="15"/>
      <c r="C54" s="15"/>
      <c r="D54" s="15"/>
      <c r="E54" s="15"/>
      <c r="F54" s="15"/>
      <c r="G54" s="15"/>
      <c r="H54" s="15"/>
      <c r="I54" s="16"/>
    </row>
  </sheetData>
  <mergeCells count="16">
    <mergeCell ref="M9:M10"/>
    <mergeCell ref="A6:O6"/>
    <mergeCell ref="K9:K10"/>
    <mergeCell ref="L9:L10"/>
    <mergeCell ref="N9:N10"/>
    <mergeCell ref="O9:O10"/>
    <mergeCell ref="I7:K7"/>
    <mergeCell ref="I8:K8"/>
    <mergeCell ref="A9:H9"/>
    <mergeCell ref="I9:I10"/>
    <mergeCell ref="J9:J10"/>
    <mergeCell ref="I5:K5"/>
    <mergeCell ref="A1:O1"/>
    <mergeCell ref="A2:O2"/>
    <mergeCell ref="A3:O3"/>
    <mergeCell ref="A4:O4"/>
  </mergeCells>
  <printOptions gridLinesSet="0"/>
  <pageMargins left="0.70866141732283472" right="0.70866141732283472" top="0.39370078740157483" bottom="0.39370078740157483" header="0.51181102362204722" footer="0.51181102362204722"/>
  <pageSetup paperSize="9" scale="63" fitToHeight="2" orientation="portrait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zoomScale="115" zoomScaleSheetLayoutView="115" workbookViewId="0">
      <selection activeCell="A6" sqref="A6:E6"/>
    </sheetView>
  </sheetViews>
  <sheetFormatPr defaultColWidth="11.85546875" defaultRowHeight="15.75" x14ac:dyDescent="0.25"/>
  <cols>
    <col min="1" max="1" width="6.42578125" style="17" customWidth="1"/>
    <col min="2" max="2" width="59.42578125" style="18" customWidth="1"/>
    <col min="3" max="3" width="15.5703125" style="6" hidden="1" customWidth="1"/>
    <col min="4" max="4" width="20.7109375" style="6" customWidth="1"/>
    <col min="5" max="5" width="18.5703125" style="6" hidden="1" customWidth="1"/>
    <col min="6" max="6" width="43.42578125" style="6" customWidth="1"/>
    <col min="7" max="16384" width="11.85546875" style="6"/>
  </cols>
  <sheetData>
    <row r="1" spans="1:5" s="18" customFormat="1" x14ac:dyDescent="0.25">
      <c r="A1" s="604" t="s">
        <v>74</v>
      </c>
      <c r="B1" s="604"/>
      <c r="C1" s="604"/>
      <c r="D1" s="604"/>
      <c r="E1" s="604"/>
    </row>
    <row r="2" spans="1:5" s="18" customFormat="1" x14ac:dyDescent="0.25">
      <c r="A2" s="589" t="s">
        <v>930</v>
      </c>
      <c r="B2" s="589"/>
      <c r="C2" s="589"/>
      <c r="D2" s="589"/>
      <c r="E2" s="579"/>
    </row>
    <row r="3" spans="1:5" s="18" customFormat="1" x14ac:dyDescent="0.25">
      <c r="A3" s="589" t="s">
        <v>901</v>
      </c>
      <c r="B3" s="589"/>
      <c r="C3" s="589"/>
      <c r="D3" s="589"/>
      <c r="E3" s="579"/>
    </row>
    <row r="4" spans="1:5" s="18" customFormat="1" ht="15" customHeight="1" x14ac:dyDescent="0.25">
      <c r="A4" s="605" t="s">
        <v>936</v>
      </c>
      <c r="B4" s="605"/>
      <c r="C4" s="605"/>
      <c r="D4" s="605"/>
      <c r="E4" s="605"/>
    </row>
    <row r="5" spans="1:5" s="18" customFormat="1" hidden="1" x14ac:dyDescent="0.25">
      <c r="A5" s="524"/>
      <c r="B5" s="525"/>
      <c r="C5" s="526"/>
      <c r="D5" s="526"/>
      <c r="E5" s="526"/>
    </row>
    <row r="6" spans="1:5" s="18" customFormat="1" ht="49.5" customHeight="1" x14ac:dyDescent="0.25">
      <c r="A6" s="606" t="s">
        <v>903</v>
      </c>
      <c r="B6" s="606"/>
      <c r="C6" s="606"/>
      <c r="D6" s="606"/>
      <c r="E6" s="606"/>
    </row>
    <row r="7" spans="1:5" s="18" customFormat="1" ht="9" customHeight="1" thickBot="1" x14ac:dyDescent="0.3">
      <c r="A7" s="527"/>
      <c r="B7" s="526"/>
      <c r="C7" s="526"/>
      <c r="D7" s="526"/>
      <c r="E7" s="526"/>
    </row>
    <row r="8" spans="1:5" s="19" customFormat="1" ht="57.75" thickBot="1" x14ac:dyDescent="0.3">
      <c r="A8" s="528" t="s">
        <v>75</v>
      </c>
      <c r="B8" s="529" t="s">
        <v>76</v>
      </c>
      <c r="C8" s="529" t="s">
        <v>77</v>
      </c>
      <c r="D8" s="529" t="s">
        <v>929</v>
      </c>
      <c r="E8" s="529" t="s">
        <v>77</v>
      </c>
    </row>
    <row r="9" spans="1:5" s="21" customFormat="1" ht="16.5" thickBot="1" x14ac:dyDescent="0.3">
      <c r="A9" s="530">
        <v>100</v>
      </c>
      <c r="B9" s="531" t="s">
        <v>78</v>
      </c>
      <c r="C9" s="532">
        <f>SUM(C10:C22)</f>
        <v>24065682</v>
      </c>
      <c r="D9" s="532">
        <f t="shared" ref="D9:E9" si="0">SUM(D10:D22)</f>
        <v>11850474.02</v>
      </c>
      <c r="E9" s="532">
        <f t="shared" si="0"/>
        <v>12215207.98</v>
      </c>
    </row>
    <row r="10" spans="1:5" s="21" customFormat="1" ht="16.5" hidden="1" thickBot="1" x14ac:dyDescent="0.3">
      <c r="A10" s="533">
        <v>101</v>
      </c>
      <c r="B10" s="534" t="s">
        <v>79</v>
      </c>
      <c r="C10" s="535">
        <f>SUMIF(Пр12!C10:C192,101,Пр12!G10:G192)</f>
        <v>0</v>
      </c>
      <c r="D10" s="535">
        <f>SUMIF(Пр12!D10:D192,101,Пр12!H10:H192)</f>
        <v>0</v>
      </c>
      <c r="E10" s="535">
        <f>SUMIF(Пр12!E10:E192,101,Пр12!I10:I192)</f>
        <v>0</v>
      </c>
    </row>
    <row r="11" spans="1:5" s="21" customFormat="1" ht="30.75" hidden="1" thickBot="1" x14ac:dyDescent="0.3">
      <c r="A11" s="533">
        <v>102</v>
      </c>
      <c r="B11" s="536" t="s">
        <v>80</v>
      </c>
      <c r="C11" s="535">
        <f>SUMIF(Пр12!C7:C210,102,Пр12!G7:G210)</f>
        <v>0</v>
      </c>
      <c r="D11" s="535">
        <f>SUMIF(Пр12!D7:D210,102,Пр12!H7:H210)</f>
        <v>0</v>
      </c>
      <c r="E11" s="535">
        <f>SUMIF(Пр12!$C7:$C210,102,Пр12!I7:I210)</f>
        <v>0</v>
      </c>
    </row>
    <row r="12" spans="1:5" s="21" customFormat="1" ht="45.75" thickBot="1" x14ac:dyDescent="0.3">
      <c r="A12" s="533">
        <v>103</v>
      </c>
      <c r="B12" s="536" t="s">
        <v>81</v>
      </c>
      <c r="C12" s="535">
        <f>SUMIF(Пр12!C8:C211,103,Пр12!G8:G211)</f>
        <v>985756</v>
      </c>
      <c r="D12" s="535">
        <f>SUMIF(Пр12!$C7:$C210,103,Пр12!H7:H210)</f>
        <v>581063.44999999995</v>
      </c>
      <c r="E12" s="535">
        <f>SUMIF(Пр12!$C7:$C210,103,Пр12!I7:I210)</f>
        <v>404692.55000000005</v>
      </c>
    </row>
    <row r="13" spans="1:5" ht="45.75" hidden="1" thickBot="1" x14ac:dyDescent="0.3">
      <c r="A13" s="533">
        <v>104</v>
      </c>
      <c r="B13" s="536" t="s">
        <v>82</v>
      </c>
      <c r="C13" s="535">
        <f>SUMIF(Пр12!$C9:$C212,104,Пр12!G9:G212)</f>
        <v>0</v>
      </c>
      <c r="D13" s="535">
        <f>SUMIF(Пр12!$C9:$C212,104,Пр12!H9:H212)</f>
        <v>0</v>
      </c>
      <c r="E13" s="535">
        <f>SUMIF(Пр12!$C8:$C211,104,Пр12!I8:I211)</f>
        <v>0</v>
      </c>
    </row>
    <row r="14" spans="1:5" ht="16.5" hidden="1" thickBot="1" x14ac:dyDescent="0.3">
      <c r="A14" s="533">
        <v>105</v>
      </c>
      <c r="B14" s="536" t="s">
        <v>83</v>
      </c>
      <c r="C14" s="535">
        <f>SUMIF(Пр12!C7:C192,105,Пр12!G7:G192)</f>
        <v>0</v>
      </c>
      <c r="D14" s="535">
        <f>SUMIF(Пр12!C10:C213,105,Пр12!H10:H213)</f>
        <v>0</v>
      </c>
      <c r="E14" s="535">
        <f>SUMIF(Пр12!$C9:$C212,105,Пр12!I9:I212)</f>
        <v>0</v>
      </c>
    </row>
    <row r="15" spans="1:5" ht="32.25" customHeight="1" thickBot="1" x14ac:dyDescent="0.3">
      <c r="A15" s="533">
        <v>106</v>
      </c>
      <c r="B15" s="536" t="s">
        <v>84</v>
      </c>
      <c r="C15" s="535">
        <f>SUMIF(Пр12!$C10:$C213,106,Пр12!G10:G213)</f>
        <v>53095</v>
      </c>
      <c r="D15" s="535">
        <f>SUMIF(Пр12!$C10:$C213,106,Пр12!H10:H213)</f>
        <v>26547.5</v>
      </c>
      <c r="E15" s="535">
        <f>SUMIF(Пр12!$C10:$C213,106,Пр12!I10:I213)</f>
        <v>26547.5</v>
      </c>
    </row>
    <row r="16" spans="1:5" ht="16.5" hidden="1" thickBot="1" x14ac:dyDescent="0.3">
      <c r="A16" s="533">
        <v>107</v>
      </c>
      <c r="B16" s="536" t="s">
        <v>85</v>
      </c>
      <c r="C16" s="535">
        <f>SUMIF(Пр12!C10:C192,107,Пр12!G10:G192)</f>
        <v>0</v>
      </c>
      <c r="D16" s="535">
        <f>SUMIF(Пр12!D10:D192,107,Пр12!H10:H192)</f>
        <v>0</v>
      </c>
      <c r="E16" s="535">
        <f>SUMIF(Пр12!E10:E192,107,Пр12!I10:I192)</f>
        <v>0</v>
      </c>
    </row>
    <row r="17" spans="1:5" s="21" customFormat="1" ht="16.5" hidden="1" thickBot="1" x14ac:dyDescent="0.3">
      <c r="A17" s="533">
        <v>108</v>
      </c>
      <c r="B17" s="536" t="s">
        <v>86</v>
      </c>
      <c r="C17" s="535">
        <f>SUMIF(Пр12!C10:C192,108,Пр12!G10:G192)</f>
        <v>0</v>
      </c>
      <c r="D17" s="535">
        <f>SUMIF(Пр12!D10:D192,108,Пр12!H10:H192)</f>
        <v>0</v>
      </c>
      <c r="E17" s="535">
        <f>SUMIF(Пр12!E10:E192,108,Пр12!I10:I192)</f>
        <v>0</v>
      </c>
    </row>
    <row r="18" spans="1:5" ht="16.5" hidden="1" thickBot="1" x14ac:dyDescent="0.3">
      <c r="A18" s="533">
        <v>109</v>
      </c>
      <c r="B18" s="536" t="s">
        <v>87</v>
      </c>
      <c r="C18" s="535">
        <f>SUMIF(Пр12!C10:C192,109,Пр12!G10:G192)</f>
        <v>0</v>
      </c>
      <c r="D18" s="535">
        <f>SUMIF(Пр12!D10:D192,109,Пр12!H10:H192)</f>
        <v>0</v>
      </c>
      <c r="E18" s="535">
        <f>SUMIF(Пр12!E10:E192,109,Пр12!I10:I192)</f>
        <v>0</v>
      </c>
    </row>
    <row r="19" spans="1:5" ht="16.5" hidden="1" thickBot="1" x14ac:dyDescent="0.3">
      <c r="A19" s="533">
        <v>110</v>
      </c>
      <c r="B19" s="536" t="s">
        <v>88</v>
      </c>
      <c r="C19" s="535">
        <f>SUMIF(Пр12!C10:C192,110,Пр12!G10:G192)</f>
        <v>0</v>
      </c>
      <c r="D19" s="535">
        <f>SUMIF(Пр12!D10:D192,110,Пр12!H10:H192)</f>
        <v>0</v>
      </c>
      <c r="E19" s="535">
        <f>SUMIF(Пр12!E10:E192,110,Пр12!I10:I192)</f>
        <v>0</v>
      </c>
    </row>
    <row r="20" spans="1:5" s="21" customFormat="1" ht="16.5" hidden="1" thickBot="1" x14ac:dyDescent="0.3">
      <c r="A20" s="533">
        <v>111</v>
      </c>
      <c r="B20" s="536" t="s">
        <v>89</v>
      </c>
      <c r="C20" s="535">
        <f>SUMIF(Пр12!$C10:$C192,111,Пр12!G10:G192)</f>
        <v>0</v>
      </c>
      <c r="D20" s="535">
        <f>SUMIF(Пр12!$C10:$C192,111,Пр12!H10:H192)</f>
        <v>0</v>
      </c>
      <c r="E20" s="535">
        <f>SUMIF(Пр12!$C10:$C192,111,Пр12!I10:I192)</f>
        <v>0</v>
      </c>
    </row>
    <row r="21" spans="1:5" ht="30.75" hidden="1" thickBot="1" x14ac:dyDescent="0.3">
      <c r="A21" s="533">
        <v>112</v>
      </c>
      <c r="B21" s="536" t="s">
        <v>90</v>
      </c>
      <c r="C21" s="535">
        <f>SUMIF(Пр12!C10:C192,112,Пр12!G10:G192)</f>
        <v>0</v>
      </c>
      <c r="D21" s="535">
        <f>SUMIF(Пр12!D10:D192,112,Пр12!H10:H192)</f>
        <v>0</v>
      </c>
      <c r="E21" s="535">
        <f>SUMIF(Пр12!E10:E192,112,Пр12!I10:I192)</f>
        <v>0</v>
      </c>
    </row>
    <row r="22" spans="1:5" ht="16.5" thickBot="1" x14ac:dyDescent="0.3">
      <c r="A22" s="533">
        <v>113</v>
      </c>
      <c r="B22" s="536" t="s">
        <v>91</v>
      </c>
      <c r="C22" s="535">
        <f>SUMIF(Пр12!$C10:$C210,113,Пр12!G10:G210)</f>
        <v>23026831</v>
      </c>
      <c r="D22" s="535">
        <f>SUMIF(Пр12!$C10:$C210,113,Пр12!H10:H210)</f>
        <v>11242863.07</v>
      </c>
      <c r="E22" s="535">
        <f>SUMIF(Пр12!$C10:$C210,113,Пр12!I10:I210)</f>
        <v>11783967.93</v>
      </c>
    </row>
    <row r="23" spans="1:5" ht="16.5" hidden="1" thickBot="1" x14ac:dyDescent="0.3">
      <c r="A23" s="537">
        <v>200</v>
      </c>
      <c r="B23" s="538" t="s">
        <v>92</v>
      </c>
      <c r="C23" s="539">
        <f>SUM(C24:C32)</f>
        <v>0</v>
      </c>
      <c r="D23" s="539">
        <f t="shared" ref="D23:E23" si="1">SUM(D24:D32)</f>
        <v>0</v>
      </c>
      <c r="E23" s="539">
        <f t="shared" si="1"/>
        <v>0</v>
      </c>
    </row>
    <row r="24" spans="1:5" ht="16.5" hidden="1" thickBot="1" x14ac:dyDescent="0.3">
      <c r="A24" s="533">
        <v>201</v>
      </c>
      <c r="B24" s="536" t="s">
        <v>93</v>
      </c>
      <c r="C24" s="535">
        <f>SUMIF(Пр12!C10:C192,201,Пр12!G10:G192)</f>
        <v>0</v>
      </c>
      <c r="D24" s="535">
        <f>SUMIF(Пр12!D10:D192,201,Пр12!H10:H192)</f>
        <v>0</v>
      </c>
      <c r="E24" s="535">
        <f>SUMIF(Пр12!E10:E192,201,Пр12!I10:I192)</f>
        <v>0</v>
      </c>
    </row>
    <row r="25" spans="1:5" s="21" customFormat="1" ht="30.75" hidden="1" thickBot="1" x14ac:dyDescent="0.3">
      <c r="A25" s="533">
        <v>202</v>
      </c>
      <c r="B25" s="536" t="s">
        <v>94</v>
      </c>
      <c r="C25" s="535">
        <f>SUMIF(Пр12!C10:C192,202,Пр12!G10:G192)</f>
        <v>0</v>
      </c>
      <c r="D25" s="535">
        <f>SUMIF(Пр12!D10:D192,202,Пр12!H10:H192)</f>
        <v>0</v>
      </c>
      <c r="E25" s="535">
        <f>SUMIF(Пр12!E10:E192,202,Пр12!I10:I192)</f>
        <v>0</v>
      </c>
    </row>
    <row r="26" spans="1:5" s="21" customFormat="1" ht="16.5" hidden="1" thickBot="1" x14ac:dyDescent="0.3">
      <c r="A26" s="533">
        <v>203</v>
      </c>
      <c r="B26" s="536" t="s">
        <v>95</v>
      </c>
      <c r="C26" s="535">
        <f>SUMIF(Пр12!$C10:$C192,203,Пр12!G10:G192)</f>
        <v>0</v>
      </c>
      <c r="D26" s="535">
        <f>SUMIF(Пр12!$C10:$C192,203,Пр12!H10:H192)</f>
        <v>0</v>
      </c>
      <c r="E26" s="535">
        <f>SUMIF(Пр12!$C10:$C192,203,Пр12!I10:I192)</f>
        <v>0</v>
      </c>
    </row>
    <row r="27" spans="1:5" ht="16.5" hidden="1" thickBot="1" x14ac:dyDescent="0.3">
      <c r="A27" s="533">
        <v>204</v>
      </c>
      <c r="B27" s="536" t="s">
        <v>96</v>
      </c>
      <c r="C27" s="535">
        <f>SUMIF(Пр12!C10:C192,204,Пр12!G10:G192)</f>
        <v>0</v>
      </c>
      <c r="D27" s="535">
        <f>SUMIF(Пр12!D10:D192,204,Пр12!H10:H192)</f>
        <v>0</v>
      </c>
      <c r="E27" s="535">
        <f>SUMIF(Пр12!E10:E192,204,Пр12!I10:I192)</f>
        <v>0</v>
      </c>
    </row>
    <row r="28" spans="1:5" ht="30.75" hidden="1" thickBot="1" x14ac:dyDescent="0.3">
      <c r="A28" s="533">
        <v>205</v>
      </c>
      <c r="B28" s="536" t="s">
        <v>97</v>
      </c>
      <c r="C28" s="535">
        <f>SUMIF(Пр12!C10:C192,205,Пр12!G10:G192)</f>
        <v>0</v>
      </c>
      <c r="D28" s="535">
        <f>SUMIF(Пр12!D10:D192,205,Пр12!H10:H192)</f>
        <v>0</v>
      </c>
      <c r="E28" s="535">
        <f>SUMIF(Пр12!E10:E192,205,Пр12!I10:I192)</f>
        <v>0</v>
      </c>
    </row>
    <row r="29" spans="1:5" ht="16.5" hidden="1" thickBot="1" x14ac:dyDescent="0.3">
      <c r="A29" s="533">
        <v>206</v>
      </c>
      <c r="B29" s="536" t="s">
        <v>98</v>
      </c>
      <c r="C29" s="535">
        <f>SUMIF(Пр12!C10:C192,206,Пр12!G10:G192)</f>
        <v>0</v>
      </c>
      <c r="D29" s="535">
        <f>SUMIF(Пр12!D10:D192,206,Пр12!H10:H192)</f>
        <v>0</v>
      </c>
      <c r="E29" s="535">
        <f>SUMIF(Пр12!E10:E192,206,Пр12!I10:I192)</f>
        <v>0</v>
      </c>
    </row>
    <row r="30" spans="1:5" s="21" customFormat="1" ht="30.75" hidden="1" thickBot="1" x14ac:dyDescent="0.3">
      <c r="A30" s="533">
        <v>207</v>
      </c>
      <c r="B30" s="536" t="s">
        <v>99</v>
      </c>
      <c r="C30" s="535">
        <f>SUMIF(Пр12!C10:C192,207,Пр12!G10:G192)</f>
        <v>0</v>
      </c>
      <c r="D30" s="535">
        <f>SUMIF(Пр12!D10:D192,207,Пр12!H10:H192)</f>
        <v>0</v>
      </c>
      <c r="E30" s="535">
        <f>SUMIF(Пр12!E10:E192,207,Пр12!I10:I192)</f>
        <v>0</v>
      </c>
    </row>
    <row r="31" spans="1:5" ht="30.75" hidden="1" thickBot="1" x14ac:dyDescent="0.3">
      <c r="A31" s="533">
        <v>208</v>
      </c>
      <c r="B31" s="536" t="s">
        <v>100</v>
      </c>
      <c r="C31" s="535">
        <f>SUMIF(Пр12!C10:C192,208,Пр12!G10:G192)</f>
        <v>0</v>
      </c>
      <c r="D31" s="535">
        <f>SUMIF(Пр12!D10:D192,208,Пр12!H10:H192)</f>
        <v>0</v>
      </c>
      <c r="E31" s="535">
        <f>SUMIF(Пр12!E10:E192,208,Пр12!I10:I192)</f>
        <v>0</v>
      </c>
    </row>
    <row r="32" spans="1:5" ht="16.5" hidden="1" thickBot="1" x14ac:dyDescent="0.3">
      <c r="A32" s="533">
        <v>209</v>
      </c>
      <c r="B32" s="536" t="s">
        <v>101</v>
      </c>
      <c r="C32" s="535">
        <f>SUMIF(Пр12!C10:C192,209,Пр12!G10:G192)</f>
        <v>0</v>
      </c>
      <c r="D32" s="535">
        <f>SUMIF(Пр12!D10:D192,209,Пр12!H10:H192)</f>
        <v>0</v>
      </c>
      <c r="E32" s="535">
        <f>SUMIF(Пр12!E10:E192,209,Пр12!I10:I192)</f>
        <v>0</v>
      </c>
    </row>
    <row r="33" spans="1:5" ht="29.25" thickBot="1" x14ac:dyDescent="0.3">
      <c r="A33" s="530">
        <v>300</v>
      </c>
      <c r="B33" s="540" t="s">
        <v>102</v>
      </c>
      <c r="C33" s="532">
        <f>SUM(C34:C45)</f>
        <v>2701980</v>
      </c>
      <c r="D33" s="532">
        <f t="shared" ref="D33:E33" si="2">SUM(D34:D45)</f>
        <v>1101443.81</v>
      </c>
      <c r="E33" s="532">
        <f t="shared" si="2"/>
        <v>1600536.19</v>
      </c>
    </row>
    <row r="34" spans="1:5" ht="16.5" hidden="1" thickBot="1" x14ac:dyDescent="0.3">
      <c r="A34" s="533">
        <v>303</v>
      </c>
      <c r="B34" s="536" t="s">
        <v>103</v>
      </c>
      <c r="C34" s="535">
        <f>SUMIF(Пр12!C10:C192,303,Пр12!G10:G192)</f>
        <v>0</v>
      </c>
      <c r="D34" s="535">
        <f>SUMIF(Пр12!D10:D192,303,Пр12!H10:H192)</f>
        <v>0</v>
      </c>
      <c r="E34" s="535">
        <f>SUMIF(Пр12!E10:E192,303,Пр12!I10:I192)</f>
        <v>0</v>
      </c>
    </row>
    <row r="35" spans="1:5" s="21" customFormat="1" ht="16.5" hidden="1" thickBot="1" x14ac:dyDescent="0.3">
      <c r="A35" s="533">
        <v>304</v>
      </c>
      <c r="B35" s="536" t="s">
        <v>104</v>
      </c>
      <c r="C35" s="535">
        <f>SUMIF(Пр12!C10:C192,304,Пр12!G10:G192)</f>
        <v>0</v>
      </c>
      <c r="D35" s="535">
        <f>SUMIF(Пр12!D10:D192,304,Пр12!H10:H192)</f>
        <v>0</v>
      </c>
      <c r="E35" s="535">
        <f>SUMIF(Пр12!E10:E192,304,Пр12!I10:I192)</f>
        <v>0</v>
      </c>
    </row>
    <row r="36" spans="1:5" ht="16.5" hidden="1" thickBot="1" x14ac:dyDescent="0.3">
      <c r="A36" s="533">
        <v>305</v>
      </c>
      <c r="B36" s="536" t="s">
        <v>105</v>
      </c>
      <c r="C36" s="535">
        <f>SUMIF(Пр12!C10:C192,305,Пр12!G10:G192)</f>
        <v>0</v>
      </c>
      <c r="D36" s="535">
        <f>SUMIF(Пр12!D10:D192,305,Пр12!H10:H192)</f>
        <v>0</v>
      </c>
      <c r="E36" s="535">
        <f>SUMIF(Пр12!E10:E192,305,Пр12!I10:I192)</f>
        <v>0</v>
      </c>
    </row>
    <row r="37" spans="1:5" ht="16.5" hidden="1" thickBot="1" x14ac:dyDescent="0.3">
      <c r="A37" s="533">
        <v>306</v>
      </c>
      <c r="B37" s="536" t="s">
        <v>106</v>
      </c>
      <c r="C37" s="535">
        <f>SUMIF(Пр12!C10:C192,306,Пр12!G10:G192)</f>
        <v>0</v>
      </c>
      <c r="D37" s="535">
        <f>SUMIF(Пр12!D10:D192,306,Пр12!H10:H192)</f>
        <v>0</v>
      </c>
      <c r="E37" s="535">
        <f>SUMIF(Пр12!E10:E192,306,Пр12!I10:I192)</f>
        <v>0</v>
      </c>
    </row>
    <row r="38" spans="1:5" ht="16.5" hidden="1" thickBot="1" x14ac:dyDescent="0.3">
      <c r="A38" s="533">
        <v>307</v>
      </c>
      <c r="B38" s="536" t="s">
        <v>107</v>
      </c>
      <c r="C38" s="535">
        <f>SUMIF(Пр12!C10:C192,307,Пр12!G10:G192)</f>
        <v>0</v>
      </c>
      <c r="D38" s="535">
        <f>SUMIF(Пр12!D10:D192,307,Пр12!H10:H192)</f>
        <v>0</v>
      </c>
      <c r="E38" s="535">
        <f>SUMIF(Пр12!E10:E192,307,Пр12!I10:I192)</f>
        <v>0</v>
      </c>
    </row>
    <row r="39" spans="1:5" s="21" customFormat="1" ht="30.75" hidden="1" thickBot="1" x14ac:dyDescent="0.3">
      <c r="A39" s="533">
        <v>308</v>
      </c>
      <c r="B39" s="536" t="s">
        <v>108</v>
      </c>
      <c r="C39" s="535">
        <f>SUMIF(Пр12!C10:C192,308,Пр12!G10:G192)</f>
        <v>0</v>
      </c>
      <c r="D39" s="535">
        <f>SUMIF(Пр12!D10:D192,308,Пр12!H10:H192)</f>
        <v>0</v>
      </c>
      <c r="E39" s="535">
        <f>SUMIF(Пр12!E10:E192,308,Пр12!I10:I192)</f>
        <v>0</v>
      </c>
    </row>
    <row r="40" spans="1:5" ht="46.5" customHeight="1" thickBot="1" x14ac:dyDescent="0.3">
      <c r="A40" s="533">
        <v>309</v>
      </c>
      <c r="B40" s="536" t="s">
        <v>109</v>
      </c>
      <c r="C40" s="535">
        <f>SUMIF(Пр12!C10:C192,309,Пр12!G10:G192)</f>
        <v>2551980</v>
      </c>
      <c r="D40" s="535">
        <f>SUMIF(Пр12!$C10:$C192,309,Пр12!H10:H192)</f>
        <v>1072143.81</v>
      </c>
      <c r="E40" s="535">
        <f>SUMIF(Пр12!$C10:$C192,309,Пр12!I10:I192)</f>
        <v>1479836.19</v>
      </c>
    </row>
    <row r="41" spans="1:5" ht="16.5" hidden="1" thickBot="1" x14ac:dyDescent="0.3">
      <c r="A41" s="533">
        <v>310</v>
      </c>
      <c r="B41" s="536" t="s">
        <v>110</v>
      </c>
      <c r="C41" s="535">
        <f>SUMIF(Пр12!C10:C192,310,Пр12!G10:G192)</f>
        <v>0</v>
      </c>
      <c r="D41" s="535"/>
      <c r="E41" s="535">
        <f>SUMIF(Пр12!$C11:$C193,310,Пр12!I11:I193)</f>
        <v>0</v>
      </c>
    </row>
    <row r="42" spans="1:5" ht="16.5" hidden="1" thickBot="1" x14ac:dyDescent="0.3">
      <c r="A42" s="533">
        <v>311</v>
      </c>
      <c r="B42" s="536" t="s">
        <v>111</v>
      </c>
      <c r="C42" s="535">
        <f>SUMIF(Пр12!C10:C192,311,Пр12!G10:G192)</f>
        <v>0</v>
      </c>
      <c r="D42" s="535"/>
      <c r="E42" s="535">
        <f>SUMIF(Пр12!$C12:$C194,311,Пр12!I12:I194)</f>
        <v>0</v>
      </c>
    </row>
    <row r="43" spans="1:5" ht="30.75" hidden="1" thickBot="1" x14ac:dyDescent="0.3">
      <c r="A43" s="533">
        <v>312</v>
      </c>
      <c r="B43" s="536" t="s">
        <v>112</v>
      </c>
      <c r="C43" s="535">
        <f>SUMIF(Пр12!C10:C192,312,Пр12!G10:G192)</f>
        <v>0</v>
      </c>
      <c r="D43" s="535"/>
      <c r="E43" s="535">
        <f>SUMIF(Пр12!$C13:$C195,312,Пр12!I13:I195)</f>
        <v>0</v>
      </c>
    </row>
    <row r="44" spans="1:5" ht="30.75" hidden="1" thickBot="1" x14ac:dyDescent="0.3">
      <c r="A44" s="533">
        <v>313</v>
      </c>
      <c r="B44" s="536" t="s">
        <v>113</v>
      </c>
      <c r="C44" s="535">
        <f>SUMIF(Пр12!C10:C192,313,Пр12!G10:G192)</f>
        <v>0</v>
      </c>
      <c r="D44" s="535"/>
      <c r="E44" s="535">
        <f>SUMIF(Пр12!$C14:$C196,313,Пр12!I14:I196)</f>
        <v>0</v>
      </c>
    </row>
    <row r="45" spans="1:5" ht="30.75" thickBot="1" x14ac:dyDescent="0.3">
      <c r="A45" s="533">
        <v>314</v>
      </c>
      <c r="B45" s="536" t="s">
        <v>114</v>
      </c>
      <c r="C45" s="535">
        <f>SUMIF(Пр12!C10:C192,314,Пр12!G10:G192)</f>
        <v>150000</v>
      </c>
      <c r="D45" s="535">
        <f>SUMIF(Пр12!$C15:$C197,314,Пр12!H15:H197)</f>
        <v>29300</v>
      </c>
      <c r="E45" s="535">
        <f>SUMIF(Пр12!$C15:$C197,314,Пр12!I15:I197)</f>
        <v>120700</v>
      </c>
    </row>
    <row r="46" spans="1:5" ht="16.5" thickBot="1" x14ac:dyDescent="0.3">
      <c r="A46" s="530">
        <v>400</v>
      </c>
      <c r="B46" s="540" t="s">
        <v>115</v>
      </c>
      <c r="C46" s="532">
        <f>C48+C51+C54+C55+C58+C52</f>
        <v>107715060</v>
      </c>
      <c r="D46" s="532">
        <f t="shared" ref="D46:E46" si="3">D48+D51+D54+D55+D58+D52</f>
        <v>18881065.720000003</v>
      </c>
      <c r="E46" s="532">
        <f t="shared" si="3"/>
        <v>88833994.280000001</v>
      </c>
    </row>
    <row r="47" spans="1:5" ht="16.5" hidden="1" thickBot="1" x14ac:dyDescent="0.3">
      <c r="A47" s="533">
        <v>401</v>
      </c>
      <c r="B47" s="541" t="s">
        <v>116</v>
      </c>
      <c r="C47" s="535">
        <f>SUMIF(Пр12!C10:C192,401,Пр12!G10:G192)</f>
        <v>0</v>
      </c>
      <c r="D47" s="535">
        <f>SUMIF(Пр12!D10:D192,401,Пр12!H10:H192)</f>
        <v>0</v>
      </c>
      <c r="E47" s="535">
        <f>SUMIF(Пр12!E10:E192,401,Пр12!I10:I192)</f>
        <v>0</v>
      </c>
    </row>
    <row r="48" spans="1:5" ht="16.5" hidden="1" thickBot="1" x14ac:dyDescent="0.3">
      <c r="A48" s="533">
        <v>402</v>
      </c>
      <c r="B48" s="534" t="s">
        <v>117</v>
      </c>
      <c r="C48" s="535">
        <f>SUMIF(Пр12!$C10:$C192,402,Пр12!G10:G192)</f>
        <v>0</v>
      </c>
      <c r="D48" s="535">
        <f>SUMIF(Пр12!$C10:$C192,402,Пр12!H10:H192)</f>
        <v>0</v>
      </c>
      <c r="E48" s="535">
        <f>SUMIF(Пр12!$C10:$C192,402,Пр12!I10:I192)</f>
        <v>0</v>
      </c>
    </row>
    <row r="49" spans="1:5" ht="16.5" hidden="1" thickBot="1" x14ac:dyDescent="0.3">
      <c r="A49" s="533">
        <v>403</v>
      </c>
      <c r="B49" s="536" t="s">
        <v>118</v>
      </c>
      <c r="C49" s="535">
        <f>SUMIF(Пр12!C10:C192,403,Пр12!G10:G192)</f>
        <v>0</v>
      </c>
      <c r="D49" s="535">
        <f>SUMIF(Пр12!D10:D192,403,Пр12!H10:H192)</f>
        <v>0</v>
      </c>
      <c r="E49" s="535">
        <f>SUMIF(Пр12!E10:E192,403,Пр12!I10:I192)</f>
        <v>0</v>
      </c>
    </row>
    <row r="50" spans="1:5" ht="16.5" hidden="1" thickBot="1" x14ac:dyDescent="0.3">
      <c r="A50" s="533">
        <v>404</v>
      </c>
      <c r="B50" s="536" t="s">
        <v>119</v>
      </c>
      <c r="C50" s="535">
        <f>SUMIF(Пр12!C10:C192,404,Пр12!G10:G192)</f>
        <v>0</v>
      </c>
      <c r="D50" s="535">
        <f>SUMIF(Пр12!D10:D192,404,Пр12!H10:H192)</f>
        <v>0</v>
      </c>
      <c r="E50" s="535">
        <f>SUMIF(Пр12!E10:E192,404,Пр12!I10:I192)</f>
        <v>0</v>
      </c>
    </row>
    <row r="51" spans="1:5" ht="16.5" hidden="1" thickBot="1" x14ac:dyDescent="0.3">
      <c r="A51" s="533">
        <v>405</v>
      </c>
      <c r="B51" s="536" t="s">
        <v>120</v>
      </c>
      <c r="C51" s="535">
        <f>SUMIF(Пр12!$C10:$C192,405,Пр12!G10:G192)</f>
        <v>0</v>
      </c>
      <c r="D51" s="535">
        <f>SUMIF(Пр12!$C10:$C192,405,Пр12!H10:H192)</f>
        <v>0</v>
      </c>
      <c r="E51" s="535">
        <f>SUMIF(Пр12!$C10:$C192,405,Пр12!I10:I192)</f>
        <v>0</v>
      </c>
    </row>
    <row r="52" spans="1:5" ht="16.5" hidden="1" thickBot="1" x14ac:dyDescent="0.3">
      <c r="A52" s="533">
        <v>406</v>
      </c>
      <c r="B52" s="536" t="s">
        <v>121</v>
      </c>
      <c r="C52" s="535">
        <f>SUMIF(Пр12!$C10:$C192,406,Пр12!G10:G192)</f>
        <v>0</v>
      </c>
      <c r="D52" s="535">
        <f>SUMIF(Пр12!$C10:$C192,406,Пр12!H10:H192)</f>
        <v>0</v>
      </c>
      <c r="E52" s="535">
        <f>SUMIF(Пр12!$C10:$C192,406,Пр12!I10:I192)</f>
        <v>0</v>
      </c>
    </row>
    <row r="53" spans="1:5" ht="16.5" hidden="1" thickBot="1" x14ac:dyDescent="0.3">
      <c r="A53" s="533">
        <v>407</v>
      </c>
      <c r="B53" s="536" t="s">
        <v>122</v>
      </c>
      <c r="C53" s="535">
        <f>SUMIF(Пр12!C10:C192,407,Пр12!G10:G192)</f>
        <v>0</v>
      </c>
      <c r="D53" s="535">
        <f>SUMIF(Пр12!D10:D192,407,Пр12!H10:H192)</f>
        <v>0</v>
      </c>
      <c r="E53" s="535">
        <f>SUMIF(Пр12!E10:E192,407,Пр12!I10:I192)</f>
        <v>0</v>
      </c>
    </row>
    <row r="54" spans="1:5" ht="16.5" thickBot="1" x14ac:dyDescent="0.3">
      <c r="A54" s="533">
        <v>408</v>
      </c>
      <c r="B54" s="536" t="s">
        <v>123</v>
      </c>
      <c r="C54" s="535">
        <f>SUMIF(Пр12!$C10:$C192,408,Пр12!G10:G192)</f>
        <v>6565200</v>
      </c>
      <c r="D54" s="535">
        <f>SUMIF(Пр12!$C10:$C192,408,Пр12!H10:H192)</f>
        <v>960764.8</v>
      </c>
      <c r="E54" s="535">
        <f>SUMIF(Пр12!$C10:$C192,408,Пр12!I10:I192)</f>
        <v>5604435.2000000002</v>
      </c>
    </row>
    <row r="55" spans="1:5" ht="16.5" thickBot="1" x14ac:dyDescent="0.3">
      <c r="A55" s="533">
        <v>409</v>
      </c>
      <c r="B55" s="536" t="s">
        <v>124</v>
      </c>
      <c r="C55" s="535">
        <f>SUMIF(Пр12!$C10:$C192,409,Пр12!G10:G192)</f>
        <v>98899860</v>
      </c>
      <c r="D55" s="535">
        <f>SUMIF(Пр12!$C10:$C192,409,Пр12!H10:H192)</f>
        <v>17897300.920000002</v>
      </c>
      <c r="E55" s="535">
        <f>SUMIF(Пр12!$C10:$C192,409,Пр12!I10:I192)</f>
        <v>81002559.079999998</v>
      </c>
    </row>
    <row r="56" spans="1:5" ht="16.5" hidden="1" thickBot="1" x14ac:dyDescent="0.3">
      <c r="A56" s="533">
        <v>410</v>
      </c>
      <c r="B56" s="536" t="s">
        <v>125</v>
      </c>
      <c r="C56" s="535">
        <f>SUMIF(Пр12!C10:C192,410,Пр12!G10:G192)</f>
        <v>0</v>
      </c>
      <c r="D56" s="535">
        <f>SUMIF(Пр12!D10:D192,410,Пр12!H10:H192)</f>
        <v>0</v>
      </c>
      <c r="E56" s="535">
        <f>SUMIF(Пр12!E10:E192,410,Пр12!I10:I192)</f>
        <v>0</v>
      </c>
    </row>
    <row r="57" spans="1:5" ht="30.75" hidden="1" thickBot="1" x14ac:dyDescent="0.3">
      <c r="A57" s="533">
        <v>411</v>
      </c>
      <c r="B57" s="536" t="s">
        <v>126</v>
      </c>
      <c r="C57" s="535">
        <f>SUMIF(Пр12!C10:C192,411,Пр12!G10:G192)</f>
        <v>0</v>
      </c>
      <c r="D57" s="535">
        <f>SUMIF(Пр12!D10:D192,411,Пр12!H10:H192)</f>
        <v>0</v>
      </c>
      <c r="E57" s="535">
        <f>SUMIF(Пр12!E10:E192,411,Пр12!I10:I192)</f>
        <v>0</v>
      </c>
    </row>
    <row r="58" spans="1:5" ht="18" customHeight="1" thickBot="1" x14ac:dyDescent="0.3">
      <c r="A58" s="533">
        <v>412</v>
      </c>
      <c r="B58" s="536" t="s">
        <v>127</v>
      </c>
      <c r="C58" s="535">
        <f>SUMIF(Пр12!$C10:$C192,412,Пр12!G10:G192)</f>
        <v>2250000</v>
      </c>
      <c r="D58" s="535">
        <f>SUMIF(Пр12!$C10:$C192,412,Пр12!H10:H192)</f>
        <v>23000</v>
      </c>
      <c r="E58" s="535">
        <f>SUMIF(Пр12!$C10:$C192,412,Пр12!I10:I192)</f>
        <v>2227000</v>
      </c>
    </row>
    <row r="59" spans="1:5" ht="16.5" thickBot="1" x14ac:dyDescent="0.3">
      <c r="A59" s="530">
        <v>500</v>
      </c>
      <c r="B59" s="540" t="s">
        <v>128</v>
      </c>
      <c r="C59" s="532">
        <f>C60+C61+C62+C63+C64</f>
        <v>110791568</v>
      </c>
      <c r="D59" s="532">
        <f t="shared" ref="D59:E59" si="4">D60+D61+D62+D63+D64</f>
        <v>23138686.350000001</v>
      </c>
      <c r="E59" s="532">
        <f t="shared" si="4"/>
        <v>87652881.649999991</v>
      </c>
    </row>
    <row r="60" spans="1:5" ht="16.5" thickBot="1" x14ac:dyDescent="0.3">
      <c r="A60" s="533">
        <v>501</v>
      </c>
      <c r="B60" s="536" t="s">
        <v>129</v>
      </c>
      <c r="C60" s="535">
        <f>SUMIF(Пр12!$C10:$C192,501,Пр12!G10:G192)</f>
        <v>8985684</v>
      </c>
      <c r="D60" s="535">
        <f>SUMIF(Пр12!$C10:$C192,501,Пр12!H10:H192)</f>
        <v>2209324.02</v>
      </c>
      <c r="E60" s="535">
        <f>SUMIF(Пр12!$C10:$C192,501,Пр12!I10:I192)</f>
        <v>6776359.9800000004</v>
      </c>
    </row>
    <row r="61" spans="1:5" ht="16.5" thickBot="1" x14ac:dyDescent="0.3">
      <c r="A61" s="533">
        <v>502</v>
      </c>
      <c r="B61" s="536" t="s">
        <v>130</v>
      </c>
      <c r="C61" s="535">
        <f>SUMIF(Пр12!$C10:$C192,502,Пр12!G10:G192)</f>
        <v>6183067</v>
      </c>
      <c r="D61" s="535">
        <f>SUMIF(Пр12!$C10:$C192,502,Пр12!H10:H192)</f>
        <v>3114303.49</v>
      </c>
      <c r="E61" s="535">
        <f>SUMIF(Пр12!$C10:$C192,502,Пр12!I10:I192)</f>
        <v>3068763.51</v>
      </c>
    </row>
    <row r="62" spans="1:5" ht="16.5" thickBot="1" x14ac:dyDescent="0.3">
      <c r="A62" s="533">
        <v>503</v>
      </c>
      <c r="B62" s="534" t="s">
        <v>131</v>
      </c>
      <c r="C62" s="535">
        <f>SUMIF(Пр12!$C10:$C192,503,Пр12!G10:G192)</f>
        <v>95622817</v>
      </c>
      <c r="D62" s="535">
        <f>SUMIF(Пр12!$C10:$C192,503,Пр12!H10:H192)</f>
        <v>17815058.84</v>
      </c>
      <c r="E62" s="535">
        <f>SUMIF(Пр12!$C10:$C192,503,Пр12!I10:I192)</f>
        <v>77807758.159999996</v>
      </c>
    </row>
    <row r="63" spans="1:5" ht="30.75" hidden="1" thickBot="1" x14ac:dyDescent="0.3">
      <c r="A63" s="533">
        <v>504</v>
      </c>
      <c r="B63" s="536" t="s">
        <v>132</v>
      </c>
      <c r="C63" s="535">
        <f>SUMIF(Пр12!C10:C192,504,Пр12!G10:G192)</f>
        <v>0</v>
      </c>
      <c r="D63" s="535">
        <f>SUMIF(Пр12!D10:D192,504,Пр12!H10:H192)</f>
        <v>0</v>
      </c>
      <c r="E63" s="535">
        <f>SUMIF(Пр12!E10:E192,504,Пр12!I10:I192)</f>
        <v>0</v>
      </c>
    </row>
    <row r="64" spans="1:5" ht="16.5" hidden="1" thickBot="1" x14ac:dyDescent="0.3">
      <c r="A64" s="533">
        <v>505</v>
      </c>
      <c r="B64" s="536" t="s">
        <v>133</v>
      </c>
      <c r="C64" s="535">
        <f>SUMIF(Пр12!$C10:$C192,505,Пр12!G10:G192)</f>
        <v>0</v>
      </c>
      <c r="D64" s="535">
        <f>SUMIF(Пр12!$C10:$C192,505,Пр12!H10:H192)</f>
        <v>0</v>
      </c>
      <c r="E64" s="535">
        <f>SUMIF(Пр12!$C10:$C192,505,Пр12!I10:I192)</f>
        <v>0</v>
      </c>
    </row>
    <row r="65" spans="1:5" ht="16.5" hidden="1" thickBot="1" x14ac:dyDescent="0.3">
      <c r="A65" s="530">
        <v>600</v>
      </c>
      <c r="B65" s="542" t="s">
        <v>134</v>
      </c>
      <c r="C65" s="532">
        <f>SUM(C66:C70)</f>
        <v>2000000</v>
      </c>
      <c r="D65" s="532">
        <f t="shared" ref="D65:E65" si="5">SUM(D66:D70)</f>
        <v>0</v>
      </c>
      <c r="E65" s="532">
        <f t="shared" si="5"/>
        <v>2000000</v>
      </c>
    </row>
    <row r="66" spans="1:5" ht="16.5" hidden="1" thickBot="1" x14ac:dyDescent="0.3">
      <c r="A66" s="533">
        <v>601</v>
      </c>
      <c r="B66" s="534" t="s">
        <v>135</v>
      </c>
      <c r="C66" s="535">
        <f>SUMIF(Пр12!C10:C192,601,Пр12!G10:G192)</f>
        <v>0</v>
      </c>
      <c r="D66" s="535">
        <f>SUMIF(Пр12!D10:D192,601,Пр12!H10:H192)</f>
        <v>0</v>
      </c>
      <c r="E66" s="535">
        <f>SUMIF(Пр12!E10:E192,601,Пр12!I10:I192)</f>
        <v>0</v>
      </c>
    </row>
    <row r="67" spans="1:5" ht="16.5" hidden="1" thickBot="1" x14ac:dyDescent="0.3">
      <c r="A67" s="533">
        <v>602</v>
      </c>
      <c r="B67" s="536" t="s">
        <v>136</v>
      </c>
      <c r="C67" s="535">
        <f>SUMIF(Пр12!C10:C192,602,Пр12!G10:G192)</f>
        <v>0</v>
      </c>
      <c r="D67" s="535">
        <f>SUMIF(Пр12!D10:D192,602,Пр12!H10:H192)</f>
        <v>0</v>
      </c>
      <c r="E67" s="535">
        <f>SUMIF(Пр12!E10:E192,602,Пр12!I10:I192)</f>
        <v>0</v>
      </c>
    </row>
    <row r="68" spans="1:5" ht="30.75" hidden="1" thickBot="1" x14ac:dyDescent="0.3">
      <c r="A68" s="533">
        <v>603</v>
      </c>
      <c r="B68" s="536" t="s">
        <v>137</v>
      </c>
      <c r="C68" s="535">
        <f>SUMIF(Пр12!C10:C192,603,Пр12!G10:G192)</f>
        <v>0</v>
      </c>
      <c r="D68" s="535">
        <f>SUMIF(Пр12!D10:D192,603,Пр12!H10:H192)</f>
        <v>0</v>
      </c>
      <c r="E68" s="535">
        <f>SUMIF(Пр12!E10:E192,603,Пр12!I10:I192)</f>
        <v>0</v>
      </c>
    </row>
    <row r="69" spans="1:5" ht="30.75" hidden="1" thickBot="1" x14ac:dyDescent="0.3">
      <c r="A69" s="533">
        <v>604</v>
      </c>
      <c r="B69" s="536" t="s">
        <v>138</v>
      </c>
      <c r="C69" s="535">
        <f>SUMIF(Пр12!C10:C192,604,Пр12!G10:G192)</f>
        <v>0</v>
      </c>
      <c r="D69" s="535">
        <f>SUMIF(Пр12!D10:D192,604,Пр12!H10:H192)</f>
        <v>0</v>
      </c>
      <c r="E69" s="535">
        <f>SUMIF(Пр12!E10:E192,604,Пр12!I10:I192)</f>
        <v>0</v>
      </c>
    </row>
    <row r="70" spans="1:5" ht="16.5" hidden="1" thickBot="1" x14ac:dyDescent="0.3">
      <c r="A70" s="533">
        <v>605</v>
      </c>
      <c r="B70" s="536" t="s">
        <v>139</v>
      </c>
      <c r="C70" s="535">
        <f>SUMIF(Пр12!$C10:$C192,605,Пр12!G10:G192)</f>
        <v>2000000</v>
      </c>
      <c r="D70" s="535">
        <f>SUMIF(Пр12!$C10:$C192,605,Пр12!H10:H192)</f>
        <v>0</v>
      </c>
      <c r="E70" s="535">
        <f>SUMIF(Пр12!$C10:$C192,605,Пр12!I10:I192)</f>
        <v>2000000</v>
      </c>
    </row>
    <row r="71" spans="1:5" ht="16.5" hidden="1" thickBot="1" x14ac:dyDescent="0.3">
      <c r="A71" s="537">
        <v>700</v>
      </c>
      <c r="B71" s="543" t="s">
        <v>140</v>
      </c>
      <c r="C71" s="539">
        <f>C72+C73+C78+C80+C74+C76</f>
        <v>0</v>
      </c>
      <c r="D71" s="539">
        <f>D72+D73+D78+D80+D74+D76</f>
        <v>0</v>
      </c>
      <c r="E71" s="539">
        <f>E72+E73+E78+E80+E74+E76</f>
        <v>0</v>
      </c>
    </row>
    <row r="72" spans="1:5" ht="16.5" hidden="1" thickBot="1" x14ac:dyDescent="0.3">
      <c r="A72" s="533">
        <v>701</v>
      </c>
      <c r="B72" s="536" t="s">
        <v>141</v>
      </c>
      <c r="C72" s="535">
        <f>SUMIF(Пр12!$C10:$C192,701,Пр12!G10:G192)</f>
        <v>0</v>
      </c>
      <c r="D72" s="535">
        <f>SUMIF(Пр12!$C10:$C192,701,Пр12!H10:H192)</f>
        <v>0</v>
      </c>
      <c r="E72" s="535">
        <f>SUMIF(Пр12!$C10:$C192,701,Пр12!I10:I192)</f>
        <v>0</v>
      </c>
    </row>
    <row r="73" spans="1:5" ht="16.5" hidden="1" thickBot="1" x14ac:dyDescent="0.3">
      <c r="A73" s="533">
        <v>702</v>
      </c>
      <c r="B73" s="536" t="s">
        <v>142</v>
      </c>
      <c r="C73" s="535">
        <f>SUMIF(Пр12!$C10:$C192,702,Пр12!G10:G192)</f>
        <v>0</v>
      </c>
      <c r="D73" s="535">
        <f>SUMIF(Пр12!$C10:$C192,702,Пр12!H10:H192)</f>
        <v>0</v>
      </c>
      <c r="E73" s="535">
        <f>SUMIF(Пр12!$C10:$C192,702,Пр12!I10:I192)</f>
        <v>0</v>
      </c>
    </row>
    <row r="74" spans="1:5" ht="16.5" hidden="1" thickBot="1" x14ac:dyDescent="0.3">
      <c r="A74" s="533">
        <v>703</v>
      </c>
      <c r="B74" s="536" t="s">
        <v>560</v>
      </c>
      <c r="C74" s="535">
        <f>SUMIF(Пр12!$C10:$C192,703,Пр12!G10:G192)</f>
        <v>0</v>
      </c>
      <c r="D74" s="535">
        <f>SUMIF(Пр12!$C10:$C192,703,Пр12!H10:H192)</f>
        <v>0</v>
      </c>
      <c r="E74" s="535">
        <f>SUMIF(Пр12!$C10:$C192,703,Пр12!I10:I192)</f>
        <v>0</v>
      </c>
    </row>
    <row r="75" spans="1:5" ht="20.25" hidden="1" customHeight="1" thickBot="1" x14ac:dyDescent="0.3">
      <c r="A75" s="533">
        <v>704</v>
      </c>
      <c r="B75" s="536" t="s">
        <v>143</v>
      </c>
      <c r="C75" s="535">
        <f>SUMIF(Пр12!C10:C192,704,Пр12!G10:G192)</f>
        <v>0</v>
      </c>
      <c r="D75" s="535">
        <f>SUMIF(Пр12!D10:D192,704,Пр12!H10:H192)</f>
        <v>0</v>
      </c>
      <c r="E75" s="535">
        <f>SUMIF(Пр12!$C11:$C192,704,Пр12!I11:I192)</f>
        <v>0</v>
      </c>
    </row>
    <row r="76" spans="1:5" ht="30.75" hidden="1" thickBot="1" x14ac:dyDescent="0.3">
      <c r="A76" s="533">
        <v>705</v>
      </c>
      <c r="B76" s="536" t="s">
        <v>144</v>
      </c>
      <c r="C76" s="544">
        <f>SUMIF(Пр12!C10:C192,705,Пр12!G10:G192)</f>
        <v>0</v>
      </c>
      <c r="D76" s="544">
        <f>SUMIF(Пр12!D10:D192,705,Пр12!H10:H192)</f>
        <v>0</v>
      </c>
      <c r="E76" s="535">
        <f>SUMIF(Пр12!$C48:$C192,705,Пр12!I48:I192)</f>
        <v>0</v>
      </c>
    </row>
    <row r="77" spans="1:5" ht="16.5" hidden="1" thickBot="1" x14ac:dyDescent="0.3">
      <c r="A77" s="545">
        <v>706</v>
      </c>
      <c r="B77" s="546" t="s">
        <v>145</v>
      </c>
      <c r="C77" s="535">
        <f>SUMIF(Пр12!C10:C192,706,Пр12!G10:G192)</f>
        <v>0</v>
      </c>
      <c r="D77" s="535">
        <f>SUMIF(Пр12!D10:D192,706,Пр12!H10:H192)</f>
        <v>0</v>
      </c>
      <c r="E77" s="535">
        <f>SUMIF(Пр12!E10:E192,706,Пр12!I10:I192)</f>
        <v>0</v>
      </c>
    </row>
    <row r="78" spans="1:5" ht="16.5" hidden="1" thickBot="1" x14ac:dyDescent="0.3">
      <c r="A78" s="533">
        <v>707</v>
      </c>
      <c r="B78" s="536" t="s">
        <v>561</v>
      </c>
      <c r="C78" s="535">
        <f>SUMIF(Пр12!$C10:$C192,707,Пр12!G10:G192)</f>
        <v>0</v>
      </c>
      <c r="D78" s="535">
        <f>SUMIF(Пр12!$C10:$C192,707,Пр12!H10:H192)</f>
        <v>0</v>
      </c>
      <c r="E78" s="535">
        <f>SUMIF(Пр12!$C10:$C192,707,Пр12!I10:I192)</f>
        <v>0</v>
      </c>
    </row>
    <row r="79" spans="1:5" ht="16.5" hidden="1" thickBot="1" x14ac:dyDescent="0.3">
      <c r="A79" s="533">
        <v>708</v>
      </c>
      <c r="B79" s="536" t="s">
        <v>146</v>
      </c>
      <c r="C79" s="535">
        <f>SUMIF(Пр12!C10:C192,708,Пр12!G10:G192)</f>
        <v>0</v>
      </c>
      <c r="D79" s="535">
        <f>SUMIF(Пр12!D10:D192,708,Пр12!H10:H192)</f>
        <v>0</v>
      </c>
      <c r="E79" s="535">
        <f>SUMIF(Пр12!E10:E192,708,Пр12!I10:I192)</f>
        <v>0</v>
      </c>
    </row>
    <row r="80" spans="1:5" ht="16.5" hidden="1" thickBot="1" x14ac:dyDescent="0.3">
      <c r="A80" s="533">
        <v>709</v>
      </c>
      <c r="B80" s="536" t="s">
        <v>147</v>
      </c>
      <c r="C80" s="535">
        <f>SUMIF(Пр12!$C10:$C192,709,Пр12!G10:G192)</f>
        <v>0</v>
      </c>
      <c r="D80" s="535">
        <f>SUMIF(Пр12!$C10:$C192,709,Пр12!H10:H192)</f>
        <v>0</v>
      </c>
      <c r="E80" s="535">
        <f>SUMIF(Пр12!$C10:$C192,709,Пр12!I10:I192)</f>
        <v>0</v>
      </c>
    </row>
    <row r="81" spans="1:5" ht="16.5" thickBot="1" x14ac:dyDescent="0.3">
      <c r="A81" s="530">
        <v>800</v>
      </c>
      <c r="B81" s="542" t="s">
        <v>148</v>
      </c>
      <c r="C81" s="532">
        <f>C82+C85</f>
        <v>1400000</v>
      </c>
      <c r="D81" s="532">
        <f t="shared" ref="D81:E81" si="6">D82+D85</f>
        <v>862500</v>
      </c>
      <c r="E81" s="532">
        <f t="shared" si="6"/>
        <v>537500</v>
      </c>
    </row>
    <row r="82" spans="1:5" ht="16.5" thickBot="1" x14ac:dyDescent="0.3">
      <c r="A82" s="533">
        <v>801</v>
      </c>
      <c r="B82" s="536" t="s">
        <v>149</v>
      </c>
      <c r="C82" s="535">
        <f>SUMIF(Пр12!$C10:$C192,801,Пр12!G10:G192)</f>
        <v>1400000</v>
      </c>
      <c r="D82" s="535">
        <f>SUMIF(Пр12!$C10:$C192,801,Пр12!H10:H192)</f>
        <v>862500</v>
      </c>
      <c r="E82" s="535">
        <f>SUMIF(Пр12!$C10:$C192,801,Пр12!I10:I192)</f>
        <v>537500</v>
      </c>
    </row>
    <row r="83" spans="1:5" ht="16.5" hidden="1" thickBot="1" x14ac:dyDescent="0.3">
      <c r="A83" s="533">
        <v>802</v>
      </c>
      <c r="B83" s="536" t="s">
        <v>150</v>
      </c>
      <c r="C83" s="535">
        <f>SUMIF(Пр12!C10:C192,802,Пр12!G10:G192)</f>
        <v>0</v>
      </c>
      <c r="D83" s="535">
        <f>SUMIF(Пр12!D10:D192,802,Пр12!H10:H192)</f>
        <v>0</v>
      </c>
      <c r="E83" s="535">
        <f>SUMIF(Пр12!E10:E192,802,Пр12!I10:I192)</f>
        <v>0</v>
      </c>
    </row>
    <row r="84" spans="1:5" ht="30.75" hidden="1" thickBot="1" x14ac:dyDescent="0.3">
      <c r="A84" s="533">
        <v>803</v>
      </c>
      <c r="B84" s="536" t="s">
        <v>151</v>
      </c>
      <c r="C84" s="535">
        <f>SUMIF(Пр12!C10:C192,803,Пр12!G10:G192)</f>
        <v>0</v>
      </c>
      <c r="D84" s="535">
        <f>SUMIF(Пр12!D10:D192,803,Пр12!H10:H192)</f>
        <v>0</v>
      </c>
      <c r="E84" s="535">
        <f>SUMIF(Пр12!E10:E192,803,Пр12!I10:I192)</f>
        <v>0</v>
      </c>
    </row>
    <row r="85" spans="1:5" ht="16.5" hidden="1" thickBot="1" x14ac:dyDescent="0.3">
      <c r="A85" s="533">
        <v>804</v>
      </c>
      <c r="B85" s="536" t="s">
        <v>152</v>
      </c>
      <c r="C85" s="535">
        <f>SUMIF(Пр12!$C10:$C192,804,Пр12!G10:G192)</f>
        <v>0</v>
      </c>
      <c r="D85" s="535">
        <f>SUMIF(Пр12!$C10:$C192,804,Пр12!H10:H192)</f>
        <v>0</v>
      </c>
      <c r="E85" s="535">
        <f>SUMIF(Пр12!$C10:$C192,804,Пр12!I10:I192)</f>
        <v>0</v>
      </c>
    </row>
    <row r="86" spans="1:5" ht="16.5" hidden="1" thickBot="1" x14ac:dyDescent="0.3">
      <c r="A86" s="537">
        <v>900</v>
      </c>
      <c r="B86" s="543" t="s">
        <v>153</v>
      </c>
      <c r="C86" s="539">
        <f>SUM(C87:C95)</f>
        <v>0</v>
      </c>
      <c r="D86" s="539">
        <f t="shared" ref="D86:E86" si="7">SUM(D87:D95)</f>
        <v>0</v>
      </c>
      <c r="E86" s="539">
        <f t="shared" si="7"/>
        <v>0</v>
      </c>
    </row>
    <row r="87" spans="1:5" ht="16.5" hidden="1" thickBot="1" x14ac:dyDescent="0.3">
      <c r="A87" s="533">
        <v>901</v>
      </c>
      <c r="B87" s="536" t="s">
        <v>154</v>
      </c>
      <c r="C87" s="535">
        <f>SUMIF(Пр12!C10:C192,901,Пр12!G10:G192)</f>
        <v>0</v>
      </c>
      <c r="D87" s="535">
        <f>SUMIF(Пр12!D10:D192,901,Пр12!H10:H192)</f>
        <v>0</v>
      </c>
      <c r="E87" s="535">
        <f>SUMIF(Пр12!E10:E192,901,Пр12!I10:I192)</f>
        <v>0</v>
      </c>
    </row>
    <row r="88" spans="1:5" ht="16.5" hidden="1" thickBot="1" x14ac:dyDescent="0.3">
      <c r="A88" s="533">
        <v>902</v>
      </c>
      <c r="B88" s="536" t="s">
        <v>155</v>
      </c>
      <c r="C88" s="535">
        <f>SUMIF(Пр12!C10:C192,902,Пр12!G10:G192)</f>
        <v>0</v>
      </c>
      <c r="D88" s="535">
        <f>SUMIF(Пр12!D10:D192,902,Пр12!H10:H192)</f>
        <v>0</v>
      </c>
      <c r="E88" s="535">
        <f>SUMIF(Пр12!E10:E192,902,Пр12!I10:I192)</f>
        <v>0</v>
      </c>
    </row>
    <row r="89" spans="1:5" ht="16.5" hidden="1" thickBot="1" x14ac:dyDescent="0.3">
      <c r="A89" s="533">
        <v>903</v>
      </c>
      <c r="B89" s="536" t="s">
        <v>156</v>
      </c>
      <c r="C89" s="535">
        <f>SUMIF(Пр12!C10:C192,903,Пр12!G10:G192)</f>
        <v>0</v>
      </c>
      <c r="D89" s="535">
        <f>SUMIF(Пр12!D10:D192,903,Пр12!H10:H192)</f>
        <v>0</v>
      </c>
      <c r="E89" s="535">
        <f>SUMIF(Пр12!E10:E192,903,Пр12!I10:I192)</f>
        <v>0</v>
      </c>
    </row>
    <row r="90" spans="1:5" ht="16.5" hidden="1" thickBot="1" x14ac:dyDescent="0.3">
      <c r="A90" s="533">
        <v>904</v>
      </c>
      <c r="B90" s="536" t="s">
        <v>157</v>
      </c>
      <c r="C90" s="535">
        <f>SUMIF(Пр12!C10:C192,904,Пр12!G10:G192)</f>
        <v>0</v>
      </c>
      <c r="D90" s="535">
        <f>SUMIF(Пр12!D10:D192,904,Пр12!H10:H192)</f>
        <v>0</v>
      </c>
      <c r="E90" s="535">
        <f>SUMIF(Пр12!E10:E192,904,Пр12!I10:I192)</f>
        <v>0</v>
      </c>
    </row>
    <row r="91" spans="1:5" ht="16.5" hidden="1" thickBot="1" x14ac:dyDescent="0.3">
      <c r="A91" s="533">
        <v>905</v>
      </c>
      <c r="B91" s="547" t="s">
        <v>158</v>
      </c>
      <c r="C91" s="535">
        <f>SUMIF(Пр12!C10:C192,905,Пр12!G10:G192)</f>
        <v>0</v>
      </c>
      <c r="D91" s="535">
        <f>SUMIF(Пр12!D10:D192,905,Пр12!H10:H192)</f>
        <v>0</v>
      </c>
      <c r="E91" s="535">
        <f>SUMIF(Пр12!E10:E192,905,Пр12!I10:I192)</f>
        <v>0</v>
      </c>
    </row>
    <row r="92" spans="1:5" ht="30.75" hidden="1" thickBot="1" x14ac:dyDescent="0.3">
      <c r="A92" s="533">
        <v>906</v>
      </c>
      <c r="B92" s="547" t="s">
        <v>159</v>
      </c>
      <c r="C92" s="535">
        <f>SUMIF(Пр12!C10:C192,906,Пр12!G10:G192)</f>
        <v>0</v>
      </c>
      <c r="D92" s="535">
        <f>SUMIF(Пр12!D10:D192,906,Пр12!H10:H192)</f>
        <v>0</v>
      </c>
      <c r="E92" s="535">
        <f>SUMIF(Пр12!E10:E192,906,Пр12!I10:I192)</f>
        <v>0</v>
      </c>
    </row>
    <row r="93" spans="1:5" ht="16.5" hidden="1" thickBot="1" x14ac:dyDescent="0.3">
      <c r="A93" s="533">
        <v>907</v>
      </c>
      <c r="B93" s="536" t="s">
        <v>160</v>
      </c>
      <c r="C93" s="535">
        <f>SUMIF(Пр12!C10:C192,907,Пр12!G10:G192)</f>
        <v>0</v>
      </c>
      <c r="D93" s="535">
        <f>SUMIF(Пр12!D10:D192,907,Пр12!H10:H192)</f>
        <v>0</v>
      </c>
      <c r="E93" s="535">
        <f>SUMIF(Пр12!E10:E192,907,Пр12!I10:I192)</f>
        <v>0</v>
      </c>
    </row>
    <row r="94" spans="1:5" ht="30.75" hidden="1" thickBot="1" x14ac:dyDescent="0.3">
      <c r="A94" s="533">
        <v>908</v>
      </c>
      <c r="B94" s="534" t="s">
        <v>161</v>
      </c>
      <c r="C94" s="535">
        <f>SUMIF(Пр12!C10:C192,908,Пр12!G10:G192)</f>
        <v>0</v>
      </c>
      <c r="D94" s="535">
        <f>SUMIF(Пр12!D10:D192,908,Пр12!H10:H192)</f>
        <v>0</v>
      </c>
      <c r="E94" s="535">
        <f>SUMIF(Пр12!E10:E192,908,Пр12!I10:I192)</f>
        <v>0</v>
      </c>
    </row>
    <row r="95" spans="1:5" ht="16.5" hidden="1" thickBot="1" x14ac:dyDescent="0.3">
      <c r="A95" s="533">
        <v>909</v>
      </c>
      <c r="B95" s="536" t="s">
        <v>162</v>
      </c>
      <c r="C95" s="535">
        <f>SUMIF(Пр12!C10:C192,909,Пр12!G10:G192)</f>
        <v>0</v>
      </c>
      <c r="D95" s="535">
        <f>SUMIF(Пр12!D10:D192,909,Пр12!H10:H192)</f>
        <v>0</v>
      </c>
      <c r="E95" s="535">
        <f>SUMIF(Пр12!E10:E192,909,Пр12!I10:I192)</f>
        <v>0</v>
      </c>
    </row>
    <row r="96" spans="1:5" ht="16.5" thickBot="1" x14ac:dyDescent="0.3">
      <c r="A96" s="530">
        <v>1000</v>
      </c>
      <c r="B96" s="542" t="s">
        <v>163</v>
      </c>
      <c r="C96" s="532">
        <f>C97+C98+C99+C100+C102</f>
        <v>3278288</v>
      </c>
      <c r="D96" s="532">
        <f t="shared" ref="D96:E96" si="8">D97+D98+D99+D100+D102</f>
        <v>2704191.62</v>
      </c>
      <c r="E96" s="532">
        <f t="shared" si="8"/>
        <v>574096.38000000012</v>
      </c>
    </row>
    <row r="97" spans="1:5" ht="16.5" thickBot="1" x14ac:dyDescent="0.3">
      <c r="A97" s="533">
        <v>1001</v>
      </c>
      <c r="B97" s="536" t="s">
        <v>164</v>
      </c>
      <c r="C97" s="535">
        <f>SUMIF(Пр12!$C10:$C192,1001,Пр12!G10:G192)</f>
        <v>730800</v>
      </c>
      <c r="D97" s="535">
        <f>SUMIF(Пр12!$C10:$C192,1001,Пр12!H10:H192)</f>
        <v>318671.40999999997</v>
      </c>
      <c r="E97" s="535">
        <f>SUMIF(Пр12!$C10:$C192,1001,Пр12!I10:I192)</f>
        <v>412128.59</v>
      </c>
    </row>
    <row r="98" spans="1:5" ht="16.5" hidden="1" thickBot="1" x14ac:dyDescent="0.3">
      <c r="A98" s="533">
        <v>1002</v>
      </c>
      <c r="B98" s="536" t="s">
        <v>165</v>
      </c>
      <c r="C98" s="535">
        <f>SUMIF(Пр12!$C10:$C192,1002,Пр12!G10:G192)</f>
        <v>0</v>
      </c>
      <c r="D98" s="535">
        <f>SUMIF(Пр12!$C10:$C192,1002,Пр12!H10:H192)</f>
        <v>0</v>
      </c>
      <c r="E98" s="535">
        <f>SUMIF(Пр12!$C10:$C192,1002,Пр12!I10:I192)</f>
        <v>0</v>
      </c>
    </row>
    <row r="99" spans="1:5" ht="16.5" thickBot="1" x14ac:dyDescent="0.3">
      <c r="A99" s="533">
        <v>1003</v>
      </c>
      <c r="B99" s="536" t="s">
        <v>166</v>
      </c>
      <c r="C99" s="535">
        <f>SUMIF(Пр12!$C10:$C192,1003,Пр12!G10:G192)</f>
        <v>2547488</v>
      </c>
      <c r="D99" s="535">
        <f>SUMIF(Пр12!$C10:$C192,1003,Пр12!H10:H192)</f>
        <v>2385520.21</v>
      </c>
      <c r="E99" s="535">
        <f>SUMIF(Пр12!$C10:$C192,1003,Пр12!I10:I192)</f>
        <v>161967.79000000004</v>
      </c>
    </row>
    <row r="100" spans="1:5" ht="16.5" hidden="1" thickBot="1" x14ac:dyDescent="0.3">
      <c r="A100" s="533">
        <v>1004</v>
      </c>
      <c r="B100" s="534" t="s">
        <v>167</v>
      </c>
      <c r="C100" s="535">
        <f>SUMIF(Пр12!$C10:$C192,1004,Пр12!G10:G192)</f>
        <v>0</v>
      </c>
      <c r="D100" s="535">
        <f>SUMIF(Пр12!$C10:$C192,1004,Пр12!H10:H192)</f>
        <v>0</v>
      </c>
      <c r="E100" s="535">
        <f>SUMIF(Пр12!$C10:$C192,1004,Пр12!I10:I192)</f>
        <v>0</v>
      </c>
    </row>
    <row r="101" spans="1:5" ht="30.75" hidden="1" thickBot="1" x14ac:dyDescent="0.3">
      <c r="A101" s="533">
        <v>1005</v>
      </c>
      <c r="B101" s="536" t="s">
        <v>168</v>
      </c>
      <c r="C101" s="535">
        <f>SUMIF(Пр12!C10:C192,1005,Пр12!G10:G192)</f>
        <v>0</v>
      </c>
      <c r="D101" s="535">
        <f>SUMIF(Пр12!D10:D192,1005,Пр12!H10:H192)</f>
        <v>0</v>
      </c>
      <c r="E101" s="535">
        <f>SUMIF(Пр12!E10:E192,1005,Пр12!I10:I192)</f>
        <v>0</v>
      </c>
    </row>
    <row r="102" spans="1:5" ht="16.5" hidden="1" thickBot="1" x14ac:dyDescent="0.3">
      <c r="A102" s="533">
        <v>1006</v>
      </c>
      <c r="B102" s="536" t="s">
        <v>169</v>
      </c>
      <c r="C102" s="535">
        <f>SUMIF(Пр12!$C10:$C192,1006,Пр12!G10:G192)</f>
        <v>0</v>
      </c>
      <c r="D102" s="535">
        <f>SUMIF(Пр12!$C10:$C192,1006,Пр12!H10:H192)</f>
        <v>0</v>
      </c>
      <c r="E102" s="535">
        <f>SUMIF(Пр12!$C10:$C192,1006,Пр12!I10:I192)</f>
        <v>0</v>
      </c>
    </row>
    <row r="103" spans="1:5" ht="16.5" hidden="1" thickBot="1" x14ac:dyDescent="0.3">
      <c r="A103" s="537">
        <v>1100</v>
      </c>
      <c r="B103" s="543" t="s">
        <v>170</v>
      </c>
      <c r="C103" s="539">
        <f>SUM(C104:C108)</f>
        <v>0</v>
      </c>
      <c r="D103" s="539">
        <f t="shared" ref="D103:E103" si="9">SUM(D104:D108)</f>
        <v>0</v>
      </c>
      <c r="E103" s="539">
        <f t="shared" si="9"/>
        <v>0</v>
      </c>
    </row>
    <row r="104" spans="1:5" ht="16.5" hidden="1" thickBot="1" x14ac:dyDescent="0.3">
      <c r="A104" s="533">
        <v>1101</v>
      </c>
      <c r="B104" s="536" t="s">
        <v>171</v>
      </c>
      <c r="C104" s="535">
        <f>SUMIF(Пр12!C10:C192,1101,Пр12!G10:G192)</f>
        <v>0</v>
      </c>
      <c r="D104" s="535">
        <f>SUMIF(Пр12!D10:D192,1101,Пр12!H10:H192)</f>
        <v>0</v>
      </c>
      <c r="E104" s="535">
        <f>SUMIF(Пр12!E10:E192,1101,Пр12!I10:I192)</f>
        <v>0</v>
      </c>
    </row>
    <row r="105" spans="1:5" ht="16.5" hidden="1" thickBot="1" x14ac:dyDescent="0.3">
      <c r="A105" s="533">
        <v>1102</v>
      </c>
      <c r="B105" s="547" t="s">
        <v>172</v>
      </c>
      <c r="C105" s="535">
        <f>SUMIF(Пр12!$C10:$C192,1102,Пр12!G10:G192)</f>
        <v>0</v>
      </c>
      <c r="D105" s="535">
        <f>SUMIF(Пр12!$C10:$C192,1102,Пр12!H10:H192)</f>
        <v>0</v>
      </c>
      <c r="E105" s="535">
        <f>SUMIF(Пр12!$C10:$C192,1102,Пр12!I10:I192)</f>
        <v>0</v>
      </c>
    </row>
    <row r="106" spans="1:5" ht="16.5" hidden="1" thickBot="1" x14ac:dyDescent="0.3">
      <c r="A106" s="533">
        <v>1103</v>
      </c>
      <c r="B106" s="536" t="s">
        <v>173</v>
      </c>
      <c r="C106" s="535">
        <f>SUMIF(Пр12!C10:C192,1103,Пр12!G10:G192)</f>
        <v>0</v>
      </c>
      <c r="D106" s="535">
        <f>SUMIF(Пр12!D10:D192,1103,Пр12!H10:H192)</f>
        <v>0</v>
      </c>
      <c r="E106" s="535">
        <f>SUMIF(Пр12!E10:E192,1103,Пр12!I10:I192)</f>
        <v>0</v>
      </c>
    </row>
    <row r="107" spans="1:5" ht="30.75" hidden="1" thickBot="1" x14ac:dyDescent="0.3">
      <c r="A107" s="533">
        <v>1104</v>
      </c>
      <c r="B107" s="536" t="s">
        <v>174</v>
      </c>
      <c r="C107" s="535">
        <f>SUMIF(Пр12!C10:C192,1104,Пр12!G10:G192)</f>
        <v>0</v>
      </c>
      <c r="D107" s="535">
        <f>SUMIF(Пр12!D10:D192,1104,Пр12!H10:H192)</f>
        <v>0</v>
      </c>
      <c r="E107" s="535">
        <f>SUMIF(Пр12!E10:E192,1104,Пр12!I10:I192)</f>
        <v>0</v>
      </c>
    </row>
    <row r="108" spans="1:5" ht="16.5" hidden="1" thickBot="1" x14ac:dyDescent="0.3">
      <c r="A108" s="533">
        <v>1105</v>
      </c>
      <c r="B108" s="536" t="s">
        <v>175</v>
      </c>
      <c r="C108" s="535">
        <f>SUMIF(Пр12!C10:C192,1105,Пр12!G10:G192)</f>
        <v>0</v>
      </c>
      <c r="D108" s="535">
        <f>SUMIF(Пр12!D10:D192,1105,Пр12!H10:H192)</f>
        <v>0</v>
      </c>
      <c r="E108" s="535">
        <f>SUMIF(Пр12!E10:E192,1105,Пр12!I10:I192)</f>
        <v>0</v>
      </c>
    </row>
    <row r="109" spans="1:5" ht="16.5" hidden="1" thickBot="1" x14ac:dyDescent="0.3">
      <c r="A109" s="537">
        <v>1200</v>
      </c>
      <c r="B109" s="543" t="s">
        <v>176</v>
      </c>
      <c r="C109" s="539">
        <f>SUM(C110:C113)</f>
        <v>0</v>
      </c>
      <c r="D109" s="539">
        <f t="shared" ref="D109:E109" si="10">SUM(D110:D113)</f>
        <v>0</v>
      </c>
      <c r="E109" s="539">
        <f t="shared" si="10"/>
        <v>0</v>
      </c>
    </row>
    <row r="110" spans="1:5" ht="16.5" hidden="1" thickBot="1" x14ac:dyDescent="0.3">
      <c r="A110" s="533">
        <v>1201</v>
      </c>
      <c r="B110" s="536" t="s">
        <v>177</v>
      </c>
      <c r="C110" s="535">
        <f>SUMIF(Пр12!C10:C192,1201,Пр12!G10:G192)</f>
        <v>0</v>
      </c>
      <c r="D110" s="535">
        <f>SUMIF(Пр12!D10:D192,1201,Пр12!H10:H192)</f>
        <v>0</v>
      </c>
      <c r="E110" s="535">
        <f>SUMIF(Пр12!E10:E192,1201,Пр12!I10:I192)</f>
        <v>0</v>
      </c>
    </row>
    <row r="111" spans="1:5" ht="16.5" hidden="1" thickBot="1" x14ac:dyDescent="0.3">
      <c r="A111" s="533">
        <v>1202</v>
      </c>
      <c r="B111" s="536" t="s">
        <v>178</v>
      </c>
      <c r="C111" s="535">
        <f>SUMIF(Пр12!$C10:$C192,1202,Пр12!G10:G192)</f>
        <v>0</v>
      </c>
      <c r="D111" s="535">
        <f>SUMIF(Пр12!$C10:$C192,1202,Пр12!H10:H192)</f>
        <v>0</v>
      </c>
      <c r="E111" s="535">
        <f>SUMIF(Пр12!$C10:$C192,1202,Пр12!I10:I192)</f>
        <v>0</v>
      </c>
    </row>
    <row r="112" spans="1:5" ht="30.75" hidden="1" thickBot="1" x14ac:dyDescent="0.3">
      <c r="A112" s="533">
        <v>1203</v>
      </c>
      <c r="B112" s="536" t="s">
        <v>179</v>
      </c>
      <c r="C112" s="535">
        <f>SUMIF(Пр12!C10:C192,1203,Пр12!G10:G192)</f>
        <v>0</v>
      </c>
      <c r="D112" s="535">
        <f>SUMIF(Пр12!D10:D192,1203,Пр12!H10:H192)</f>
        <v>0</v>
      </c>
      <c r="E112" s="535">
        <f>SUMIF(Пр12!E10:E192,1203,Пр12!I10:I192)</f>
        <v>0</v>
      </c>
    </row>
    <row r="113" spans="1:5" ht="16.5" hidden="1" thickBot="1" x14ac:dyDescent="0.3">
      <c r="A113" s="533">
        <v>1204</v>
      </c>
      <c r="B113" s="536" t="s">
        <v>180</v>
      </c>
      <c r="C113" s="535">
        <f>SUMIF(Пр12!C10:C192,1204,Пр12!G10:G192)</f>
        <v>0</v>
      </c>
      <c r="D113" s="535">
        <f>SUMIF(Пр12!D10:D192,1204,Пр12!H10:H192)</f>
        <v>0</v>
      </c>
      <c r="E113" s="535">
        <f>SUMIF(Пр12!E10:E192,1204,Пр12!I10:I192)</f>
        <v>0</v>
      </c>
    </row>
    <row r="114" spans="1:5" ht="29.25" thickBot="1" x14ac:dyDescent="0.3">
      <c r="A114" s="530">
        <v>1300</v>
      </c>
      <c r="B114" s="542" t="s">
        <v>181</v>
      </c>
      <c r="C114" s="532">
        <f>SUM(C115:C116)</f>
        <v>1840000</v>
      </c>
      <c r="D114" s="532">
        <f t="shared" ref="D114:E114" si="11">SUM(D115:D116)</f>
        <v>576109.59</v>
      </c>
      <c r="E114" s="532">
        <f t="shared" si="11"/>
        <v>1263890.4100000001</v>
      </c>
    </row>
    <row r="115" spans="1:5" ht="30.75" thickBot="1" x14ac:dyDescent="0.3">
      <c r="A115" s="533">
        <v>1301</v>
      </c>
      <c r="B115" s="536" t="s">
        <v>182</v>
      </c>
      <c r="C115" s="535">
        <f>SUMIF(Пр12!$C10:$C192,1301,Пр12!G10:G192)</f>
        <v>1840000</v>
      </c>
      <c r="D115" s="535">
        <f>SUMIF(Пр12!$C10:$C192,1301,Пр12!H10:H192)</f>
        <v>576109.59</v>
      </c>
      <c r="E115" s="535">
        <f>SUMIF(Пр12!$C10:$C192,1301,Пр12!I10:I192)</f>
        <v>1263890.4100000001</v>
      </c>
    </row>
    <row r="116" spans="1:5" ht="16.5" hidden="1" thickBot="1" x14ac:dyDescent="0.3">
      <c r="A116" s="533">
        <v>1302</v>
      </c>
      <c r="B116" s="536" t="s">
        <v>183</v>
      </c>
      <c r="C116" s="535">
        <f>SUMIF(Пр12!C10:C192,1302,Пр12!G10:G192)</f>
        <v>0</v>
      </c>
      <c r="D116" s="535">
        <f>SUMIF(Пр12!D10:D192,1302,Пр12!H10:H192)</f>
        <v>0</v>
      </c>
      <c r="E116" s="535">
        <f>SUMIF(Пр12!E10:E192,1302,Пр12!I10:I192)</f>
        <v>0</v>
      </c>
    </row>
    <row r="117" spans="1:5" ht="57.75" hidden="1" thickBot="1" x14ac:dyDescent="0.3">
      <c r="A117" s="537">
        <v>1400</v>
      </c>
      <c r="B117" s="543" t="s">
        <v>184</v>
      </c>
      <c r="C117" s="539">
        <f>SUM(C118:C120)</f>
        <v>0</v>
      </c>
      <c r="D117" s="539">
        <f t="shared" ref="D117:E117" si="12">SUM(D118:D120)</f>
        <v>0</v>
      </c>
      <c r="E117" s="539">
        <f t="shared" si="12"/>
        <v>0</v>
      </c>
    </row>
    <row r="118" spans="1:5" ht="45.75" hidden="1" thickBot="1" x14ac:dyDescent="0.3">
      <c r="A118" s="533">
        <v>1401</v>
      </c>
      <c r="B118" s="536" t="s">
        <v>185</v>
      </c>
      <c r="C118" s="535">
        <f>SUMIF(Пр12!$C10:$C192,1401,Пр12!G10:G192)</f>
        <v>0</v>
      </c>
      <c r="D118" s="535">
        <f>SUMIF(Пр12!$C10:$C192,1401,Пр12!H10:H192)</f>
        <v>0</v>
      </c>
      <c r="E118" s="535">
        <f>SUMIF(Пр12!$C10:$C192,1401,Пр12!I10:I192)</f>
        <v>0</v>
      </c>
    </row>
    <row r="119" spans="1:5" ht="16.5" hidden="1" thickBot="1" x14ac:dyDescent="0.3">
      <c r="A119" s="533">
        <v>1402</v>
      </c>
      <c r="B119" s="536" t="s">
        <v>186</v>
      </c>
      <c r="C119" s="535">
        <f>SUMIF(Пр12!C10:C192,1402,Пр12!G10:G192)</f>
        <v>0</v>
      </c>
      <c r="D119" s="535">
        <f>SUMIF(Пр12!D10:D192,1402,Пр12!H10:H192)</f>
        <v>0</v>
      </c>
      <c r="E119" s="535">
        <f>SUMIF(Пр12!E10:E192,1402,Пр12!I10:I192)</f>
        <v>0</v>
      </c>
    </row>
    <row r="120" spans="1:5" ht="45.75" hidden="1" thickBot="1" x14ac:dyDescent="0.3">
      <c r="A120" s="533">
        <v>1403</v>
      </c>
      <c r="B120" s="536" t="s">
        <v>187</v>
      </c>
      <c r="C120" s="535">
        <f>SUMIF(Пр12!C10:C192,1403,Пр12!G10:G192)</f>
        <v>0</v>
      </c>
      <c r="D120" s="535">
        <f>SUMIF(Пр12!D10:D192,1403,Пр12!H10:H192)</f>
        <v>0</v>
      </c>
      <c r="E120" s="535">
        <f>SUMIF(Пр12!E10:E192,1403,Пр12!I10:I192)</f>
        <v>0</v>
      </c>
    </row>
    <row r="121" spans="1:5" ht="16.5" thickBot="1" x14ac:dyDescent="0.3">
      <c r="A121" s="602" t="s">
        <v>69</v>
      </c>
      <c r="B121" s="602"/>
      <c r="C121" s="548">
        <f>C9+C23+C33+C46+C59+C65+C71+C81+C96+C103+C109+C114+C117</f>
        <v>253792578</v>
      </c>
      <c r="D121" s="548">
        <f t="shared" ref="D121:E121" si="13">D9+D23+D33+D46+D59+D65+D71+D81+D96+D103+D109+D114+D117</f>
        <v>59114471.110000007</v>
      </c>
      <c r="E121" s="548">
        <f t="shared" si="13"/>
        <v>194678106.88999999</v>
      </c>
    </row>
    <row r="122" spans="1:5" ht="16.5" thickBot="1" x14ac:dyDescent="0.3">
      <c r="A122" s="603" t="s">
        <v>188</v>
      </c>
      <c r="B122" s="603"/>
      <c r="C122" s="549">
        <v>0</v>
      </c>
      <c r="D122" s="539">
        <f>Пр2!K66-Пр4!D121</f>
        <v>1280471.6199999899</v>
      </c>
      <c r="E122" s="539">
        <v>0</v>
      </c>
    </row>
  </sheetData>
  <mergeCells count="7">
    <mergeCell ref="A121:B121"/>
    <mergeCell ref="A122:B122"/>
    <mergeCell ref="A1:E1"/>
    <mergeCell ref="A4:E4"/>
    <mergeCell ref="A6:E6"/>
    <mergeCell ref="A2:D2"/>
    <mergeCell ref="A3:D3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0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showGridLines="0" view="pageBreakPreview" zoomScale="115" zoomScaleSheetLayoutView="115" workbookViewId="0">
      <selection activeCell="E55" sqref="E55"/>
    </sheetView>
  </sheetViews>
  <sheetFormatPr defaultColWidth="9.140625" defaultRowHeight="14.25" x14ac:dyDescent="0.2"/>
  <cols>
    <col min="1" max="1" width="10.7109375" style="570" customWidth="1"/>
    <col min="2" max="2" width="50.28515625" style="571" customWidth="1"/>
    <col min="3" max="3" width="15" style="572" hidden="1" customWidth="1"/>
    <col min="4" max="4" width="14.28515625" style="572" hidden="1" customWidth="1"/>
    <col min="5" max="5" width="14.5703125" style="572" customWidth="1"/>
    <col min="6" max="6" width="0.28515625" style="572" hidden="1" customWidth="1"/>
    <col min="7" max="7" width="12.28515625" style="550" hidden="1" customWidth="1"/>
    <col min="8" max="8" width="14.28515625" style="550" customWidth="1"/>
    <col min="9" max="16384" width="9.140625" style="550"/>
  </cols>
  <sheetData>
    <row r="1" spans="1:8" ht="15" x14ac:dyDescent="0.25">
      <c r="A1" s="604" t="s">
        <v>191</v>
      </c>
      <c r="B1" s="604"/>
      <c r="C1" s="604"/>
      <c r="D1" s="604"/>
      <c r="E1" s="604"/>
      <c r="F1" s="604"/>
      <c r="G1" s="604"/>
      <c r="H1" s="604"/>
    </row>
    <row r="2" spans="1:8" ht="15" x14ac:dyDescent="0.25">
      <c r="A2" s="604" t="s">
        <v>583</v>
      </c>
      <c r="B2" s="604"/>
      <c r="C2" s="604"/>
      <c r="D2" s="604"/>
      <c r="E2" s="604"/>
      <c r="F2" s="604"/>
      <c r="G2" s="604"/>
      <c r="H2" s="604"/>
    </row>
    <row r="3" spans="1:8" ht="15" x14ac:dyDescent="0.25">
      <c r="A3" s="604" t="s">
        <v>584</v>
      </c>
      <c r="B3" s="604"/>
      <c r="C3" s="604"/>
      <c r="D3" s="604"/>
      <c r="E3" s="604"/>
      <c r="F3" s="604"/>
      <c r="G3" s="604"/>
      <c r="H3" s="604"/>
    </row>
    <row r="4" spans="1:8" ht="15" x14ac:dyDescent="0.25">
      <c r="A4" s="604" t="s">
        <v>858</v>
      </c>
      <c r="B4" s="604"/>
      <c r="C4" s="604"/>
      <c r="D4" s="604"/>
      <c r="E4" s="604"/>
      <c r="F4" s="604"/>
      <c r="G4" s="604"/>
      <c r="H4" s="604"/>
    </row>
    <row r="5" spans="1:8" ht="1.5" customHeight="1" x14ac:dyDescent="0.2">
      <c r="A5" s="606" t="s">
        <v>599</v>
      </c>
      <c r="B5" s="606"/>
      <c r="C5" s="606"/>
      <c r="D5" s="606"/>
      <c r="E5" s="606"/>
      <c r="F5" s="606"/>
      <c r="G5" s="606"/>
      <c r="H5" s="606"/>
    </row>
    <row r="6" spans="1:8" ht="44.25" customHeight="1" x14ac:dyDescent="0.2">
      <c r="A6" s="606"/>
      <c r="B6" s="606"/>
      <c r="C6" s="606"/>
      <c r="D6" s="606"/>
      <c r="E6" s="606"/>
      <c r="F6" s="606"/>
      <c r="G6" s="606"/>
      <c r="H6" s="606"/>
    </row>
    <row r="7" spans="1:8" ht="8.25" customHeight="1" thickBot="1" x14ac:dyDescent="0.25">
      <c r="A7" s="551"/>
      <c r="B7" s="552"/>
      <c r="C7" s="608"/>
      <c r="D7" s="608"/>
      <c r="E7" s="608"/>
      <c r="F7" s="608"/>
      <c r="G7" s="608"/>
      <c r="H7" s="608"/>
    </row>
    <row r="8" spans="1:8" ht="30.75" customHeight="1" thickBot="1" x14ac:dyDescent="0.25">
      <c r="A8" s="528" t="s">
        <v>75</v>
      </c>
      <c r="B8" s="553" t="s">
        <v>76</v>
      </c>
      <c r="C8" s="554" t="s">
        <v>819</v>
      </c>
      <c r="D8" s="554" t="s">
        <v>285</v>
      </c>
      <c r="E8" s="554" t="s">
        <v>821</v>
      </c>
      <c r="F8" s="554" t="s">
        <v>820</v>
      </c>
      <c r="G8" s="529" t="s">
        <v>285</v>
      </c>
      <c r="H8" s="529" t="s">
        <v>823</v>
      </c>
    </row>
    <row r="9" spans="1:8" ht="15" thickBot="1" x14ac:dyDescent="0.25">
      <c r="A9" s="555">
        <v>100</v>
      </c>
      <c r="B9" s="556" t="s">
        <v>78</v>
      </c>
      <c r="C9" s="557">
        <f>SUM(C10:C22)</f>
        <v>19962258</v>
      </c>
      <c r="D9" s="557">
        <f t="shared" ref="D9:H9" ca="1" si="0">SUM(D10:D22)</f>
        <v>0</v>
      </c>
      <c r="E9" s="557">
        <f t="shared" ca="1" si="0"/>
        <v>19962258</v>
      </c>
      <c r="F9" s="557">
        <f t="shared" si="0"/>
        <v>18789932</v>
      </c>
      <c r="G9" s="557">
        <f t="shared" ca="1" si="0"/>
        <v>0</v>
      </c>
      <c r="H9" s="557">
        <f t="shared" si="0"/>
        <v>18789932</v>
      </c>
    </row>
    <row r="10" spans="1:8" ht="30.75" hidden="1" thickBot="1" x14ac:dyDescent="0.3">
      <c r="A10" s="533">
        <v>101</v>
      </c>
      <c r="B10" s="558" t="s">
        <v>79</v>
      </c>
      <c r="C10" s="559">
        <f>SUMIF(Пр13!C$10:C$121,101,Пр13!G$10:G$121)</f>
        <v>0</v>
      </c>
      <c r="D10" s="559">
        <f>SUMIF(Пр13!D$10:D$121,101,Пр13!H$10:H$121)</f>
        <v>0</v>
      </c>
      <c r="E10" s="559">
        <f>SUMIF(Пр13!C$10:C$121,101,Пр13!I$10:I$121)</f>
        <v>0</v>
      </c>
      <c r="F10" s="559">
        <f>SUMIF(Пр13!D$10:D$121,101,Пр13!J$10:J$121)</f>
        <v>0</v>
      </c>
      <c r="G10" s="535">
        <f>SUMIF(Пр13!E$10:E$121,101,Пр13!K$10:K$121)</f>
        <v>0</v>
      </c>
      <c r="H10" s="535">
        <f>SUMIF(Пр13!F$10:F$121,101,Пр13!L$10:L$121)</f>
        <v>0</v>
      </c>
    </row>
    <row r="11" spans="1:8" ht="45.75" hidden="1" thickBot="1" x14ac:dyDescent="0.3">
      <c r="A11" s="533">
        <v>102</v>
      </c>
      <c r="B11" s="558" t="s">
        <v>80</v>
      </c>
      <c r="C11" s="559">
        <f>SUMIF(Пр13!C$10:C121,102,Пр13!G$10:G121)</f>
        <v>0</v>
      </c>
      <c r="D11" s="559">
        <f ca="1">SUMIF(Пр13!C$10:D121,102,Пр13!H$10:H121)</f>
        <v>0</v>
      </c>
      <c r="E11" s="559">
        <f ca="1">SUMIF(Пр13!C$10:E121,102,Пр13!I$10:I121)</f>
        <v>0</v>
      </c>
      <c r="F11" s="559">
        <f>SUMIF(Пр13!$C$10:$C121,$A11,Пр13!J$10:J121)</f>
        <v>0</v>
      </c>
      <c r="G11" s="535">
        <f>SUMIF(Пр13!$C$10:$C121,$A11,Пр13!K$10:K121)</f>
        <v>0</v>
      </c>
      <c r="H11" s="535">
        <f>SUMIF(Пр13!$C$10:$C121,$A11,Пр13!L$10:L121)</f>
        <v>0</v>
      </c>
    </row>
    <row r="12" spans="1:8" ht="47.25" customHeight="1" thickBot="1" x14ac:dyDescent="0.3">
      <c r="A12" s="533">
        <v>103</v>
      </c>
      <c r="B12" s="558" t="s">
        <v>81</v>
      </c>
      <c r="C12" s="559">
        <f>SUMIF(Пр13!C$10:C122,103,Пр13!G$10:G122)</f>
        <v>985756</v>
      </c>
      <c r="D12" s="559">
        <f>SUMIF(Пр13!D$10:D122,103,Пр13!H$10:H122)</f>
        <v>0</v>
      </c>
      <c r="E12" s="559">
        <f>SUMIF(Пр13!$C$10:$C122,$A12,Пр13!I$10:I122)</f>
        <v>985756</v>
      </c>
      <c r="F12" s="559">
        <f>SUMIF(Пр13!$C$10:$C122,$A12,Пр13!J$10:J122)</f>
        <v>985756</v>
      </c>
      <c r="G12" s="535">
        <f ca="1">SUMIF(Пр13!E$10:G122,103,Пр13!K$10:K122)</f>
        <v>0</v>
      </c>
      <c r="H12" s="535">
        <f>SUMIF(Пр13!$C$10:$C122,$A12,Пр13!L$10:L122)</f>
        <v>985756</v>
      </c>
    </row>
    <row r="13" spans="1:8" ht="60.75" hidden="1" thickBot="1" x14ac:dyDescent="0.3">
      <c r="A13" s="533">
        <v>104</v>
      </c>
      <c r="B13" s="558" t="s">
        <v>82</v>
      </c>
      <c r="C13" s="559">
        <f>SUMIF(Пр13!C$10:C123,104,Пр13!G$10:G123)</f>
        <v>0</v>
      </c>
      <c r="D13" s="559">
        <f ca="1">SUMIF(Пр13!C$10:D123,104,Пр13!H$10:H123)</f>
        <v>0</v>
      </c>
      <c r="E13" s="559">
        <f>SUMIF(Пр13!$C$10:$C123,$A13,Пр13!I$10:I123)</f>
        <v>0</v>
      </c>
      <c r="F13" s="559">
        <f>SUMIF(Пр13!$C$10:$C123,$A13,Пр13!J$10:J123)</f>
        <v>0</v>
      </c>
      <c r="G13" s="535">
        <f>SUMIF(Пр13!$C$10:$C123,$A13,Пр13!K$10:K123)</f>
        <v>0</v>
      </c>
      <c r="H13" s="535">
        <f>SUMIF(Пр13!$C$10:$C123,$A13,Пр13!L$10:L123)</f>
        <v>0</v>
      </c>
    </row>
    <row r="14" spans="1:8" ht="15.75" hidden="1" thickBot="1" x14ac:dyDescent="0.3">
      <c r="A14" s="533">
        <v>105</v>
      </c>
      <c r="B14" s="558" t="s">
        <v>83</v>
      </c>
      <c r="C14" s="559">
        <f>SUMIF(Пр13!C$10:C124,105,Пр13!G$10:G124)</f>
        <v>0</v>
      </c>
      <c r="D14" s="559">
        <f ca="1">SUMIF(Пр13!C$10:D124,105,Пр13!H$10:H124)</f>
        <v>0</v>
      </c>
      <c r="E14" s="559">
        <f>SUMIF(Пр13!$C$10:$C124,$A14,Пр13!I$10:I124)</f>
        <v>0</v>
      </c>
      <c r="F14" s="559">
        <f>SUMIF(Пр13!$C$10:$C124,$A14,Пр13!J$10:J124)</f>
        <v>0</v>
      </c>
      <c r="G14" s="535">
        <f>SUMIF(Пр13!$C$10:$C124,$A14,Пр13!K$10:K124)</f>
        <v>0</v>
      </c>
      <c r="H14" s="535">
        <f>SUMIF(Пр13!$C$10:$C124,$A14,Пр13!L$10:L124)</f>
        <v>0</v>
      </c>
    </row>
    <row r="15" spans="1:8" ht="45.75" thickBot="1" x14ac:dyDescent="0.3">
      <c r="A15" s="533">
        <v>106</v>
      </c>
      <c r="B15" s="558" t="s">
        <v>84</v>
      </c>
      <c r="C15" s="559">
        <f>SUMIF(Пр13!C$10:C125,106,Пр13!G$10:G125)</f>
        <v>53095</v>
      </c>
      <c r="D15" s="559">
        <f ca="1">SUMIF(Пр13!C$10:D125,106,Пр13!H$10:H125)</f>
        <v>0</v>
      </c>
      <c r="E15" s="559">
        <f>SUMIF(Пр13!$C$10:$C125,$A15,Пр13!I$10:I125)</f>
        <v>53095</v>
      </c>
      <c r="F15" s="559">
        <f>SUMIF(Пр13!$C$10:$C125,$A15,Пр13!J$10:J125)</f>
        <v>53095</v>
      </c>
      <c r="G15" s="535">
        <f>SUMIF(Пр13!$C$10:$C125,$A15,Пр13!K$10:K125)</f>
        <v>0</v>
      </c>
      <c r="H15" s="535">
        <f>SUMIF(Пр13!$C$10:$C125,$A15,Пр13!L$10:L125)</f>
        <v>53095</v>
      </c>
    </row>
    <row r="16" spans="1:8" ht="15.75" hidden="1" thickBot="1" x14ac:dyDescent="0.3">
      <c r="A16" s="533">
        <v>107</v>
      </c>
      <c r="B16" s="558" t="s">
        <v>85</v>
      </c>
      <c r="C16" s="559">
        <f>SUMIF(Пр13!C$10:C126,107,Пр13!G$10:G126)</f>
        <v>0</v>
      </c>
      <c r="D16" s="559">
        <f ca="1">SUMIF(Пр13!C$10:D126,107,Пр13!H$10:H126)</f>
        <v>0</v>
      </c>
      <c r="E16" s="559">
        <f>SUMIF(Пр13!$C$10:$C126,$A16,Пр13!I$10:I126)</f>
        <v>0</v>
      </c>
      <c r="F16" s="559">
        <f>SUMIF(Пр13!$C$10:$C126,$A16,Пр13!J$10:J126)</f>
        <v>0</v>
      </c>
      <c r="G16" s="535">
        <f>SUMIF(Пр13!$C$10:$C126,$A16,Пр13!K$10:K126)</f>
        <v>0</v>
      </c>
      <c r="H16" s="535">
        <f>SUMIF(Пр13!$C$10:$C126,$A16,Пр13!L$10:L126)</f>
        <v>0</v>
      </c>
    </row>
    <row r="17" spans="1:8" ht="30.75" hidden="1" thickBot="1" x14ac:dyDescent="0.3">
      <c r="A17" s="533">
        <v>108</v>
      </c>
      <c r="B17" s="558" t="s">
        <v>86</v>
      </c>
      <c r="C17" s="559">
        <f>SUMIF(Пр13!C$10:C127,108,Пр13!G$10:G127)</f>
        <v>0</v>
      </c>
      <c r="D17" s="559">
        <f ca="1">SUMIF(Пр13!C$10:D127,108,Пр13!H$10:H127)</f>
        <v>0</v>
      </c>
      <c r="E17" s="559">
        <f>SUMIF(Пр13!$C$10:$C127,$A17,Пр13!I$10:I127)</f>
        <v>0</v>
      </c>
      <c r="F17" s="559">
        <f>SUMIF(Пр13!$C$10:$C127,$A17,Пр13!J$10:J127)</f>
        <v>0</v>
      </c>
      <c r="G17" s="535">
        <f>SUMIF(Пр13!$C$10:$C127,$A17,Пр13!K$10:K127)</f>
        <v>0</v>
      </c>
      <c r="H17" s="535">
        <f>SUMIF(Пр13!$C$10:$C127,$A17,Пр13!L$10:L127)</f>
        <v>0</v>
      </c>
    </row>
    <row r="18" spans="1:8" ht="15.75" hidden="1" thickBot="1" x14ac:dyDescent="0.3">
      <c r="A18" s="533">
        <v>109</v>
      </c>
      <c r="B18" s="558" t="s">
        <v>87</v>
      </c>
      <c r="C18" s="559">
        <f>SUMIF(Пр13!C$10:C128,109,Пр13!G$10:G128)</f>
        <v>0</v>
      </c>
      <c r="D18" s="559">
        <f ca="1">SUMIF(Пр13!C$10:D128,109,Пр13!H$10:H128)</f>
        <v>0</v>
      </c>
      <c r="E18" s="559">
        <f>SUMIF(Пр13!$C$10:$C128,$A18,Пр13!I$10:I128)</f>
        <v>0</v>
      </c>
      <c r="F18" s="559">
        <f>SUMIF(Пр13!$C$10:$C128,$A18,Пр13!J$10:J128)</f>
        <v>0</v>
      </c>
      <c r="G18" s="535">
        <f>SUMIF(Пр13!$C$10:$C128,$A18,Пр13!K$10:K128)</f>
        <v>0</v>
      </c>
      <c r="H18" s="535">
        <f>SUMIF(Пр13!$C$10:$C128,$A18,Пр13!L$10:L128)</f>
        <v>0</v>
      </c>
    </row>
    <row r="19" spans="1:8" ht="15.75" hidden="1" thickBot="1" x14ac:dyDescent="0.3">
      <c r="A19" s="533">
        <v>110</v>
      </c>
      <c r="B19" s="558" t="s">
        <v>88</v>
      </c>
      <c r="C19" s="559">
        <f>SUMIF(Пр13!C$10:C129,110,Пр13!G$10:G129)</f>
        <v>0</v>
      </c>
      <c r="D19" s="559">
        <f ca="1">SUMIF(Пр13!C$10:D129,110,Пр13!H$10:H129)</f>
        <v>0</v>
      </c>
      <c r="E19" s="559">
        <f>SUMIF(Пр13!$C$10:$C129,$A19,Пр13!I$10:I129)</f>
        <v>0</v>
      </c>
      <c r="F19" s="559">
        <f>SUMIF(Пр13!$C$10:$C129,$A19,Пр13!J$10:J129)</f>
        <v>0</v>
      </c>
      <c r="G19" s="535">
        <f>SUMIF(Пр13!$C$10:$C129,$A19,Пр13!K$10:K129)</f>
        <v>0</v>
      </c>
      <c r="H19" s="535">
        <f>SUMIF(Пр13!$C$10:$C129,$A19,Пр13!L$10:L129)</f>
        <v>0</v>
      </c>
    </row>
    <row r="20" spans="1:8" ht="15.75" hidden="1" thickBot="1" x14ac:dyDescent="0.3">
      <c r="A20" s="533">
        <v>111</v>
      </c>
      <c r="B20" s="558" t="s">
        <v>89</v>
      </c>
      <c r="C20" s="559">
        <f>SUMIF(Пр13!C$10:C130,111,Пр13!G$10:G130)</f>
        <v>0</v>
      </c>
      <c r="D20" s="559">
        <f ca="1">SUMIF(Пр13!C$10:D130,111,Пр13!H$10:H130)</f>
        <v>0</v>
      </c>
      <c r="E20" s="559">
        <f>SUMIF(Пр13!$C$10:$C130,$A20,Пр13!I$10:I130)</f>
        <v>0</v>
      </c>
      <c r="F20" s="559">
        <f>SUMIF(Пр13!$C$10:$C130,$A20,Пр13!J$10:J130)</f>
        <v>0</v>
      </c>
      <c r="G20" s="535">
        <f>SUMIF(Пр13!$C$10:$C130,$A20,Пр13!K$10:K130)</f>
        <v>0</v>
      </c>
      <c r="H20" s="535">
        <f>SUMIF(Пр13!$C$10:$C130,$A20,Пр13!L$10:L130)</f>
        <v>0</v>
      </c>
    </row>
    <row r="21" spans="1:8" ht="30.75" hidden="1" thickBot="1" x14ac:dyDescent="0.3">
      <c r="A21" s="533">
        <v>112</v>
      </c>
      <c r="B21" s="558" t="s">
        <v>90</v>
      </c>
      <c r="C21" s="559">
        <f>SUMIF(Пр13!C$10:C131,112,Пр13!G$10:G131)</f>
        <v>0</v>
      </c>
      <c r="D21" s="559">
        <f ca="1">SUMIF(Пр13!C$10:D131,112,Пр13!H$10:H131)</f>
        <v>0</v>
      </c>
      <c r="E21" s="559">
        <f ca="1">SUMIF(Пр13!C$10:E131,112,Пр13!I$10:I131)</f>
        <v>0</v>
      </c>
      <c r="F21" s="559">
        <f>SUMIF(Пр13!$C$10:$C131,$A21,Пр13!J$10:J131)</f>
        <v>0</v>
      </c>
      <c r="G21" s="535">
        <f>SUMIF(Пр13!$C$10:$C131,$A21,Пр13!K$10:K131)</f>
        <v>0</v>
      </c>
      <c r="H21" s="535">
        <f>SUMIF(Пр13!$C$10:$C131,$A21,Пр13!L$10:L131)</f>
        <v>0</v>
      </c>
    </row>
    <row r="22" spans="1:8" ht="15.75" thickBot="1" x14ac:dyDescent="0.3">
      <c r="A22" s="533">
        <v>113</v>
      </c>
      <c r="B22" s="558" t="s">
        <v>91</v>
      </c>
      <c r="C22" s="559">
        <f>SUMIF(Пр13!C$10:C132,113,Пр13!G$10:G132)</f>
        <v>18923407</v>
      </c>
      <c r="D22" s="559">
        <f ca="1">SUMIF(Пр13!C$10:D132,113,Пр13!H$10:H132)</f>
        <v>0</v>
      </c>
      <c r="E22" s="559">
        <f ca="1">SUMIF(Пр13!C$10:E132,113,Пр13!I$10:I132)</f>
        <v>18923407</v>
      </c>
      <c r="F22" s="559">
        <f>SUMIF(Пр13!$C$10:$C132,$A22,Пр13!J$10:J132)</f>
        <v>17751081</v>
      </c>
      <c r="G22" s="535">
        <f>SUMIF(Пр13!$C$10:$C132,$A22,Пр13!K$10:K132)</f>
        <v>0</v>
      </c>
      <c r="H22" s="535">
        <f>SUMIF(Пр13!$C$10:$C132,$A22,Пр13!L$10:L132)</f>
        <v>17751081</v>
      </c>
    </row>
    <row r="23" spans="1:8" ht="15" hidden="1" thickBot="1" x14ac:dyDescent="0.25">
      <c r="A23" s="560">
        <v>200</v>
      </c>
      <c r="B23" s="561" t="s">
        <v>92</v>
      </c>
      <c r="C23" s="562">
        <f ca="1">SUM(C24:C32)</f>
        <v>0</v>
      </c>
      <c r="D23" s="562">
        <f t="shared" ref="D23:E23" ca="1" si="1">SUM(D24:D32)</f>
        <v>0</v>
      </c>
      <c r="E23" s="562">
        <f t="shared" ca="1" si="1"/>
        <v>0</v>
      </c>
      <c r="F23" s="562">
        <f t="shared" ref="F23" ca="1" si="2">SUM(F24:F32)</f>
        <v>0</v>
      </c>
      <c r="G23" s="539">
        <f t="shared" ref="G23" ca="1" si="3">SUM(G24:G32)</f>
        <v>0</v>
      </c>
      <c r="H23" s="539">
        <f t="shared" ref="H23" ca="1" si="4">SUM(H24:H32)</f>
        <v>0</v>
      </c>
    </row>
    <row r="24" spans="1:8" ht="15.75" hidden="1" thickBot="1" x14ac:dyDescent="0.3">
      <c r="A24" s="533">
        <v>201</v>
      </c>
      <c r="B24" s="558" t="s">
        <v>93</v>
      </c>
      <c r="C24" s="559">
        <f>SUMIF(Пр13!$C10:$C121,201,Пр13!G10:G121)</f>
        <v>0</v>
      </c>
      <c r="D24" s="559">
        <f>SUMIF(Пр13!$C10:$C121,201,Пр13!H10:H121)</f>
        <v>0</v>
      </c>
      <c r="E24" s="559">
        <f>SUMIF(Пр13!$C10:$C121,201,Пр13!I10:I121)</f>
        <v>0</v>
      </c>
      <c r="F24" s="559">
        <f>SUMIF(Пр13!$C10:$C121,201,Пр13!J10:J121)</f>
        <v>0</v>
      </c>
      <c r="G24" s="535">
        <f>SUMIF(Пр13!$C10:$C121,201,Пр13!K10:K121)</f>
        <v>0</v>
      </c>
      <c r="H24" s="535">
        <f>SUMIF(Пр13!$C10:$C121,201,Пр13!L10:L121)</f>
        <v>0</v>
      </c>
    </row>
    <row r="25" spans="1:8" ht="30.75" hidden="1" thickBot="1" x14ac:dyDescent="0.3">
      <c r="A25" s="533">
        <v>202</v>
      </c>
      <c r="B25" s="558" t="s">
        <v>94</v>
      </c>
      <c r="C25" s="559">
        <f>SUMIF(Пр13!$C10:$C121,202,Пр13!G10:G121)</f>
        <v>0</v>
      </c>
      <c r="D25" s="559">
        <f>SUMIF(Пр13!$C10:$C121,202,Пр13!H10:H121)</f>
        <v>0</v>
      </c>
      <c r="E25" s="559">
        <f>SUMIF(Пр13!$C10:$C121,202,Пр13!I10:I121)</f>
        <v>0</v>
      </c>
      <c r="F25" s="559">
        <f>SUMIF(Пр13!$C10:$C121,202,Пр13!J10:J121)</f>
        <v>0</v>
      </c>
      <c r="G25" s="535">
        <f>SUMIF(Пр13!$C10:$C121,202,Пр13!K10:K121)</f>
        <v>0</v>
      </c>
      <c r="H25" s="535">
        <f>SUMIF(Пр13!$C10:$C121,202,Пр13!L10:L121)</f>
        <v>0</v>
      </c>
    </row>
    <row r="26" spans="1:8" ht="15.75" hidden="1" thickBot="1" x14ac:dyDescent="0.3">
      <c r="A26" s="533">
        <v>203</v>
      </c>
      <c r="B26" s="558" t="s">
        <v>95</v>
      </c>
      <c r="C26" s="559">
        <f>SUMIF(Пр13!$C10:$C121,203,Пр13!G10:G121)</f>
        <v>0</v>
      </c>
      <c r="D26" s="559">
        <f>SUMIF(Пр13!$C10:$C121,203,Пр13!H10:H121)</f>
        <v>0</v>
      </c>
      <c r="E26" s="559">
        <f>SUMIF(Пр13!$C10:$C121,203,Пр13!I10:I121)</f>
        <v>0</v>
      </c>
      <c r="F26" s="559">
        <f>SUMIF(Пр13!$C10:$C121,203,Пр13!J10:J121)</f>
        <v>0</v>
      </c>
      <c r="G26" s="535">
        <f>SUMIF(Пр13!$C10:$C121,203,Пр13!K10:K121)</f>
        <v>0</v>
      </c>
      <c r="H26" s="535">
        <f>SUMIF(Пр13!$C10:$C121,203,Пр13!L10:L121)</f>
        <v>0</v>
      </c>
    </row>
    <row r="27" spans="1:8" ht="15.75" hidden="1" thickBot="1" x14ac:dyDescent="0.3">
      <c r="A27" s="533">
        <v>204</v>
      </c>
      <c r="B27" s="558" t="s">
        <v>96</v>
      </c>
      <c r="C27" s="559">
        <f ca="1">SUMIF(Пр13!$C14:$C122,204,Пр13!G14:G121)</f>
        <v>0</v>
      </c>
      <c r="D27" s="559">
        <f ca="1">SUMIF(Пр13!$C14:$C122,204,Пр13!H14:H121)</f>
        <v>0</v>
      </c>
      <c r="E27" s="559">
        <f ca="1">SUMIF(Пр13!$C14:$C122,204,Пр13!I14:I121)</f>
        <v>0</v>
      </c>
      <c r="F27" s="559">
        <f ca="1">SUMIF(Пр13!$C14:$C122,204,Пр13!J14:J121)</f>
        <v>0</v>
      </c>
      <c r="G27" s="535">
        <f ca="1">SUMIF(Пр13!$C14:$C122,204,Пр13!K14:K121)</f>
        <v>0</v>
      </c>
      <c r="H27" s="535">
        <f ca="1">SUMIF(Пр13!$C14:$C122,204,Пр13!L14:L121)</f>
        <v>0</v>
      </c>
    </row>
    <row r="28" spans="1:8" ht="30.75" hidden="1" thickBot="1" x14ac:dyDescent="0.3">
      <c r="A28" s="533">
        <v>205</v>
      </c>
      <c r="B28" s="558" t="s">
        <v>97</v>
      </c>
      <c r="C28" s="559">
        <f ca="1">SUMIF(Пр13!$C15:$C123,205,Пр13!G15:G121)</f>
        <v>0</v>
      </c>
      <c r="D28" s="559">
        <f ca="1">SUMIF(Пр13!$C15:$C123,205,Пр13!H15:H121)</f>
        <v>0</v>
      </c>
      <c r="E28" s="559">
        <f ca="1">SUMIF(Пр13!$C15:$C123,205,Пр13!I15:I121)</f>
        <v>0</v>
      </c>
      <c r="F28" s="559">
        <f ca="1">SUMIF(Пр13!$C15:$C123,205,Пр13!J15:J121)</f>
        <v>0</v>
      </c>
      <c r="G28" s="535">
        <f ca="1">SUMIF(Пр13!$C15:$C123,205,Пр13!K15:K121)</f>
        <v>0</v>
      </c>
      <c r="H28" s="535">
        <f ca="1">SUMIF(Пр13!$C15:$C123,205,Пр13!L15:L121)</f>
        <v>0</v>
      </c>
    </row>
    <row r="29" spans="1:8" ht="15.75" hidden="1" thickBot="1" x14ac:dyDescent="0.3">
      <c r="A29" s="533">
        <v>206</v>
      </c>
      <c r="B29" s="558" t="s">
        <v>98</v>
      </c>
      <c r="C29" s="559">
        <f ca="1">SUMIF(Пр13!$C15:$C124,206,Пр13!G15:G121)</f>
        <v>0</v>
      </c>
      <c r="D29" s="559">
        <f ca="1">SUMIF(Пр13!$C15:$C124,206,Пр13!H15:H121)</f>
        <v>0</v>
      </c>
      <c r="E29" s="559">
        <f ca="1">SUMIF(Пр13!$C15:$C124,206,Пр13!I15:I121)</f>
        <v>0</v>
      </c>
      <c r="F29" s="559">
        <f ca="1">SUMIF(Пр13!$C15:$C124,206,Пр13!J15:J121)</f>
        <v>0</v>
      </c>
      <c r="G29" s="535">
        <f ca="1">SUMIF(Пр13!$C15:$C124,206,Пр13!K15:K121)</f>
        <v>0</v>
      </c>
      <c r="H29" s="535">
        <f ca="1">SUMIF(Пр13!$C15:$C124,206,Пр13!L15:L121)</f>
        <v>0</v>
      </c>
    </row>
    <row r="30" spans="1:8" ht="30.75" hidden="1" thickBot="1" x14ac:dyDescent="0.3">
      <c r="A30" s="533">
        <v>207</v>
      </c>
      <c r="B30" s="558" t="s">
        <v>99</v>
      </c>
      <c r="C30" s="559">
        <f ca="1">SUMIF(Пр13!$C16:$C125,207,Пр13!G16:G121)</f>
        <v>0</v>
      </c>
      <c r="D30" s="559">
        <f ca="1">SUMIF(Пр13!$C16:$C125,207,Пр13!H16:H121)</f>
        <v>0</v>
      </c>
      <c r="E30" s="559">
        <f ca="1">SUMIF(Пр13!$C16:$C125,207,Пр13!I16:I121)</f>
        <v>0</v>
      </c>
      <c r="F30" s="559">
        <f ca="1">SUMIF(Пр13!$C16:$C125,207,Пр13!J16:J121)</f>
        <v>0</v>
      </c>
      <c r="G30" s="535">
        <f ca="1">SUMIF(Пр13!$C16:$C125,207,Пр13!K16:K121)</f>
        <v>0</v>
      </c>
      <c r="H30" s="535">
        <f ca="1">SUMIF(Пр13!$C16:$C125,207,Пр13!L16:L121)</f>
        <v>0</v>
      </c>
    </row>
    <row r="31" spans="1:8" ht="30.75" hidden="1" thickBot="1" x14ac:dyDescent="0.3">
      <c r="A31" s="533">
        <v>208</v>
      </c>
      <c r="B31" s="558" t="s">
        <v>100</v>
      </c>
      <c r="C31" s="559">
        <f ca="1">SUMIF(Пр13!$C17:$C126,208,Пр13!G17:G121)</f>
        <v>0</v>
      </c>
      <c r="D31" s="559">
        <f ca="1">SUMIF(Пр13!$C17:$C126,208,Пр13!H17:H121)</f>
        <v>0</v>
      </c>
      <c r="E31" s="559">
        <f ca="1">SUMIF(Пр13!$C17:$C126,208,Пр13!I17:I121)</f>
        <v>0</v>
      </c>
      <c r="F31" s="559">
        <f ca="1">SUMIF(Пр13!$C17:$C126,208,Пр13!J17:J121)</f>
        <v>0</v>
      </c>
      <c r="G31" s="535">
        <f ca="1">SUMIF(Пр13!$C17:$C126,208,Пр13!K17:K121)</f>
        <v>0</v>
      </c>
      <c r="H31" s="535">
        <f ca="1">SUMIF(Пр13!$C17:$C126,208,Пр13!L17:L121)</f>
        <v>0</v>
      </c>
    </row>
    <row r="32" spans="1:8" ht="15.75" hidden="1" thickBot="1" x14ac:dyDescent="0.3">
      <c r="A32" s="533">
        <v>209</v>
      </c>
      <c r="B32" s="558" t="s">
        <v>101</v>
      </c>
      <c r="C32" s="559">
        <f ca="1">SUMIF(Пр13!$C18:$C127,209,Пр13!G18:G121)</f>
        <v>0</v>
      </c>
      <c r="D32" s="559">
        <f ca="1">SUMIF(Пр13!$C18:$C127,209,Пр13!H18:H121)</f>
        <v>0</v>
      </c>
      <c r="E32" s="559">
        <f ca="1">SUMIF(Пр13!$C18:$C127,209,Пр13!I18:I121)</f>
        <v>0</v>
      </c>
      <c r="F32" s="559">
        <f ca="1">SUMIF(Пр13!$C18:$C127,209,Пр13!J18:J121)</f>
        <v>0</v>
      </c>
      <c r="G32" s="535">
        <f ca="1">SUMIF(Пр13!$C18:$C127,209,Пр13!K18:K121)</f>
        <v>0</v>
      </c>
      <c r="H32" s="535">
        <f ca="1">SUMIF(Пр13!$C18:$C127,209,Пр13!L18:L121)</f>
        <v>0</v>
      </c>
    </row>
    <row r="33" spans="1:8" ht="33" customHeight="1" thickBot="1" x14ac:dyDescent="0.25">
      <c r="A33" s="555">
        <v>300</v>
      </c>
      <c r="B33" s="563" t="s">
        <v>102</v>
      </c>
      <c r="C33" s="557">
        <f ca="1">SUM(C34:C45)</f>
        <v>2150000</v>
      </c>
      <c r="D33" s="557">
        <f t="shared" ref="D33:E33" ca="1" si="5">SUM(D34:D45)</f>
        <v>0</v>
      </c>
      <c r="E33" s="557">
        <f t="shared" ca="1" si="5"/>
        <v>2150000</v>
      </c>
      <c r="F33" s="557">
        <f t="shared" ref="F33:H33" ca="1" si="6">SUM(F34:F45)</f>
        <v>2150000</v>
      </c>
      <c r="G33" s="557">
        <f t="shared" ca="1" si="6"/>
        <v>0</v>
      </c>
      <c r="H33" s="557">
        <f t="shared" ca="1" si="6"/>
        <v>2150000</v>
      </c>
    </row>
    <row r="34" spans="1:8" ht="15.75" hidden="1" thickBot="1" x14ac:dyDescent="0.3">
      <c r="A34" s="533">
        <v>303</v>
      </c>
      <c r="B34" s="558" t="s">
        <v>103</v>
      </c>
      <c r="C34" s="559">
        <f>SUMIF(Пр13!$C10:$C121,303,Пр13!G10:G121)</f>
        <v>0</v>
      </c>
      <c r="D34" s="559">
        <f>SUMIF(Пр13!$C10:$C121,303,Пр13!H10:H121)</f>
        <v>0</v>
      </c>
      <c r="E34" s="559">
        <f>SUMIF(Пр13!$C10:$C121,303,Пр13!I10:I121)</f>
        <v>0</v>
      </c>
      <c r="F34" s="559">
        <f>SUMIF(Пр13!$C10:$C121,303,Пр13!J10:J121)</f>
        <v>0</v>
      </c>
      <c r="G34" s="535">
        <f>SUMIF(Пр13!$C10:$C121,303,Пр13!K10:K121)</f>
        <v>0</v>
      </c>
      <c r="H34" s="535">
        <f>SUMIF(Пр13!$C10:$C121,303,Пр13!L10:L121)</f>
        <v>0</v>
      </c>
    </row>
    <row r="35" spans="1:8" ht="15.75" hidden="1" thickBot="1" x14ac:dyDescent="0.3">
      <c r="A35" s="533">
        <v>304</v>
      </c>
      <c r="B35" s="558" t="s">
        <v>104</v>
      </c>
      <c r="C35" s="559">
        <f>SUMIF(Пр13!$C11:$C121,304,Пр13!G11:G121)</f>
        <v>0</v>
      </c>
      <c r="D35" s="559">
        <f>SUMIF(Пр13!$C11:$C121,304,Пр13!H11:H121)</f>
        <v>0</v>
      </c>
      <c r="E35" s="559">
        <f>SUMIF(Пр13!$C11:$C121,304,Пр13!I11:I121)</f>
        <v>0</v>
      </c>
      <c r="F35" s="559">
        <f>SUMIF(Пр13!$C11:$C121,304,Пр13!J11:J121)</f>
        <v>0</v>
      </c>
      <c r="G35" s="535">
        <f>SUMIF(Пр13!$C11:$C121,304,Пр13!K11:K121)</f>
        <v>0</v>
      </c>
      <c r="H35" s="535">
        <f>SUMIF(Пр13!$C11:$C121,304,Пр13!L11:L121)</f>
        <v>0</v>
      </c>
    </row>
    <row r="36" spans="1:8" ht="15.75" hidden="1" thickBot="1" x14ac:dyDescent="0.3">
      <c r="A36" s="533">
        <v>305</v>
      </c>
      <c r="B36" s="558" t="s">
        <v>105</v>
      </c>
      <c r="C36" s="559">
        <f>SUMIF(Пр13!$C12:$C121,305,Пр13!G12:G121)</f>
        <v>0</v>
      </c>
      <c r="D36" s="559">
        <f>SUMIF(Пр13!$C12:$C121,305,Пр13!H12:H121)</f>
        <v>0</v>
      </c>
      <c r="E36" s="559">
        <f>SUMIF(Пр13!$C12:$C121,305,Пр13!I12:I121)</f>
        <v>0</v>
      </c>
      <c r="F36" s="559">
        <f>SUMIF(Пр13!$C12:$C121,305,Пр13!J12:J121)</f>
        <v>0</v>
      </c>
      <c r="G36" s="535">
        <f>SUMIF(Пр13!$C12:$C121,305,Пр13!K12:K121)</f>
        <v>0</v>
      </c>
      <c r="H36" s="535">
        <f>SUMIF(Пр13!$C12:$C121,305,Пр13!L12:L121)</f>
        <v>0</v>
      </c>
    </row>
    <row r="37" spans="1:8" ht="15.75" hidden="1" thickBot="1" x14ac:dyDescent="0.3">
      <c r="A37" s="533">
        <v>306</v>
      </c>
      <c r="B37" s="558" t="s">
        <v>106</v>
      </c>
      <c r="C37" s="559">
        <f ca="1">SUMIF(Пр13!$C14:$C122,306,Пр13!G14:G121)</f>
        <v>0</v>
      </c>
      <c r="D37" s="559">
        <f ca="1">SUMIF(Пр13!$C14:$C122,306,Пр13!H14:H121)</f>
        <v>0</v>
      </c>
      <c r="E37" s="559">
        <f ca="1">SUMIF(Пр13!$C14:$C122,306,Пр13!I14:I121)</f>
        <v>0</v>
      </c>
      <c r="F37" s="559">
        <f ca="1">SUMIF(Пр13!$C14:$C122,306,Пр13!J14:J121)</f>
        <v>0</v>
      </c>
      <c r="G37" s="535">
        <f ca="1">SUMIF(Пр13!$C14:$C122,306,Пр13!K14:K121)</f>
        <v>0</v>
      </c>
      <c r="H37" s="535">
        <f ca="1">SUMIF(Пр13!$C14:$C122,306,Пр13!L14:L121)</f>
        <v>0</v>
      </c>
    </row>
    <row r="38" spans="1:8" ht="15.75" hidden="1" thickBot="1" x14ac:dyDescent="0.3">
      <c r="A38" s="533">
        <v>307</v>
      </c>
      <c r="B38" s="558" t="s">
        <v>107</v>
      </c>
      <c r="C38" s="559">
        <f ca="1">SUMIF(Пр13!$C15:$C123,307,Пр13!G15:G121)</f>
        <v>0</v>
      </c>
      <c r="D38" s="559">
        <f ca="1">SUMIF(Пр13!$C15:$C123,307,Пр13!H15:H121)</f>
        <v>0</v>
      </c>
      <c r="E38" s="559">
        <f ca="1">SUMIF(Пр13!$C15:$C123,307,Пр13!I15:I121)</f>
        <v>0</v>
      </c>
      <c r="F38" s="559">
        <f ca="1">SUMIF(Пр13!$C15:$C123,307,Пр13!J15:J121)</f>
        <v>0</v>
      </c>
      <c r="G38" s="535">
        <f ca="1">SUMIF(Пр13!$C15:$C123,307,Пр13!K15:K121)</f>
        <v>0</v>
      </c>
      <c r="H38" s="535">
        <f ca="1">SUMIF(Пр13!$C15:$C123,307,Пр13!L15:L121)</f>
        <v>0</v>
      </c>
    </row>
    <row r="39" spans="1:8" ht="30.75" hidden="1" thickBot="1" x14ac:dyDescent="0.3">
      <c r="A39" s="533">
        <v>308</v>
      </c>
      <c r="B39" s="558" t="s">
        <v>108</v>
      </c>
      <c r="C39" s="559">
        <f ca="1">SUMIF(Пр13!$C15:$C124,308,Пр13!G15:G121)</f>
        <v>0</v>
      </c>
      <c r="D39" s="559">
        <f ca="1">SUMIF(Пр13!$C15:$C124,308,Пр13!H15:H121)</f>
        <v>0</v>
      </c>
      <c r="E39" s="559">
        <f ca="1">SUMIF(Пр13!$C15:$C124,308,Пр13!I15:I121)</f>
        <v>0</v>
      </c>
      <c r="F39" s="559">
        <f ca="1">SUMIF(Пр13!$C15:$C124,308,Пр13!J15:J121)</f>
        <v>0</v>
      </c>
      <c r="G39" s="535">
        <f ca="1">SUMIF(Пр13!$C15:$C124,308,Пр13!K15:K121)</f>
        <v>0</v>
      </c>
      <c r="H39" s="535">
        <f ca="1">SUMIF(Пр13!$C15:$C124,308,Пр13!L15:L121)</f>
        <v>0</v>
      </c>
    </row>
    <row r="40" spans="1:8" ht="45.75" thickBot="1" x14ac:dyDescent="0.3">
      <c r="A40" s="533">
        <v>309</v>
      </c>
      <c r="B40" s="558" t="s">
        <v>109</v>
      </c>
      <c r="C40" s="559">
        <f ca="1">SUMIF(Пр13!$C16:$C125,309,Пр13!G16:G121)</f>
        <v>2000000</v>
      </c>
      <c r="D40" s="559">
        <f ca="1">SUMIF(Пр13!$C16:$C125,309,Пр13!H16:H121)</f>
        <v>0</v>
      </c>
      <c r="E40" s="559">
        <f ca="1">SUMIF(Пр13!$C16:$C125,309,Пр13!I16:I121)</f>
        <v>2000000</v>
      </c>
      <c r="F40" s="559">
        <f ca="1">SUMIF(Пр13!$C16:$C125,309,Пр13!J16:J121)</f>
        <v>2000000</v>
      </c>
      <c r="G40" s="535">
        <f ca="1">SUMIF(Пр13!$C16:$C125,309,Пр13!K16:K121)</f>
        <v>0</v>
      </c>
      <c r="H40" s="535">
        <f ca="1">SUMIF(Пр13!$C16:$C125,309,Пр13!L16:L121)</f>
        <v>2000000</v>
      </c>
    </row>
    <row r="41" spans="1:8" ht="15.75" hidden="1" thickBot="1" x14ac:dyDescent="0.3">
      <c r="A41" s="533">
        <v>310</v>
      </c>
      <c r="B41" s="558" t="s">
        <v>110</v>
      </c>
      <c r="C41" s="559">
        <f ca="1">SUMIF(Пр13!$C17:$C126,310,Пр13!G17:G121)</f>
        <v>0</v>
      </c>
      <c r="D41" s="559">
        <f ca="1">SUMIF(Пр13!$C17:$C126,310,Пр13!H17:H121)</f>
        <v>0</v>
      </c>
      <c r="E41" s="559">
        <f ca="1">SUMIF(Пр13!$C17:$C126,310,Пр13!I17:I121)</f>
        <v>0</v>
      </c>
      <c r="F41" s="559">
        <f ca="1">SUMIF(Пр13!$C17:$C126,310,Пр13!J17:J121)</f>
        <v>0</v>
      </c>
      <c r="G41" s="535">
        <f ca="1">SUMIF(Пр13!$C17:$C126,310,Пр13!K17:K121)</f>
        <v>0</v>
      </c>
      <c r="H41" s="535">
        <f ca="1">SUMIF(Пр13!$C17:$C126,310,Пр13!L17:L121)</f>
        <v>0</v>
      </c>
    </row>
    <row r="42" spans="1:8" ht="15.75" hidden="1" thickBot="1" x14ac:dyDescent="0.3">
      <c r="A42" s="533">
        <v>311</v>
      </c>
      <c r="B42" s="558" t="s">
        <v>111</v>
      </c>
      <c r="C42" s="559">
        <f ca="1">SUMIF(Пр13!$C18:$C127,311,Пр13!G18:G121)</f>
        <v>0</v>
      </c>
      <c r="D42" s="559">
        <f ca="1">SUMIF(Пр13!$C18:$C127,311,Пр13!H18:H121)</f>
        <v>0</v>
      </c>
      <c r="E42" s="559">
        <f ca="1">SUMIF(Пр13!$C18:$C127,311,Пр13!I18:I121)</f>
        <v>0</v>
      </c>
      <c r="F42" s="559">
        <f ca="1">SUMIF(Пр13!$C18:$C127,311,Пр13!J18:J121)</f>
        <v>0</v>
      </c>
      <c r="G42" s="535">
        <f ca="1">SUMIF(Пр13!$C18:$C127,311,Пр13!K18:K121)</f>
        <v>0</v>
      </c>
      <c r="H42" s="535">
        <f ca="1">SUMIF(Пр13!$C18:$C127,311,Пр13!L18:L121)</f>
        <v>0</v>
      </c>
    </row>
    <row r="43" spans="1:8" ht="45.75" hidden="1" thickBot="1" x14ac:dyDescent="0.3">
      <c r="A43" s="533">
        <v>312</v>
      </c>
      <c r="B43" s="558" t="s">
        <v>112</v>
      </c>
      <c r="C43" s="559">
        <f ca="1">SUMIF(Пр13!$C25:$C128,312,Пр13!G25:G121)</f>
        <v>0</v>
      </c>
      <c r="D43" s="559">
        <f ca="1">SUMIF(Пр13!$C25:$C128,312,Пр13!H25:H121)</f>
        <v>0</v>
      </c>
      <c r="E43" s="559">
        <f ca="1">SUMIF(Пр13!$C25:$C128,312,Пр13!I25:I121)</f>
        <v>0</v>
      </c>
      <c r="F43" s="559">
        <f ca="1">SUMIF(Пр13!$C25:$C128,312,Пр13!J25:J121)</f>
        <v>0</v>
      </c>
      <c r="G43" s="535">
        <f ca="1">SUMIF(Пр13!$C25:$C128,312,Пр13!K25:K121)</f>
        <v>0</v>
      </c>
      <c r="H43" s="535">
        <f ca="1">SUMIF(Пр13!$C25:$C128,312,Пр13!L25:L121)</f>
        <v>0</v>
      </c>
    </row>
    <row r="44" spans="1:8" ht="45.75" hidden="1" thickBot="1" x14ac:dyDescent="0.3">
      <c r="A44" s="533">
        <v>313</v>
      </c>
      <c r="B44" s="558" t="s">
        <v>113</v>
      </c>
      <c r="C44" s="559">
        <f ca="1">SUMIF(Пр13!$C25:$C129,313,Пр13!G25:G121)</f>
        <v>0</v>
      </c>
      <c r="D44" s="559">
        <f ca="1">SUMIF(Пр13!$C25:$C129,313,Пр13!H25:H121)</f>
        <v>0</v>
      </c>
      <c r="E44" s="559">
        <f ca="1">SUMIF(Пр13!$C25:$C129,313,Пр13!I25:I121)</f>
        <v>0</v>
      </c>
      <c r="F44" s="559">
        <f ca="1">SUMIF(Пр13!$C25:$C129,313,Пр13!J25:J121)</f>
        <v>0</v>
      </c>
      <c r="G44" s="535">
        <f ca="1">SUMIF(Пр13!$C25:$C129,313,Пр13!K25:K121)</f>
        <v>0</v>
      </c>
      <c r="H44" s="535">
        <f ca="1">SUMIF(Пр13!$C25:$C129,313,Пр13!L25:L121)</f>
        <v>0</v>
      </c>
    </row>
    <row r="45" spans="1:8" ht="33" customHeight="1" thickBot="1" x14ac:dyDescent="0.3">
      <c r="A45" s="533">
        <v>314</v>
      </c>
      <c r="B45" s="558" t="s">
        <v>114</v>
      </c>
      <c r="C45" s="559">
        <f ca="1">SUMIF(Пр13!$C25:$C130,314,Пр13!G25:G121)</f>
        <v>150000</v>
      </c>
      <c r="D45" s="559">
        <f ca="1">SUMIF(Пр13!$C25:$C130,314,Пр13!H25:H121)</f>
        <v>0</v>
      </c>
      <c r="E45" s="559">
        <f ca="1">SUMIF(Пр13!$C25:$C130,314,Пр13!I25:I121)</f>
        <v>150000</v>
      </c>
      <c r="F45" s="559">
        <f ca="1">SUMIF(Пр13!$C25:$C130,314,Пр13!J25:J121)</f>
        <v>150000</v>
      </c>
      <c r="G45" s="535">
        <f ca="1">SUMIF(Пр13!$C25:$C130,314,Пр13!K25:K121)</f>
        <v>0</v>
      </c>
      <c r="H45" s="535">
        <f ca="1">SUMIF(Пр13!$C25:$C130,314,Пр13!L25:L121)</f>
        <v>150000</v>
      </c>
    </row>
    <row r="46" spans="1:8" ht="15" thickBot="1" x14ac:dyDescent="0.25">
      <c r="A46" s="555">
        <v>400</v>
      </c>
      <c r="B46" s="563" t="s">
        <v>115</v>
      </c>
      <c r="C46" s="557">
        <f ca="1">SUM(C47:C58)</f>
        <v>44850000</v>
      </c>
      <c r="D46" s="557">
        <f t="shared" ref="D46" ca="1" si="7">SUM(D47:D58)</f>
        <v>0</v>
      </c>
      <c r="E46" s="557">
        <f ca="1">SUM(E47:E58)</f>
        <v>79850000</v>
      </c>
      <c r="F46" s="557">
        <f t="shared" ref="F46" ca="1" si="8">SUM(F47:F58)</f>
        <v>78250000</v>
      </c>
      <c r="G46" s="557">
        <f t="shared" ref="G46" ca="1" si="9">SUM(G47:G58)</f>
        <v>0</v>
      </c>
      <c r="H46" s="557">
        <f t="shared" ref="H46" ca="1" si="10">SUM(H47:H58)</f>
        <v>78250000</v>
      </c>
    </row>
    <row r="47" spans="1:8" ht="15.75" hidden="1" customHeight="1" thickBot="1" x14ac:dyDescent="0.3">
      <c r="A47" s="533">
        <v>401</v>
      </c>
      <c r="B47" s="564" t="s">
        <v>116</v>
      </c>
      <c r="C47" s="559">
        <f>SUMIF(Пр13!$C10:$C121,401,Пр13!G10:G121)</f>
        <v>0</v>
      </c>
      <c r="D47" s="559">
        <f>SUMIF(Пр13!$C10:$C121,401,Пр13!H10:H121)</f>
        <v>0</v>
      </c>
      <c r="E47" s="559">
        <f>SUMIF(Пр13!$C10:$C121,401,Пр13!I10:I121)</f>
        <v>0</v>
      </c>
      <c r="F47" s="559">
        <f>SUMIF(Пр13!$C10:$C121,401,Пр13!J10:J121)</f>
        <v>0</v>
      </c>
      <c r="G47" s="535">
        <f>SUMIF(Пр13!$C10:$C121,401,Пр13!K10:K121)</f>
        <v>0</v>
      </c>
      <c r="H47" s="535">
        <f>SUMIF(Пр13!$C10:$C121,401,Пр13!L10:L121)</f>
        <v>0</v>
      </c>
    </row>
    <row r="48" spans="1:8" ht="15.75" hidden="1" thickBot="1" x14ac:dyDescent="0.3">
      <c r="A48" s="533">
        <v>402</v>
      </c>
      <c r="B48" s="558" t="s">
        <v>117</v>
      </c>
      <c r="C48" s="559">
        <f>SUMIF(Пр13!$C11:$C121,402,Пр13!G11:G121)</f>
        <v>0</v>
      </c>
      <c r="D48" s="559">
        <f>SUMIF(Пр13!$C11:$C121,402,Пр13!H11:H121)</f>
        <v>0</v>
      </c>
      <c r="E48" s="559">
        <f>SUMIF(Пр13!$C11:$C121,402,Пр13!I11:I121)</f>
        <v>0</v>
      </c>
      <c r="F48" s="559">
        <f>SUMIF(Пр13!$C11:$C121,402,Пр13!J11:J121)</f>
        <v>0</v>
      </c>
      <c r="G48" s="535">
        <f>SUMIF(Пр13!$C11:$C121,402,Пр13!K11:K121)</f>
        <v>0</v>
      </c>
      <c r="H48" s="535">
        <f>SUMIF(Пр13!$C11:$C121,402,Пр13!L11:L121)</f>
        <v>0</v>
      </c>
    </row>
    <row r="49" spans="1:8" ht="30.75" hidden="1" thickBot="1" x14ac:dyDescent="0.3">
      <c r="A49" s="533">
        <v>403</v>
      </c>
      <c r="B49" s="558" t="s">
        <v>118</v>
      </c>
      <c r="C49" s="559">
        <f>SUMIF(Пр13!$C12:$C121,403,Пр13!G12:G121)</f>
        <v>0</v>
      </c>
      <c r="D49" s="559">
        <f>SUMIF(Пр13!$C12:$C121,403,Пр13!H12:H121)</f>
        <v>0</v>
      </c>
      <c r="E49" s="559">
        <f>SUMIF(Пр13!$C12:$C121,403,Пр13!I12:I121)</f>
        <v>0</v>
      </c>
      <c r="F49" s="559">
        <f>SUMIF(Пр13!$C12:$C121,403,Пр13!J12:J121)</f>
        <v>0</v>
      </c>
      <c r="G49" s="535">
        <f>SUMIF(Пр13!$C12:$C121,403,Пр13!K12:K121)</f>
        <v>0</v>
      </c>
      <c r="H49" s="535">
        <f>SUMIF(Пр13!$C12:$C121,403,Пр13!L12:L121)</f>
        <v>0</v>
      </c>
    </row>
    <row r="50" spans="1:8" ht="15.75" hidden="1" thickBot="1" x14ac:dyDescent="0.3">
      <c r="A50" s="533">
        <v>404</v>
      </c>
      <c r="B50" s="558" t="s">
        <v>119</v>
      </c>
      <c r="C50" s="559">
        <f ca="1">SUMIF(Пр13!$C14:$C122,404,Пр13!G14:G121)</f>
        <v>0</v>
      </c>
      <c r="D50" s="559">
        <f ca="1">SUMIF(Пр13!$C14:$C122,404,Пр13!H14:H121)</f>
        <v>0</v>
      </c>
      <c r="E50" s="559">
        <f ca="1">SUMIF(Пр13!$C14:$C122,404,Пр13!I14:I121)</f>
        <v>0</v>
      </c>
      <c r="F50" s="559">
        <f ca="1">SUMIF(Пр13!$C14:$C122,404,Пр13!J14:J121)</f>
        <v>0</v>
      </c>
      <c r="G50" s="535">
        <f ca="1">SUMIF(Пр13!$C14:$C122,404,Пр13!K14:K121)</f>
        <v>0</v>
      </c>
      <c r="H50" s="535">
        <f ca="1">SUMIF(Пр13!$C14:$C122,404,Пр13!L14:L121)</f>
        <v>0</v>
      </c>
    </row>
    <row r="51" spans="1:8" ht="15.75" hidden="1" thickBot="1" x14ac:dyDescent="0.3">
      <c r="A51" s="533">
        <v>405</v>
      </c>
      <c r="B51" s="558" t="s">
        <v>120</v>
      </c>
      <c r="C51" s="559">
        <f ca="1">SUMIF(Пр13!$C15:$C123,405,Пр13!G15:G121)</f>
        <v>0</v>
      </c>
      <c r="D51" s="559">
        <f ca="1">SUMIF(Пр13!$C15:$C123,405,Пр13!H15:H121)</f>
        <v>0</v>
      </c>
      <c r="E51" s="559">
        <f ca="1">SUMIF(Пр13!$C15:$C123,405,Пр13!I15:I121)</f>
        <v>0</v>
      </c>
      <c r="F51" s="559">
        <f ca="1">SUMIF(Пр13!$C15:$C123,405,Пр13!J15:J121)</f>
        <v>0</v>
      </c>
      <c r="G51" s="535">
        <f ca="1">SUMIF(Пр13!$C15:$C123,405,Пр13!K15:K121)</f>
        <v>0</v>
      </c>
      <c r="H51" s="535">
        <f ca="1">SUMIF(Пр13!$C15:$C123,405,Пр13!L15:L121)</f>
        <v>0</v>
      </c>
    </row>
    <row r="52" spans="1:8" ht="15.75" hidden="1" thickBot="1" x14ac:dyDescent="0.3">
      <c r="A52" s="533">
        <v>406</v>
      </c>
      <c r="B52" s="558" t="s">
        <v>121</v>
      </c>
      <c r="C52" s="559">
        <f ca="1">SUMIF(Пр13!$C15:$C124,406,Пр13!G15:G121)</f>
        <v>0</v>
      </c>
      <c r="D52" s="559">
        <f ca="1">SUMIF(Пр13!$C15:$C124,406,Пр13!H15:H121)</f>
        <v>0</v>
      </c>
      <c r="E52" s="559">
        <f ca="1">SUMIF(Пр13!$C15:$C124,406,Пр13!I15:I121)</f>
        <v>0</v>
      </c>
      <c r="F52" s="559">
        <f ca="1">SUMIF(Пр13!$C15:$C124,406,Пр13!J15:J121)</f>
        <v>0</v>
      </c>
      <c r="G52" s="535">
        <f ca="1">SUMIF(Пр13!$C15:$C124,406,Пр13!K15:K121)</f>
        <v>0</v>
      </c>
      <c r="H52" s="535">
        <f ca="1">SUMIF(Пр13!$C15:$C124,406,Пр13!L15:L121)</f>
        <v>0</v>
      </c>
    </row>
    <row r="53" spans="1:8" ht="15.75" hidden="1" thickBot="1" x14ac:dyDescent="0.3">
      <c r="A53" s="533">
        <v>407</v>
      </c>
      <c r="B53" s="558" t="s">
        <v>122</v>
      </c>
      <c r="C53" s="559">
        <f ca="1">SUMIF(Пр13!$C16:$C125,407,Пр13!G16:G121)</f>
        <v>0</v>
      </c>
      <c r="D53" s="559">
        <f ca="1">SUMIF(Пр13!$C16:$C125,407,Пр13!H16:H121)</f>
        <v>0</v>
      </c>
      <c r="E53" s="559">
        <f ca="1">SUMIF(Пр13!$C16:$C125,407,Пр13!I16:I121)</f>
        <v>0</v>
      </c>
      <c r="F53" s="559">
        <f ca="1">SUMIF(Пр13!$C16:$C125,407,Пр13!J16:J121)</f>
        <v>0</v>
      </c>
      <c r="G53" s="535">
        <f ca="1">SUMIF(Пр13!$C16:$C125,407,Пр13!K16:K121)</f>
        <v>0</v>
      </c>
      <c r="H53" s="535">
        <f ca="1">SUMIF(Пр13!$C16:$C125,407,Пр13!L16:L121)</f>
        <v>0</v>
      </c>
    </row>
    <row r="54" spans="1:8" ht="15.75" thickBot="1" x14ac:dyDescent="0.3">
      <c r="A54" s="533">
        <v>408</v>
      </c>
      <c r="B54" s="558" t="s">
        <v>123</v>
      </c>
      <c r="C54" s="559">
        <f ca="1">SUMIF(Пр13!$C17:$C126,408,Пр13!G17:G121)</f>
        <v>6600000</v>
      </c>
      <c r="D54" s="559">
        <f ca="1">SUMIF(Пр13!$C17:$C126,408,Пр13!H17:H121)</f>
        <v>0</v>
      </c>
      <c r="E54" s="559">
        <f ca="1">SUMIF(Пр13!$C17:$C126,408,Пр13!I17:I121)</f>
        <v>6600000</v>
      </c>
      <c r="F54" s="559">
        <f ca="1">SUMIF(Пр13!$C17:$C126,408,Пр13!J17:J121)</f>
        <v>7200000</v>
      </c>
      <c r="G54" s="535">
        <f ca="1">SUMIF(Пр13!$C17:$C126,408,Пр13!K17:K121)</f>
        <v>0</v>
      </c>
      <c r="H54" s="535">
        <f ca="1">SUMIF(Пр13!$C17:$C126,408,Пр13!L17:L121)</f>
        <v>7200000</v>
      </c>
    </row>
    <row r="55" spans="1:8" ht="15.75" thickBot="1" x14ac:dyDescent="0.3">
      <c r="A55" s="533">
        <v>409</v>
      </c>
      <c r="B55" s="558" t="s">
        <v>124</v>
      </c>
      <c r="C55" s="559">
        <f ca="1">SUMIF(Пр13!$C18:$C127,409,Пр13!G18:G121)</f>
        <v>38000000</v>
      </c>
      <c r="D55" s="559">
        <f ca="1">SUMIF(Пр13!$C18:$C127,409,Пр13!H18:H121)</f>
        <v>0</v>
      </c>
      <c r="E55" s="559">
        <f ca="1">SUMIF(Пр13!$C18:$C127,409,Пр13!I18:I121)</f>
        <v>73000000</v>
      </c>
      <c r="F55" s="559">
        <f ca="1">SUMIF(Пр13!$C18:$C127,409,Пр13!J18:J121)</f>
        <v>70800000</v>
      </c>
      <c r="G55" s="535">
        <f ca="1">SUMIF(Пр13!$C18:$C127,409,Пр13!K18:K121)</f>
        <v>0</v>
      </c>
      <c r="H55" s="535">
        <f ca="1">SUMIF(Пр13!$C18:$C127,409,Пр13!L18:L121)</f>
        <v>70800000</v>
      </c>
    </row>
    <row r="56" spans="1:8" ht="15.75" hidden="1" thickBot="1" x14ac:dyDescent="0.3">
      <c r="A56" s="533">
        <v>410</v>
      </c>
      <c r="B56" s="558" t="s">
        <v>125</v>
      </c>
      <c r="C56" s="559">
        <f ca="1">SUMIF(Пр13!$C25:$C128,410,Пр13!G25:G121)</f>
        <v>0</v>
      </c>
      <c r="D56" s="559">
        <f ca="1">SUMIF(Пр13!$C25:$C128,410,Пр13!H25:H121)</f>
        <v>0</v>
      </c>
      <c r="E56" s="559">
        <f ca="1">SUMIF(Пр13!$C25:$C128,410,Пр13!I25:I121)</f>
        <v>0</v>
      </c>
      <c r="F56" s="559">
        <f ca="1">SUMIF(Пр13!$C25:$C128,410,Пр13!J25:J121)</f>
        <v>0</v>
      </c>
      <c r="G56" s="535">
        <f ca="1">SUMIF(Пр13!$C25:$C128,410,Пр13!K25:K121)</f>
        <v>0</v>
      </c>
      <c r="H56" s="535">
        <f ca="1">SUMIF(Пр13!$C25:$C128,410,Пр13!L25:L121)</f>
        <v>0</v>
      </c>
    </row>
    <row r="57" spans="1:8" ht="30.75" hidden="1" thickBot="1" x14ac:dyDescent="0.3">
      <c r="A57" s="533">
        <v>411</v>
      </c>
      <c r="B57" s="558" t="s">
        <v>126</v>
      </c>
      <c r="C57" s="559">
        <f ca="1">SUMIF(Пр13!$C25:$C129,411,Пр13!G25:G121)</f>
        <v>0</v>
      </c>
      <c r="D57" s="559">
        <f ca="1">SUMIF(Пр13!$C25:$C129,411,Пр13!H25:H121)</f>
        <v>0</v>
      </c>
      <c r="E57" s="559">
        <f ca="1">SUMIF(Пр13!$C25:$C129,411,Пр13!I25:I121)</f>
        <v>0</v>
      </c>
      <c r="F57" s="559">
        <f ca="1">SUMIF(Пр13!$C25:$C129,411,Пр13!J25:J121)</f>
        <v>0</v>
      </c>
      <c r="G57" s="535">
        <f ca="1">SUMIF(Пр13!$C25:$C129,411,Пр13!K25:K121)</f>
        <v>0</v>
      </c>
      <c r="H57" s="535">
        <f ca="1">SUMIF(Пр13!$C25:$C129,411,Пр13!L25:L121)</f>
        <v>0</v>
      </c>
    </row>
    <row r="58" spans="1:8" ht="17.25" customHeight="1" thickBot="1" x14ac:dyDescent="0.3">
      <c r="A58" s="533">
        <v>412</v>
      </c>
      <c r="B58" s="558" t="s">
        <v>127</v>
      </c>
      <c r="C58" s="559">
        <f ca="1">SUMIF(Пр13!$C10:$C130,412,Пр13!G10:G121)</f>
        <v>250000</v>
      </c>
      <c r="D58" s="559">
        <f ca="1">SUMIF(Пр13!$C10:$C130,412,Пр13!H10:H121)</f>
        <v>0</v>
      </c>
      <c r="E58" s="559">
        <f ca="1">SUMIF(Пр13!$C10:$C130,412,Пр13!I10:I121)</f>
        <v>250000</v>
      </c>
      <c r="F58" s="559">
        <f ca="1">SUMIF(Пр13!$C10:$C130,412,Пр13!J10:J121)</f>
        <v>250000</v>
      </c>
      <c r="G58" s="535">
        <f ca="1">SUMIF(Пр13!$C10:$C130,412,Пр13!K10:K121)</f>
        <v>0</v>
      </c>
      <c r="H58" s="535">
        <f ca="1">SUMIF(Пр13!$C10:$C130,412,Пр13!L10:L121)</f>
        <v>250000</v>
      </c>
    </row>
    <row r="59" spans="1:8" ht="18.75" customHeight="1" thickBot="1" x14ac:dyDescent="0.25">
      <c r="A59" s="555">
        <v>500</v>
      </c>
      <c r="B59" s="563" t="s">
        <v>128</v>
      </c>
      <c r="C59" s="557">
        <f ca="1">SUM(C60:C64)</f>
        <v>35441767</v>
      </c>
      <c r="D59" s="557">
        <f t="shared" ref="D59:E59" ca="1" si="11">SUM(D60:D64)</f>
        <v>0</v>
      </c>
      <c r="E59" s="557">
        <f t="shared" ca="1" si="11"/>
        <v>35441767</v>
      </c>
      <c r="F59" s="557">
        <f t="shared" ref="F59:H59" ca="1" si="12">SUM(F60:F64)</f>
        <v>37172818</v>
      </c>
      <c r="G59" s="557">
        <f t="shared" ca="1" si="12"/>
        <v>0</v>
      </c>
      <c r="H59" s="557">
        <f t="shared" ca="1" si="12"/>
        <v>37172818</v>
      </c>
    </row>
    <row r="60" spans="1:8" ht="15.75" thickBot="1" x14ac:dyDescent="0.3">
      <c r="A60" s="533">
        <v>501</v>
      </c>
      <c r="B60" s="558" t="s">
        <v>129</v>
      </c>
      <c r="C60" s="559">
        <f>SUMIF(Пр13!$C10:$C121,501,Пр13!G10:G121)</f>
        <v>5100000</v>
      </c>
      <c r="D60" s="559">
        <f>SUMIF(Пр13!$C10:$C121,501,Пр13!H10:H121)</f>
        <v>0</v>
      </c>
      <c r="E60" s="559">
        <f>SUMIF(Пр13!$C10:$C121,501,Пр13!I10:I121)</f>
        <v>5100000</v>
      </c>
      <c r="F60" s="559">
        <f>SUMIF(Пр13!$C10:$C121,501,Пр13!J10:J121)</f>
        <v>5100000</v>
      </c>
      <c r="G60" s="535">
        <f>SUMIF(Пр13!$C10:$C121,501,Пр13!K10:K121)</f>
        <v>0</v>
      </c>
      <c r="H60" s="535">
        <f>SUMIF(Пр13!$C10:$C121,501,Пр13!L10:L121)</f>
        <v>5100000</v>
      </c>
    </row>
    <row r="61" spans="1:8" ht="15.75" thickBot="1" x14ac:dyDescent="0.3">
      <c r="A61" s="533">
        <v>502</v>
      </c>
      <c r="B61" s="558" t="s">
        <v>130</v>
      </c>
      <c r="C61" s="559">
        <f>SUMIF(Пр13!$C11:$C121,502,Пр13!G11:G121)</f>
        <v>1500000</v>
      </c>
      <c r="D61" s="559">
        <f>SUMIF(Пр13!$C11:$C121,502,Пр13!H11:H121)</f>
        <v>0</v>
      </c>
      <c r="E61" s="559">
        <f>SUMIF(Пр13!$C11:$C121,502,Пр13!I11:I121)</f>
        <v>1500000</v>
      </c>
      <c r="F61" s="559">
        <f>SUMIF(Пр13!$C11:$C121,502,Пр13!J11:J121)</f>
        <v>1500000</v>
      </c>
      <c r="G61" s="535">
        <f>SUMIF(Пр13!$C11:$C121,502,Пр13!K11:K121)</f>
        <v>0</v>
      </c>
      <c r="H61" s="535">
        <f>SUMIF(Пр13!$C11:$C121,502,Пр13!L11:L121)</f>
        <v>1500000</v>
      </c>
    </row>
    <row r="62" spans="1:8" ht="15.75" thickBot="1" x14ac:dyDescent="0.3">
      <c r="A62" s="533">
        <v>503</v>
      </c>
      <c r="B62" s="558" t="s">
        <v>131</v>
      </c>
      <c r="C62" s="559">
        <f>SUMIF(Пр13!$C12:$C121,503,Пр13!G12:G121)</f>
        <v>28841767</v>
      </c>
      <c r="D62" s="559">
        <f>SUMIF(Пр13!$C12:$C121,503,Пр13!H12:H121)</f>
        <v>0</v>
      </c>
      <c r="E62" s="559">
        <f>SUMIF(Пр13!$C12:$C121,503,Пр13!I12:I121)</f>
        <v>28841767</v>
      </c>
      <c r="F62" s="559">
        <f>SUMIF(Пр13!$C12:$C121,503,Пр13!J12:J121)</f>
        <v>30572818</v>
      </c>
      <c r="G62" s="535">
        <f>SUMIF(Пр13!$C12:$C121,503,Пр13!K12:K121)</f>
        <v>0</v>
      </c>
      <c r="H62" s="535">
        <f>SUMIF(Пр13!$C12:$C121,503,Пр13!L12:L121)</f>
        <v>30572818</v>
      </c>
    </row>
    <row r="63" spans="1:8" ht="30.75" hidden="1" thickBot="1" x14ac:dyDescent="0.3">
      <c r="A63" s="533">
        <v>504</v>
      </c>
      <c r="B63" s="558" t="s">
        <v>132</v>
      </c>
      <c r="C63" s="559">
        <f ca="1">SUMIF(Пр13!$C14:$C122,504,Пр13!G14:G121)</f>
        <v>0</v>
      </c>
      <c r="D63" s="559">
        <f ca="1">SUMIF(Пр13!$C14:$C122,504,Пр13!H14:H121)</f>
        <v>0</v>
      </c>
      <c r="E63" s="559">
        <f ca="1">SUMIF(Пр13!$C14:$C122,504,Пр13!I14:I121)</f>
        <v>0</v>
      </c>
      <c r="F63" s="559">
        <f ca="1">SUMIF(Пр13!$C14:$C122,504,Пр13!J14:J121)</f>
        <v>0</v>
      </c>
      <c r="G63" s="535">
        <f ca="1">SUMIF(Пр13!$C14:$C122,504,Пр13!K14:K121)</f>
        <v>0</v>
      </c>
      <c r="H63" s="535">
        <f ca="1">SUMIF(Пр13!$C14:$C122,504,Пр13!L14:L121)</f>
        <v>0</v>
      </c>
    </row>
    <row r="64" spans="1:8" ht="30.75" hidden="1" thickBot="1" x14ac:dyDescent="0.3">
      <c r="A64" s="533">
        <v>505</v>
      </c>
      <c r="B64" s="558" t="s">
        <v>133</v>
      </c>
      <c r="C64" s="559">
        <f ca="1">SUMIF(Пр13!$C15:$C123,505,Пр13!G15:G121)</f>
        <v>0</v>
      </c>
      <c r="D64" s="559">
        <f ca="1">SUMIF(Пр13!$C15:$C123,505,Пр13!H15:H121)</f>
        <v>0</v>
      </c>
      <c r="E64" s="559">
        <f ca="1">SUMIF(Пр13!$C15:$C123,505,Пр13!I15:I121)</f>
        <v>0</v>
      </c>
      <c r="F64" s="559">
        <f ca="1">SUMIF(Пр13!$C15:$C123,505,Пр13!J15:J121)</f>
        <v>0</v>
      </c>
      <c r="G64" s="535">
        <f ca="1">SUMIF(Пр13!$C15:$C123,505,Пр13!K15:K121)</f>
        <v>0</v>
      </c>
      <c r="H64" s="535">
        <f ca="1">SUMIF(Пр13!$C15:$C123,505,Пр13!L15:L121)</f>
        <v>0</v>
      </c>
    </row>
    <row r="65" spans="1:8" ht="15" hidden="1" thickBot="1" x14ac:dyDescent="0.25">
      <c r="A65" s="560">
        <v>600</v>
      </c>
      <c r="B65" s="553" t="s">
        <v>134</v>
      </c>
      <c r="C65" s="562">
        <f>SUM(C66:C70)</f>
        <v>0</v>
      </c>
      <c r="D65" s="562">
        <f t="shared" ref="D65:E65" si="13">SUM(D66:D70)</f>
        <v>0</v>
      </c>
      <c r="E65" s="562">
        <f t="shared" si="13"/>
        <v>0</v>
      </c>
      <c r="F65" s="562">
        <f t="shared" ref="F65" si="14">SUM(F66:F70)</f>
        <v>0</v>
      </c>
      <c r="G65" s="539">
        <f t="shared" ref="G65" si="15">SUM(G66:G70)</f>
        <v>0</v>
      </c>
      <c r="H65" s="539">
        <f t="shared" ref="H65" si="16">SUM(H66:H70)</f>
        <v>0</v>
      </c>
    </row>
    <row r="66" spans="1:8" ht="15.75" hidden="1" thickBot="1" x14ac:dyDescent="0.3">
      <c r="A66" s="533">
        <v>601</v>
      </c>
      <c r="B66" s="558" t="s">
        <v>135</v>
      </c>
      <c r="C66" s="559">
        <f>SUMIF(Пр13!$C10:$C121,601,Пр13!G10:G121)</f>
        <v>0</v>
      </c>
      <c r="D66" s="559">
        <f>SUMIF(Пр13!$C10:$C121,601,Пр13!H10:H121)</f>
        <v>0</v>
      </c>
      <c r="E66" s="559">
        <f>SUMIF(Пр13!$C10:$C121,601,Пр13!I10:I121)</f>
        <v>0</v>
      </c>
      <c r="F66" s="559">
        <f>SUMIF(Пр13!$C10:$C121,601,Пр13!J10:J121)</f>
        <v>0</v>
      </c>
      <c r="G66" s="535">
        <f>SUMIF(Пр13!$C10:$C121,601,Пр13!K10:K121)</f>
        <v>0</v>
      </c>
      <c r="H66" s="535">
        <f>SUMIF(Пр13!$C10:$C121,601,Пр13!L10:L121)</f>
        <v>0</v>
      </c>
    </row>
    <row r="67" spans="1:8" ht="15.75" hidden="1" thickBot="1" x14ac:dyDescent="0.3">
      <c r="A67" s="533">
        <v>602</v>
      </c>
      <c r="B67" s="558" t="s">
        <v>136</v>
      </c>
      <c r="C67" s="559">
        <f>SUMIF(Пр13!$C11:$C121,602,Пр13!G11:G121)</f>
        <v>0</v>
      </c>
      <c r="D67" s="559">
        <f>SUMIF(Пр13!$C11:$C121,602,Пр13!H11:H121)</f>
        <v>0</v>
      </c>
      <c r="E67" s="559">
        <f>SUMIF(Пр13!$C11:$C121,602,Пр13!I11:I121)</f>
        <v>0</v>
      </c>
      <c r="F67" s="559">
        <f>SUMIF(Пр13!$C11:$C121,602,Пр13!J11:J121)</f>
        <v>0</v>
      </c>
      <c r="G67" s="535">
        <f>SUMIF(Пр13!$C11:$C121,602,Пр13!K11:K121)</f>
        <v>0</v>
      </c>
      <c r="H67" s="535">
        <f>SUMIF(Пр13!$C11:$C121,602,Пр13!L11:L121)</f>
        <v>0</v>
      </c>
    </row>
    <row r="68" spans="1:8" ht="30.75" hidden="1" thickBot="1" x14ac:dyDescent="0.3">
      <c r="A68" s="533">
        <v>603</v>
      </c>
      <c r="B68" s="558" t="s">
        <v>137</v>
      </c>
      <c r="C68" s="559">
        <f>SUMIF(Пр13!$C12:$C121,603,Пр13!G12:G121)</f>
        <v>0</v>
      </c>
      <c r="D68" s="559">
        <f>SUMIF(Пр13!$C12:$C121,603,Пр13!H12:H121)</f>
        <v>0</v>
      </c>
      <c r="E68" s="559">
        <f>SUMIF(Пр13!$C12:$C121,603,Пр13!I12:I121)</f>
        <v>0</v>
      </c>
      <c r="F68" s="559">
        <f>SUMIF(Пр13!$C12:$C121,603,Пр13!J12:J121)</f>
        <v>0</v>
      </c>
      <c r="G68" s="535">
        <f>SUMIF(Пр13!$C12:$C121,603,Пр13!K12:K121)</f>
        <v>0</v>
      </c>
      <c r="H68" s="535">
        <f>SUMIF(Пр13!$C12:$C121,603,Пр13!L12:L121)</f>
        <v>0</v>
      </c>
    </row>
    <row r="69" spans="1:8" ht="30.75" hidden="1" thickBot="1" x14ac:dyDescent="0.3">
      <c r="A69" s="533">
        <v>604</v>
      </c>
      <c r="B69" s="558" t="s">
        <v>138</v>
      </c>
      <c r="C69" s="559">
        <f>SUMIF(Пр13!$C14:$C122,604,Пр13!G14:G122)</f>
        <v>0</v>
      </c>
      <c r="D69" s="559">
        <f>SUMIF(Пр13!$C14:$C122,604,Пр13!H14:H122)</f>
        <v>0</v>
      </c>
      <c r="E69" s="559">
        <f>SUMIF(Пр13!$C14:$C122,604,Пр13!I14:I122)</f>
        <v>0</v>
      </c>
      <c r="F69" s="559">
        <f>SUMIF(Пр13!$C14:$C122,604,Пр13!J14:J122)</f>
        <v>0</v>
      </c>
      <c r="G69" s="535">
        <f>SUMIF(Пр13!$C14:$C122,604,Пр13!K14:K122)</f>
        <v>0</v>
      </c>
      <c r="H69" s="535">
        <f>SUMIF(Пр13!$C14:$C122,604,Пр13!L14:L122)</f>
        <v>0</v>
      </c>
    </row>
    <row r="70" spans="1:8" ht="30.75" hidden="1" thickBot="1" x14ac:dyDescent="0.3">
      <c r="A70" s="533">
        <v>605</v>
      </c>
      <c r="B70" s="558" t="s">
        <v>139</v>
      </c>
      <c r="C70" s="559">
        <f>SUMIF(Пр13!$C15:$C123,605,Пр13!G15:G123)</f>
        <v>0</v>
      </c>
      <c r="D70" s="559">
        <f>SUMIF(Пр13!$C15:$C123,605,Пр13!H15:H123)</f>
        <v>0</v>
      </c>
      <c r="E70" s="559">
        <f>SUMIF(Пр13!$C15:$C123,605,Пр13!I15:I123)</f>
        <v>0</v>
      </c>
      <c r="F70" s="559">
        <f>SUMIF(Пр13!$C15:$C123,605,Пр13!J15:J123)</f>
        <v>0</v>
      </c>
      <c r="G70" s="535">
        <f>SUMIF(Пр13!$C15:$C123,605,Пр13!K15:K123)</f>
        <v>0</v>
      </c>
      <c r="H70" s="535">
        <f>SUMIF(Пр13!$C15:$C123,605,Пр13!L15:L123)</f>
        <v>0</v>
      </c>
    </row>
    <row r="71" spans="1:8" ht="15" hidden="1" thickBot="1" x14ac:dyDescent="0.25">
      <c r="A71" s="560">
        <v>700</v>
      </c>
      <c r="B71" s="553" t="s">
        <v>140</v>
      </c>
      <c r="C71" s="562">
        <f>SUM(C72:C80)</f>
        <v>0</v>
      </c>
      <c r="D71" s="562">
        <f t="shared" ref="D71:E71" si="17">SUM(D72:D80)</f>
        <v>0</v>
      </c>
      <c r="E71" s="562">
        <f t="shared" si="17"/>
        <v>0</v>
      </c>
      <c r="F71" s="562">
        <f t="shared" ref="F71:H71" si="18">SUM(F72:F80)</f>
        <v>0</v>
      </c>
      <c r="G71" s="539">
        <f t="shared" si="18"/>
        <v>0</v>
      </c>
      <c r="H71" s="539">
        <f t="shared" si="18"/>
        <v>0</v>
      </c>
    </row>
    <row r="72" spans="1:8" ht="15.75" hidden="1" thickBot="1" x14ac:dyDescent="0.3">
      <c r="A72" s="533">
        <v>701</v>
      </c>
      <c r="B72" s="558" t="s">
        <v>141</v>
      </c>
      <c r="C72" s="559">
        <f>SUMIF(Пр13!$C10:$C157,701,Пр13!G10:G157)</f>
        <v>0</v>
      </c>
      <c r="D72" s="559">
        <f>SUMIF(Пр13!$C10:$C157,701,Пр13!H10:H157)</f>
        <v>0</v>
      </c>
      <c r="E72" s="559">
        <f>SUMIF(Пр13!$C10:$C157,701,Пр13!I10:I157)</f>
        <v>0</v>
      </c>
      <c r="F72" s="559">
        <f>SUMIF(Пр13!$C10:$C157,701,Пр13!J10:J157)</f>
        <v>0</v>
      </c>
      <c r="G72" s="535">
        <f>SUMIF(Пр13!$C10:$C157,701,Пр13!K10:K157)</f>
        <v>0</v>
      </c>
      <c r="H72" s="535">
        <f>SUMIF(Пр13!$C10:$C157,701,Пр13!L10:L157)</f>
        <v>0</v>
      </c>
    </row>
    <row r="73" spans="1:8" ht="15.75" hidden="1" thickBot="1" x14ac:dyDescent="0.3">
      <c r="A73" s="533">
        <v>702</v>
      </c>
      <c r="B73" s="558" t="s">
        <v>142</v>
      </c>
      <c r="C73" s="559">
        <f>SUMIF(Пр13!$C10:$C158,702,Пр13!G10:G158)</f>
        <v>0</v>
      </c>
      <c r="D73" s="559">
        <f>SUMIF(Пр13!$C10:$C158,702,Пр13!H10:H158)</f>
        <v>0</v>
      </c>
      <c r="E73" s="559">
        <f>SUMIF(Пр13!$C10:$C158,702,Пр13!I10:I158)</f>
        <v>0</v>
      </c>
      <c r="F73" s="559">
        <f>SUMIF(Пр13!$C10:$C158,702,Пр13!J10:J158)</f>
        <v>0</v>
      </c>
      <c r="G73" s="535">
        <f>SUMIF(Пр13!$C10:$C158,702,Пр13!K10:K158)</f>
        <v>0</v>
      </c>
      <c r="H73" s="535">
        <f>SUMIF(Пр13!$C10:$C158,702,Пр13!L10:L158)</f>
        <v>0</v>
      </c>
    </row>
    <row r="74" spans="1:8" ht="15.75" hidden="1" thickBot="1" x14ac:dyDescent="0.3">
      <c r="A74" s="533">
        <v>703</v>
      </c>
      <c r="B74" s="558" t="s">
        <v>560</v>
      </c>
      <c r="C74" s="559">
        <f>SUMIF(Пр13!$C63:$C159,703,Пр13!G63:G159)</f>
        <v>0</v>
      </c>
      <c r="D74" s="559">
        <f>SUMIF(Пр13!$C63:$C159,703,Пр13!H63:H159)</f>
        <v>0</v>
      </c>
      <c r="E74" s="559">
        <f>SUMIF(Пр13!$C63:$C159,703,Пр13!I63:I159)</f>
        <v>0</v>
      </c>
      <c r="F74" s="559">
        <f>SUMIF(Пр13!$C63:$C159,703,Пр13!J63:J159)</f>
        <v>0</v>
      </c>
      <c r="G74" s="535">
        <f>SUMIF(Пр13!$C63:$C159,703,Пр13!K63:K159)</f>
        <v>0</v>
      </c>
      <c r="H74" s="535">
        <f>SUMIF(Пр13!$C63:$C159,703,Пр13!L63:L159)</f>
        <v>0</v>
      </c>
    </row>
    <row r="75" spans="1:8" ht="15.75" hidden="1" thickBot="1" x14ac:dyDescent="0.3">
      <c r="A75" s="533">
        <v>704</v>
      </c>
      <c r="B75" s="558" t="s">
        <v>143</v>
      </c>
      <c r="C75" s="559">
        <f>SUMIF(Пр13!$C63:$C160,304,Пр13!G63:G160)</f>
        <v>0</v>
      </c>
      <c r="D75" s="559">
        <f>SUMIF(Пр13!$C63:$C160,304,Пр13!H63:H160)</f>
        <v>0</v>
      </c>
      <c r="E75" s="559">
        <f>SUMIF(Пр13!$C63:$C160,304,Пр13!I63:I160)</f>
        <v>0</v>
      </c>
      <c r="F75" s="559">
        <f>SUMIF(Пр13!$C63:$C160,304,Пр13!J63:J160)</f>
        <v>0</v>
      </c>
      <c r="G75" s="535">
        <f>SUMIF(Пр13!$C63:$C160,304,Пр13!K63:K160)</f>
        <v>0</v>
      </c>
      <c r="H75" s="535">
        <f>SUMIF(Пр13!$C63:$C160,304,Пр13!L63:L160)</f>
        <v>0</v>
      </c>
    </row>
    <row r="76" spans="1:8" ht="30.75" hidden="1" thickBot="1" x14ac:dyDescent="0.3">
      <c r="A76" s="533">
        <v>705</v>
      </c>
      <c r="B76" s="558" t="s">
        <v>144</v>
      </c>
      <c r="C76" s="559">
        <f>SUMIF(Пр13!$C63:$C161,705,Пр13!G63:G161)</f>
        <v>0</v>
      </c>
      <c r="D76" s="559">
        <f>SUMIF(Пр13!$C63:$C161,705,Пр13!H63:H161)</f>
        <v>0</v>
      </c>
      <c r="E76" s="559">
        <f>SUMIF(Пр13!$C63:$C161,705,Пр13!I63:I161)</f>
        <v>0</v>
      </c>
      <c r="F76" s="559">
        <f>SUMIF(Пр13!$C63:$C161,705,Пр13!J63:J161)</f>
        <v>0</v>
      </c>
      <c r="G76" s="535">
        <f>SUMIF(Пр13!$C63:$C161,705,Пр13!K63:K161)</f>
        <v>0</v>
      </c>
      <c r="H76" s="535">
        <f>SUMIF(Пр13!$C63:$C161,705,Пр13!L63:L161)</f>
        <v>0</v>
      </c>
    </row>
    <row r="77" spans="1:8" ht="30.75" hidden="1" thickBot="1" x14ac:dyDescent="0.3">
      <c r="A77" s="545">
        <v>706</v>
      </c>
      <c r="B77" s="564" t="s">
        <v>145</v>
      </c>
      <c r="C77" s="559">
        <f>SUMIF(Пр13!$C15:$C124,706,Пр13!F15:F124)</f>
        <v>0</v>
      </c>
      <c r="D77" s="559">
        <f>SUMIF(Пр13!$C15:$C124,706,Пр13!G15:G124)</f>
        <v>0</v>
      </c>
      <c r="E77" s="559">
        <f>SUMIF(Пр13!$C15:$C124,706,Пр13!H15:H124)</f>
        <v>0</v>
      </c>
      <c r="F77" s="559">
        <f>SUMIF(Пр13!$C15:$C124,706,Пр13!I15:I124)</f>
        <v>0</v>
      </c>
      <c r="G77" s="535">
        <f>SUMIF(Пр13!$C15:$C124,706,Пр13!J15:J124)</f>
        <v>0</v>
      </c>
      <c r="H77" s="535">
        <f>SUMIF(Пр13!$C15:$C124,706,Пр13!K15:K124)</f>
        <v>0</v>
      </c>
    </row>
    <row r="78" spans="1:8" ht="15.75" hidden="1" thickBot="1" x14ac:dyDescent="0.3">
      <c r="A78" s="533">
        <v>707</v>
      </c>
      <c r="B78" s="558" t="s">
        <v>562</v>
      </c>
      <c r="C78" s="559">
        <f>SUMIF(Пр13!$C10:$C163,707,Пр13!G10:G163)</f>
        <v>0</v>
      </c>
      <c r="D78" s="559">
        <f>SUMIF(Пр13!$C10:$C163,707,Пр13!H10:H163)</f>
        <v>0</v>
      </c>
      <c r="E78" s="559">
        <f>SUMIF(Пр13!$C10:$C163,707,Пр13!I10:I163)</f>
        <v>0</v>
      </c>
      <c r="F78" s="559">
        <f>SUMIF(Пр13!$C10:$C163,707,Пр13!J10:J163)</f>
        <v>0</v>
      </c>
      <c r="G78" s="535">
        <f>SUMIF(Пр13!$C10:$C163,707,Пр13!K10:K163)</f>
        <v>0</v>
      </c>
      <c r="H78" s="535">
        <f>SUMIF(Пр13!$C10:$C163,707,Пр13!L10:L163)</f>
        <v>0</v>
      </c>
    </row>
    <row r="79" spans="1:8" ht="30.75" hidden="1" thickBot="1" x14ac:dyDescent="0.3">
      <c r="A79" s="533">
        <v>708</v>
      </c>
      <c r="B79" s="558" t="s">
        <v>146</v>
      </c>
      <c r="C79" s="559">
        <f>SUMIF(Пр13!$C17:$C126,7081,Пр13!F17:F126)</f>
        <v>0</v>
      </c>
      <c r="D79" s="559">
        <f>SUMIF(Пр13!$C17:$C126,7081,Пр13!G17:G126)</f>
        <v>0</v>
      </c>
      <c r="E79" s="559">
        <f>SUMIF(Пр13!$C17:$C126,7081,Пр13!H17:H126)</f>
        <v>0</v>
      </c>
      <c r="F79" s="559">
        <f>SUMIF(Пр13!$C17:$C126,7081,Пр13!I17:I126)</f>
        <v>0</v>
      </c>
      <c r="G79" s="535">
        <f>SUMIF(Пр13!$C17:$C126,7081,Пр13!J17:J126)</f>
        <v>0</v>
      </c>
      <c r="H79" s="535">
        <f>SUMIF(Пр13!$C17:$C126,7081,Пр13!K17:K126)</f>
        <v>0</v>
      </c>
    </row>
    <row r="80" spans="1:8" ht="15.75" hidden="1" thickBot="1" x14ac:dyDescent="0.3">
      <c r="A80" s="533">
        <v>709</v>
      </c>
      <c r="B80" s="558" t="s">
        <v>147</v>
      </c>
      <c r="C80" s="559">
        <f>SUMIF(Пр13!$C10:$C165,709,Пр13!G10:G165)</f>
        <v>0</v>
      </c>
      <c r="D80" s="559">
        <f>SUMIF(Пр13!$C10:$C165,709,Пр13!H10:H165)</f>
        <v>0</v>
      </c>
      <c r="E80" s="559">
        <f>SUMIF(Пр13!$C10:$C165,709,Пр13!I10:I165)</f>
        <v>0</v>
      </c>
      <c r="F80" s="559">
        <f>SUMIF(Пр13!$C10:$C165,709,Пр13!J10:J165)</f>
        <v>0</v>
      </c>
      <c r="G80" s="535">
        <f>SUMIF(Пр13!$C10:$C165,709,Пр13!K10:K165)</f>
        <v>0</v>
      </c>
      <c r="H80" s="535">
        <f>SUMIF(Пр13!$C10:$C165,709,Пр13!L10:L165)</f>
        <v>0</v>
      </c>
    </row>
    <row r="81" spans="1:8" ht="15" thickBot="1" x14ac:dyDescent="0.25">
      <c r="A81" s="555">
        <v>800</v>
      </c>
      <c r="B81" s="556" t="s">
        <v>148</v>
      </c>
      <c r="C81" s="557">
        <f>SUM(C82:C85)</f>
        <v>1000000</v>
      </c>
      <c r="D81" s="557">
        <f t="shared" ref="D81:E81" si="19">SUM(D82:D85)</f>
        <v>0</v>
      </c>
      <c r="E81" s="557">
        <f t="shared" si="19"/>
        <v>1000000</v>
      </c>
      <c r="F81" s="557">
        <f t="shared" ref="F81:H81" si="20">SUM(F82:F85)</f>
        <v>1000000</v>
      </c>
      <c r="G81" s="557">
        <f t="shared" si="20"/>
        <v>0</v>
      </c>
      <c r="H81" s="557">
        <f t="shared" si="20"/>
        <v>1000000</v>
      </c>
    </row>
    <row r="82" spans="1:8" ht="15.75" thickBot="1" x14ac:dyDescent="0.3">
      <c r="A82" s="533">
        <v>801</v>
      </c>
      <c r="B82" s="558" t="s">
        <v>149</v>
      </c>
      <c r="C82" s="559">
        <f>SUMIF(Пр13!$C10:$C121,801,Пр13!G10:G121)</f>
        <v>1000000</v>
      </c>
      <c r="D82" s="559">
        <f>SUMIF(Пр13!$C10:$C121,801,Пр13!H10:H121)</f>
        <v>0</v>
      </c>
      <c r="E82" s="559">
        <f>SUMIF(Пр13!$C10:$C121,801,Пр13!I10:I121)</f>
        <v>1000000</v>
      </c>
      <c r="F82" s="559">
        <f>SUMIF(Пр13!$C10:$C121,801,Пр13!J10:J121)</f>
        <v>1000000</v>
      </c>
      <c r="G82" s="535">
        <f>SUMIF(Пр13!$C10:$C121,801,Пр13!K10:K121)</f>
        <v>0</v>
      </c>
      <c r="H82" s="535">
        <f>SUMIF(Пр13!$C10:$C121,801,Пр13!L10:L121)</f>
        <v>1000000</v>
      </c>
    </row>
    <row r="83" spans="1:8" ht="15.75" hidden="1" thickBot="1" x14ac:dyDescent="0.3">
      <c r="A83" s="533">
        <v>802</v>
      </c>
      <c r="B83" s="558" t="s">
        <v>150</v>
      </c>
      <c r="C83" s="559">
        <f>SUMIF(Пр13!$C11:$C121,802,Пр13!G11:G121)</f>
        <v>0</v>
      </c>
      <c r="D83" s="559">
        <f>SUMIF(Пр13!$C11:$C121,802,Пр13!H11:H121)</f>
        <v>0</v>
      </c>
      <c r="E83" s="559">
        <f>SUMIF(Пр13!$C11:$C121,802,Пр13!I11:I121)</f>
        <v>0</v>
      </c>
      <c r="F83" s="559">
        <f>SUMIF(Пр13!$C11:$C121,802,Пр13!J11:J121)</f>
        <v>0</v>
      </c>
      <c r="G83" s="535">
        <f>SUMIF(Пр13!$C11:$C121,802,Пр13!K11:K121)</f>
        <v>0</v>
      </c>
      <c r="H83" s="535">
        <f>SUMIF(Пр13!$C11:$C121,802,Пр13!L11:L121)</f>
        <v>0</v>
      </c>
    </row>
    <row r="84" spans="1:8" ht="30.75" hidden="1" thickBot="1" x14ac:dyDescent="0.3">
      <c r="A84" s="533">
        <v>803</v>
      </c>
      <c r="B84" s="558" t="s">
        <v>151</v>
      </c>
      <c r="C84" s="559">
        <f>SUMIF(Пр13!$C12:$C121,803,Пр13!G12:G121)</f>
        <v>0</v>
      </c>
      <c r="D84" s="559">
        <f>SUMIF(Пр13!$C12:$C121,803,Пр13!H12:H121)</f>
        <v>0</v>
      </c>
      <c r="E84" s="559">
        <f>SUMIF(Пр13!$C12:$C121,803,Пр13!I12:I121)</f>
        <v>0</v>
      </c>
      <c r="F84" s="559">
        <f>SUMIF(Пр13!$C12:$C121,803,Пр13!J12:J121)</f>
        <v>0</v>
      </c>
      <c r="G84" s="535">
        <f>SUMIF(Пр13!$C12:$C121,803,Пр13!K12:K121)</f>
        <v>0</v>
      </c>
      <c r="H84" s="535">
        <f>SUMIF(Пр13!$C12:$C121,803,Пр13!L12:L121)</f>
        <v>0</v>
      </c>
    </row>
    <row r="85" spans="1:8" ht="30.75" hidden="1" thickBot="1" x14ac:dyDescent="0.3">
      <c r="A85" s="533">
        <v>804</v>
      </c>
      <c r="B85" s="558" t="s">
        <v>152</v>
      </c>
      <c r="C85" s="559">
        <f>SUMIF(Пр13!$C14:$C122,804,Пр13!G14:G122)</f>
        <v>0</v>
      </c>
      <c r="D85" s="559">
        <f>SUMIF(Пр13!$C14:$C122,804,Пр13!H14:H122)</f>
        <v>0</v>
      </c>
      <c r="E85" s="559">
        <f>SUMIF(Пр13!$C14:$C122,804,Пр13!I14:I122)</f>
        <v>0</v>
      </c>
      <c r="F85" s="559">
        <f>SUMIF(Пр13!$C14:$C122,804,Пр13!J14:J122)</f>
        <v>0</v>
      </c>
      <c r="G85" s="535">
        <f>SUMIF(Пр13!$C14:$C122,804,Пр13!K14:K122)</f>
        <v>0</v>
      </c>
      <c r="H85" s="535">
        <f>SUMIF(Пр13!$C14:$C122,804,Пр13!L14:L122)</f>
        <v>0</v>
      </c>
    </row>
    <row r="86" spans="1:8" ht="15" hidden="1" thickBot="1" x14ac:dyDescent="0.25">
      <c r="A86" s="560">
        <v>900</v>
      </c>
      <c r="B86" s="553" t="s">
        <v>153</v>
      </c>
      <c r="C86" s="562">
        <f>SUM(C87:C95)</f>
        <v>0</v>
      </c>
      <c r="D86" s="562">
        <f t="shared" ref="D86:E86" si="21">SUM(D87:D95)</f>
        <v>0</v>
      </c>
      <c r="E86" s="562">
        <f t="shared" si="21"/>
        <v>0</v>
      </c>
      <c r="F86" s="562">
        <f t="shared" ref="F86:H86" si="22">SUM(F87:F95)</f>
        <v>0</v>
      </c>
      <c r="G86" s="539">
        <f t="shared" si="22"/>
        <v>0</v>
      </c>
      <c r="H86" s="539">
        <f t="shared" si="22"/>
        <v>0</v>
      </c>
    </row>
    <row r="87" spans="1:8" ht="15.75" hidden="1" thickBot="1" x14ac:dyDescent="0.3">
      <c r="A87" s="533">
        <v>901</v>
      </c>
      <c r="B87" s="558" t="s">
        <v>154</v>
      </c>
      <c r="C87" s="559">
        <f>SUMIF(Пр13!$C10:$C121,901,Пр13!G10:G121)</f>
        <v>0</v>
      </c>
      <c r="D87" s="559">
        <f>SUMIF(Пр13!$C10:$C121,901,Пр13!H10:H121)</f>
        <v>0</v>
      </c>
      <c r="E87" s="559">
        <f>SUMIF(Пр13!$C10:$C121,901,Пр13!I10:I121)</f>
        <v>0</v>
      </c>
      <c r="F87" s="559">
        <f>SUMIF(Пр13!$C10:$C121,901,Пр13!J10:J121)</f>
        <v>0</v>
      </c>
      <c r="G87" s="535">
        <f>SUMIF(Пр13!$C10:$C121,901,Пр13!K10:K121)</f>
        <v>0</v>
      </c>
      <c r="H87" s="535">
        <f>SUMIF(Пр13!$C10:$C121,901,Пр13!L10:L121)</f>
        <v>0</v>
      </c>
    </row>
    <row r="88" spans="1:8" ht="15.75" hidden="1" thickBot="1" x14ac:dyDescent="0.3">
      <c r="A88" s="533">
        <v>902</v>
      </c>
      <c r="B88" s="558" t="s">
        <v>155</v>
      </c>
      <c r="C88" s="559">
        <f>SUMIF(Пр13!$C11:$C121,902,Пр13!G11:G121)</f>
        <v>0</v>
      </c>
      <c r="D88" s="559">
        <f>SUMIF(Пр13!$C11:$C121,902,Пр13!H11:H121)</f>
        <v>0</v>
      </c>
      <c r="E88" s="559">
        <f>SUMIF(Пр13!$C11:$C121,902,Пр13!I11:I121)</f>
        <v>0</v>
      </c>
      <c r="F88" s="559">
        <f>SUMIF(Пр13!$C11:$C121,902,Пр13!J11:J121)</f>
        <v>0</v>
      </c>
      <c r="G88" s="535">
        <f>SUMIF(Пр13!$C11:$C121,902,Пр13!K11:K121)</f>
        <v>0</v>
      </c>
      <c r="H88" s="535">
        <f>SUMIF(Пр13!$C11:$C121,902,Пр13!L11:L121)</f>
        <v>0</v>
      </c>
    </row>
    <row r="89" spans="1:8" ht="30.75" hidden="1" thickBot="1" x14ac:dyDescent="0.3">
      <c r="A89" s="533">
        <v>903</v>
      </c>
      <c r="B89" s="558" t="s">
        <v>156</v>
      </c>
      <c r="C89" s="559">
        <f>SUMIF(Пр13!$C12:$C121,903,Пр13!G12:G121)</f>
        <v>0</v>
      </c>
      <c r="D89" s="559">
        <f>SUMIF(Пр13!$C12:$C121,903,Пр13!H12:H121)</f>
        <v>0</v>
      </c>
      <c r="E89" s="559">
        <f>SUMIF(Пр13!$C12:$C121,903,Пр13!I12:I121)</f>
        <v>0</v>
      </c>
      <c r="F89" s="559">
        <f>SUMIF(Пр13!$C12:$C121,903,Пр13!J12:J121)</f>
        <v>0</v>
      </c>
      <c r="G89" s="535">
        <f>SUMIF(Пр13!$C12:$C121,903,Пр13!K12:K121)</f>
        <v>0</v>
      </c>
      <c r="H89" s="535">
        <f>SUMIF(Пр13!$C12:$C121,903,Пр13!L12:L121)</f>
        <v>0</v>
      </c>
    </row>
    <row r="90" spans="1:8" ht="15.75" hidden="1" thickBot="1" x14ac:dyDescent="0.3">
      <c r="A90" s="533">
        <v>904</v>
      </c>
      <c r="B90" s="558" t="s">
        <v>157</v>
      </c>
      <c r="C90" s="559">
        <f>SUMIF(Пр13!$C14:$C122,904,Пр13!G14:G122)</f>
        <v>0</v>
      </c>
      <c r="D90" s="559">
        <f>SUMIF(Пр13!$C14:$C122,904,Пр13!H14:H122)</f>
        <v>0</v>
      </c>
      <c r="E90" s="559">
        <f>SUMIF(Пр13!$C14:$C122,904,Пр13!I14:I122)</f>
        <v>0</v>
      </c>
      <c r="F90" s="559">
        <f>SUMIF(Пр13!$C14:$C122,904,Пр13!J14:J122)</f>
        <v>0</v>
      </c>
      <c r="G90" s="535">
        <f>SUMIF(Пр13!$C14:$C122,904,Пр13!K14:K122)</f>
        <v>0</v>
      </c>
      <c r="H90" s="535">
        <f>SUMIF(Пр13!$C14:$C122,904,Пр13!L14:L122)</f>
        <v>0</v>
      </c>
    </row>
    <row r="91" spans="1:8" ht="15.75" hidden="1" thickBot="1" x14ac:dyDescent="0.3">
      <c r="A91" s="533">
        <v>905</v>
      </c>
      <c r="B91" s="558" t="s">
        <v>158</v>
      </c>
      <c r="C91" s="559">
        <f>SUMIF(Пр13!$C15:$C123,905,Пр13!G15:G123)</f>
        <v>0</v>
      </c>
      <c r="D91" s="559">
        <f>SUMIF(Пр13!$C15:$C123,905,Пр13!H15:H123)</f>
        <v>0</v>
      </c>
      <c r="E91" s="559">
        <f>SUMIF(Пр13!$C15:$C123,905,Пр13!I15:I123)</f>
        <v>0</v>
      </c>
      <c r="F91" s="559">
        <f>SUMIF(Пр13!$C15:$C123,905,Пр13!J15:J123)</f>
        <v>0</v>
      </c>
      <c r="G91" s="535">
        <f>SUMIF(Пр13!$C15:$C123,905,Пр13!K15:K123)</f>
        <v>0</v>
      </c>
      <c r="H91" s="535">
        <f>SUMIF(Пр13!$C15:$C123,905,Пр13!L15:L123)</f>
        <v>0</v>
      </c>
    </row>
    <row r="92" spans="1:8" ht="30.75" hidden="1" thickBot="1" x14ac:dyDescent="0.3">
      <c r="A92" s="533">
        <v>906</v>
      </c>
      <c r="B92" s="558" t="s">
        <v>159</v>
      </c>
      <c r="C92" s="559">
        <f>SUMIF(Пр13!$C15:$C124,906,Пр13!F15:F124)</f>
        <v>0</v>
      </c>
      <c r="D92" s="559">
        <f>SUMIF(Пр13!$C15:$C124,906,Пр13!G15:G124)</f>
        <v>0</v>
      </c>
      <c r="E92" s="559">
        <f>SUMIF(Пр13!$C15:$C124,906,Пр13!H15:H124)</f>
        <v>0</v>
      </c>
      <c r="F92" s="559">
        <f>SUMIF(Пр13!$C15:$C124,906,Пр13!I15:I124)</f>
        <v>0</v>
      </c>
      <c r="G92" s="535">
        <f>SUMIF(Пр13!$C15:$C124,906,Пр13!J15:J124)</f>
        <v>0</v>
      </c>
      <c r="H92" s="535">
        <f>SUMIF(Пр13!$C15:$C124,906,Пр13!K15:K124)</f>
        <v>0</v>
      </c>
    </row>
    <row r="93" spans="1:8" ht="15.75" hidden="1" thickBot="1" x14ac:dyDescent="0.3">
      <c r="A93" s="533">
        <v>907</v>
      </c>
      <c r="B93" s="558" t="s">
        <v>160</v>
      </c>
      <c r="C93" s="559">
        <f>SUMIF(Пр13!$C16:$C125,907,Пр13!F16:F125)</f>
        <v>0</v>
      </c>
      <c r="D93" s="559">
        <f>SUMIF(Пр13!$C16:$C125,907,Пр13!G16:G125)</f>
        <v>0</v>
      </c>
      <c r="E93" s="559">
        <f>SUMIF(Пр13!$C16:$C125,907,Пр13!H16:H125)</f>
        <v>0</v>
      </c>
      <c r="F93" s="559">
        <f>SUMIF(Пр13!$C16:$C125,907,Пр13!I16:I125)</f>
        <v>0</v>
      </c>
      <c r="G93" s="535">
        <f>SUMIF(Пр13!$C16:$C125,907,Пр13!J16:J125)</f>
        <v>0</v>
      </c>
      <c r="H93" s="535">
        <f>SUMIF(Пр13!$C16:$C125,907,Пр13!K16:K125)</f>
        <v>0</v>
      </c>
    </row>
    <row r="94" spans="1:8" ht="30.75" hidden="1" thickBot="1" x14ac:dyDescent="0.3">
      <c r="A94" s="533">
        <v>908</v>
      </c>
      <c r="B94" s="558" t="s">
        <v>161</v>
      </c>
      <c r="C94" s="559">
        <f>SUMIF(Пр13!$C17:$C126,908,Пр13!F17:F126)</f>
        <v>0</v>
      </c>
      <c r="D94" s="559">
        <f>SUMIF(Пр13!$C17:$C126,908,Пр13!G17:G126)</f>
        <v>0</v>
      </c>
      <c r="E94" s="559">
        <f>SUMIF(Пр13!$C17:$C126,908,Пр13!H17:H126)</f>
        <v>0</v>
      </c>
      <c r="F94" s="559">
        <f>SUMIF(Пр13!$C17:$C126,908,Пр13!I17:I126)</f>
        <v>0</v>
      </c>
      <c r="G94" s="535">
        <f>SUMIF(Пр13!$C17:$C126,908,Пр13!J17:J126)</f>
        <v>0</v>
      </c>
      <c r="H94" s="535">
        <f>SUMIF(Пр13!$C17:$C126,908,Пр13!K17:K126)</f>
        <v>0</v>
      </c>
    </row>
    <row r="95" spans="1:8" ht="15.75" hidden="1" thickBot="1" x14ac:dyDescent="0.3">
      <c r="A95" s="533">
        <v>909</v>
      </c>
      <c r="B95" s="558" t="s">
        <v>162</v>
      </c>
      <c r="C95" s="559">
        <f>SUMIF(Пр13!$C18:$C127,909,Пр13!F18:F127)</f>
        <v>0</v>
      </c>
      <c r="D95" s="559">
        <f>SUMIF(Пр13!$C18:$C127,909,Пр13!G18:G127)</f>
        <v>0</v>
      </c>
      <c r="E95" s="559">
        <f>SUMIF(Пр13!$C18:$C127,909,Пр13!H18:H127)</f>
        <v>0</v>
      </c>
      <c r="F95" s="559">
        <f>SUMIF(Пр13!$C18:$C127,909,Пр13!I18:I127)</f>
        <v>0</v>
      </c>
      <c r="G95" s="535">
        <f>SUMIF(Пр13!$C18:$C127,909,Пр13!J18:J127)</f>
        <v>0</v>
      </c>
      <c r="H95" s="535">
        <f>SUMIF(Пр13!$C18:$C127,909,Пр13!K18:K127)</f>
        <v>0</v>
      </c>
    </row>
    <row r="96" spans="1:8" ht="15" thickBot="1" x14ac:dyDescent="0.25">
      <c r="A96" s="555">
        <v>1000</v>
      </c>
      <c r="B96" s="556" t="s">
        <v>163</v>
      </c>
      <c r="C96" s="557">
        <f>SUM(C97:C102)</f>
        <v>2230800</v>
      </c>
      <c r="D96" s="557">
        <f t="shared" ref="D96:E96" si="23">SUM(D97:D102)</f>
        <v>0</v>
      </c>
      <c r="E96" s="557">
        <f t="shared" si="23"/>
        <v>2230800</v>
      </c>
      <c r="F96" s="557">
        <f t="shared" ref="F96:H96" si="24">SUM(F97:F102)</f>
        <v>2230800</v>
      </c>
      <c r="G96" s="557">
        <f t="shared" si="24"/>
        <v>0</v>
      </c>
      <c r="H96" s="557">
        <f t="shared" si="24"/>
        <v>2230800</v>
      </c>
    </row>
    <row r="97" spans="1:8" ht="15.75" thickBot="1" x14ac:dyDescent="0.3">
      <c r="A97" s="533">
        <v>1001</v>
      </c>
      <c r="B97" s="558" t="s">
        <v>164</v>
      </c>
      <c r="C97" s="559">
        <f>SUMIF(Пр13!$C10:$C121,1001,Пр13!G10:G121)</f>
        <v>730800</v>
      </c>
      <c r="D97" s="559">
        <f>SUMIF(Пр13!$C10:$C121,1001,Пр13!H10:H121)</f>
        <v>0</v>
      </c>
      <c r="E97" s="559">
        <f>SUMIF(Пр13!$C10:$C121,1001,Пр13!I10:I121)</f>
        <v>730800</v>
      </c>
      <c r="F97" s="559">
        <f>SUMIF(Пр13!$C10:$C121,1001,Пр13!J10:J121)</f>
        <v>730800</v>
      </c>
      <c r="G97" s="535">
        <f>SUMIF(Пр13!$C10:$C121,1001,Пр13!K10:K121)</f>
        <v>0</v>
      </c>
      <c r="H97" s="535">
        <f>SUMIF(Пр13!$C10:$C121,1001,Пр13!L10:L121)</f>
        <v>730800</v>
      </c>
    </row>
    <row r="98" spans="1:8" ht="15.75" hidden="1" thickBot="1" x14ac:dyDescent="0.3">
      <c r="A98" s="533">
        <v>1002</v>
      </c>
      <c r="B98" s="558" t="s">
        <v>165</v>
      </c>
      <c r="C98" s="559">
        <f>SUMIF(Пр13!$C11:$C121,1002,Пр13!G11:G121)</f>
        <v>0</v>
      </c>
      <c r="D98" s="559">
        <f>SUMIF(Пр13!$C11:$C121,1002,Пр13!H11:H121)</f>
        <v>0</v>
      </c>
      <c r="E98" s="559">
        <f>SUMIF(Пр13!$C11:$C121,1002,Пр13!I11:I121)</f>
        <v>0</v>
      </c>
      <c r="F98" s="559">
        <f>SUMIF(Пр13!$C11:$C121,1002,Пр13!J11:J121)</f>
        <v>0</v>
      </c>
      <c r="G98" s="535">
        <f>SUMIF(Пр13!$C11:$C121,1002,Пр13!K11:K121)</f>
        <v>0</v>
      </c>
      <c r="H98" s="535">
        <f>SUMIF(Пр13!$C11:$C121,1002,Пр13!L11:L121)</f>
        <v>0</v>
      </c>
    </row>
    <row r="99" spans="1:8" ht="15.75" thickBot="1" x14ac:dyDescent="0.3">
      <c r="A99" s="533">
        <v>1003</v>
      </c>
      <c r="B99" s="558" t="s">
        <v>166</v>
      </c>
      <c r="C99" s="559">
        <f>SUMIF(Пр13!$C12:$C121,1003,Пр13!G12:G121)</f>
        <v>1500000</v>
      </c>
      <c r="D99" s="559">
        <f>SUMIF(Пр13!$C12:$C121,1003,Пр13!H12:H121)</f>
        <v>0</v>
      </c>
      <c r="E99" s="559">
        <f>SUMIF(Пр13!$C12:$C121,1003,Пр13!I12:I121)</f>
        <v>1500000</v>
      </c>
      <c r="F99" s="559">
        <f>SUMIF(Пр13!$C12:$C121,1003,Пр13!J12:J121)</f>
        <v>1500000</v>
      </c>
      <c r="G99" s="535">
        <f>SUMIF(Пр13!$C12:$C121,1003,Пр13!K12:K121)</f>
        <v>0</v>
      </c>
      <c r="H99" s="535">
        <f>SUMIF(Пр13!$C12:$C121,1003,Пр13!L12:L121)</f>
        <v>1500000</v>
      </c>
    </row>
    <row r="100" spans="1:8" ht="15.75" hidden="1" thickBot="1" x14ac:dyDescent="0.3">
      <c r="A100" s="533">
        <v>1004</v>
      </c>
      <c r="B100" s="558" t="s">
        <v>167</v>
      </c>
      <c r="C100" s="559">
        <f>SUMIF(Пр13!$C14:$C122,1004,Пр13!G14:G122)</f>
        <v>0</v>
      </c>
      <c r="D100" s="559">
        <f>SUMIF(Пр13!$C14:$C122,1004,Пр13!H14:H122)</f>
        <v>0</v>
      </c>
      <c r="E100" s="559">
        <f>SUMIF(Пр13!$C14:$C122,1004,Пр13!I14:I122)</f>
        <v>0</v>
      </c>
      <c r="F100" s="559">
        <f>SUMIF(Пр13!$C14:$C122,1004,Пр13!J14:J122)</f>
        <v>0</v>
      </c>
      <c r="G100" s="535">
        <f>SUMIF(Пр13!$C14:$C122,1004,Пр13!K14:K122)</f>
        <v>0</v>
      </c>
      <c r="H100" s="535">
        <f>SUMIF(Пр13!$C14:$C122,1004,Пр13!L14:L122)</f>
        <v>0</v>
      </c>
    </row>
    <row r="101" spans="1:8" ht="30.75" hidden="1" thickBot="1" x14ac:dyDescent="0.3">
      <c r="A101" s="533">
        <v>1005</v>
      </c>
      <c r="B101" s="558" t="s">
        <v>168</v>
      </c>
      <c r="C101" s="559">
        <f>SUMIF(Пр13!$C15:$C123,1005,Пр13!G15:G123)</f>
        <v>0</v>
      </c>
      <c r="D101" s="559">
        <f>SUMIF(Пр13!$C15:$C123,1005,Пр13!H15:H123)</f>
        <v>0</v>
      </c>
      <c r="E101" s="559">
        <f>SUMIF(Пр13!$C15:$C123,1005,Пр13!I15:I123)</f>
        <v>0</v>
      </c>
      <c r="F101" s="559">
        <f>SUMIF(Пр13!$C15:$C123,1005,Пр13!J15:J123)</f>
        <v>0</v>
      </c>
      <c r="G101" s="535">
        <f>SUMIF(Пр13!$C15:$C123,1005,Пр13!K15:K123)</f>
        <v>0</v>
      </c>
      <c r="H101" s="535">
        <f>SUMIF(Пр13!$C15:$C123,1005,Пр13!L15:L123)</f>
        <v>0</v>
      </c>
    </row>
    <row r="102" spans="1:8" ht="15.75" hidden="1" thickBot="1" x14ac:dyDescent="0.3">
      <c r="A102" s="533">
        <v>1006</v>
      </c>
      <c r="B102" s="558" t="s">
        <v>169</v>
      </c>
      <c r="C102" s="559">
        <f>SUMIF(Пр13!$C16:$C124,1006,Пр13!G16:G124)</f>
        <v>0</v>
      </c>
      <c r="D102" s="559">
        <f>SUMIF(Пр13!$C16:$C124,1006,Пр13!H16:H124)</f>
        <v>0</v>
      </c>
      <c r="E102" s="559">
        <f>SUMIF(Пр13!$C16:$C124,1006,Пр13!I16:I124)</f>
        <v>0</v>
      </c>
      <c r="F102" s="559">
        <f>SUMIF(Пр13!$C16:$C124,1006,Пр13!J16:J124)</f>
        <v>0</v>
      </c>
      <c r="G102" s="535">
        <f>SUMIF(Пр13!$C16:$C124,1006,Пр13!K16:K124)</f>
        <v>0</v>
      </c>
      <c r="H102" s="535">
        <f>SUMIF(Пр13!$C16:$C124,1006,Пр13!L16:L124)</f>
        <v>0</v>
      </c>
    </row>
    <row r="103" spans="1:8" ht="15" hidden="1" thickBot="1" x14ac:dyDescent="0.25">
      <c r="A103" s="560">
        <v>1100</v>
      </c>
      <c r="B103" s="553" t="s">
        <v>170</v>
      </c>
      <c r="C103" s="562">
        <f>SUM(C104:C108)</f>
        <v>0</v>
      </c>
      <c r="D103" s="562">
        <f t="shared" ref="D103:E103" si="25">SUM(D104:D108)</f>
        <v>0</v>
      </c>
      <c r="E103" s="562">
        <f t="shared" si="25"/>
        <v>0</v>
      </c>
      <c r="F103" s="562">
        <f t="shared" ref="F103" si="26">SUM(F104:F108)</f>
        <v>0</v>
      </c>
      <c r="G103" s="539">
        <f t="shared" ref="G103" si="27">SUM(G104:G108)</f>
        <v>0</v>
      </c>
      <c r="H103" s="539">
        <f t="shared" ref="H103" si="28">SUM(H104:H108)</f>
        <v>0</v>
      </c>
    </row>
    <row r="104" spans="1:8" ht="15.75" hidden="1" thickBot="1" x14ac:dyDescent="0.3">
      <c r="A104" s="533">
        <v>1101</v>
      </c>
      <c r="B104" s="558" t="s">
        <v>171</v>
      </c>
      <c r="C104" s="559">
        <f>SUMIF(Пр13!$C10:$C121,1101,Пр13!G10:G121)</f>
        <v>0</v>
      </c>
      <c r="D104" s="559">
        <f>SUMIF(Пр13!$C10:$C121,1101,Пр13!H10:H121)</f>
        <v>0</v>
      </c>
      <c r="E104" s="559">
        <f>SUMIF(Пр13!$C10:$C121,1101,Пр13!I10:I121)</f>
        <v>0</v>
      </c>
      <c r="F104" s="559">
        <f>SUMIF(Пр13!$C10:$C121,1101,Пр13!J10:J121)</f>
        <v>0</v>
      </c>
      <c r="G104" s="535">
        <f>SUMIF(Пр13!$C10:$C121,1101,Пр13!K10:K121)</f>
        <v>0</v>
      </c>
      <c r="H104" s="535">
        <f>SUMIF(Пр13!$C10:$C121,1101,Пр13!L10:L121)</f>
        <v>0</v>
      </c>
    </row>
    <row r="105" spans="1:8" ht="15.75" hidden="1" thickBot="1" x14ac:dyDescent="0.3">
      <c r="A105" s="533">
        <v>1102</v>
      </c>
      <c r="B105" s="558" t="s">
        <v>172</v>
      </c>
      <c r="C105" s="559">
        <f>SUMIF(Пр13!$C11:$C121,1102,Пр13!G11:G121)</f>
        <v>0</v>
      </c>
      <c r="D105" s="559">
        <f>SUMIF(Пр13!$C11:$C121,1102,Пр13!H11:H121)</f>
        <v>0</v>
      </c>
      <c r="E105" s="559">
        <f>SUMIF(Пр13!$C11:$C121,1102,Пр13!I11:I121)</f>
        <v>0</v>
      </c>
      <c r="F105" s="559">
        <f>SUMIF(Пр13!$C11:$C121,1102,Пр13!J11:J121)</f>
        <v>0</v>
      </c>
      <c r="G105" s="535">
        <f>SUMIF(Пр13!$C11:$C121,1102,Пр13!K11:K121)</f>
        <v>0</v>
      </c>
      <c r="H105" s="535">
        <f>SUMIF(Пр13!$C11:$C121,1102,Пр13!L11:L121)</f>
        <v>0</v>
      </c>
    </row>
    <row r="106" spans="1:8" ht="15.75" hidden="1" thickBot="1" x14ac:dyDescent="0.3">
      <c r="A106" s="533">
        <v>1103</v>
      </c>
      <c r="B106" s="558" t="s">
        <v>173</v>
      </c>
      <c r="C106" s="559">
        <f>SUMIF(Пр13!$C12:$C121,1103,Пр13!G12:G121)</f>
        <v>0</v>
      </c>
      <c r="D106" s="559">
        <f>SUMIF(Пр13!$C12:$C121,1103,Пр13!H12:H121)</f>
        <v>0</v>
      </c>
      <c r="E106" s="559">
        <f>SUMIF(Пр13!$C12:$C121,1103,Пр13!I12:I121)</f>
        <v>0</v>
      </c>
      <c r="F106" s="559">
        <f>SUMIF(Пр13!$C12:$C121,1103,Пр13!J12:J121)</f>
        <v>0</v>
      </c>
      <c r="G106" s="535">
        <f>SUMIF(Пр13!$C12:$C121,1103,Пр13!K12:K121)</f>
        <v>0</v>
      </c>
      <c r="H106" s="535">
        <f>SUMIF(Пр13!$C12:$C121,1103,Пр13!L12:L121)</f>
        <v>0</v>
      </c>
    </row>
    <row r="107" spans="1:8" ht="30.75" hidden="1" thickBot="1" x14ac:dyDescent="0.3">
      <c r="A107" s="533">
        <v>1104</v>
      </c>
      <c r="B107" s="558" t="s">
        <v>174</v>
      </c>
      <c r="C107" s="559">
        <f>SUMIF(Пр13!$C14:$C122,1104,Пр13!G14:G122)</f>
        <v>0</v>
      </c>
      <c r="D107" s="559">
        <f>SUMIF(Пр13!$C14:$C122,1104,Пр13!H14:H122)</f>
        <v>0</v>
      </c>
      <c r="E107" s="559">
        <f>SUMIF(Пр13!$C14:$C122,1104,Пр13!I14:I122)</f>
        <v>0</v>
      </c>
      <c r="F107" s="559">
        <f>SUMIF(Пр13!$C14:$C122,1104,Пр13!J14:J122)</f>
        <v>0</v>
      </c>
      <c r="G107" s="535">
        <f>SUMIF(Пр13!$C14:$C122,1104,Пр13!K14:K122)</f>
        <v>0</v>
      </c>
      <c r="H107" s="535">
        <f>SUMIF(Пр13!$C14:$C122,1104,Пр13!L14:L122)</f>
        <v>0</v>
      </c>
    </row>
    <row r="108" spans="1:8" ht="30.75" hidden="1" thickBot="1" x14ac:dyDescent="0.3">
      <c r="A108" s="533">
        <v>1105</v>
      </c>
      <c r="B108" s="558" t="s">
        <v>175</v>
      </c>
      <c r="C108" s="559">
        <f>SUMIF(Пр13!$C15:$C123,1105,Пр13!G15:G123)</f>
        <v>0</v>
      </c>
      <c r="D108" s="559">
        <f>SUMIF(Пр13!$C15:$C123,1105,Пр13!H15:H123)</f>
        <v>0</v>
      </c>
      <c r="E108" s="559">
        <f>SUMIF(Пр13!$C15:$C123,1105,Пр13!I15:I123)</f>
        <v>0</v>
      </c>
      <c r="F108" s="559">
        <f>SUMIF(Пр13!$C15:$C123,1105,Пр13!J15:J123)</f>
        <v>0</v>
      </c>
      <c r="G108" s="535">
        <f>SUMIF(Пр13!$C15:$C123,1105,Пр13!K15:K123)</f>
        <v>0</v>
      </c>
      <c r="H108" s="535">
        <f>SUMIF(Пр13!$C15:$C123,1105,Пр13!L15:L123)</f>
        <v>0</v>
      </c>
    </row>
    <row r="109" spans="1:8" ht="15" hidden="1" thickBot="1" x14ac:dyDescent="0.25">
      <c r="A109" s="560">
        <v>1200</v>
      </c>
      <c r="B109" s="553" t="s">
        <v>176</v>
      </c>
      <c r="C109" s="562">
        <f>SUM(C110:C113)</f>
        <v>0</v>
      </c>
      <c r="D109" s="562">
        <f t="shared" ref="D109:E109" si="29">SUM(D110:D113)</f>
        <v>0</v>
      </c>
      <c r="E109" s="562">
        <f t="shared" si="29"/>
        <v>0</v>
      </c>
      <c r="F109" s="562">
        <f t="shared" ref="F109:H109" si="30">SUM(F110:F113)</f>
        <v>0</v>
      </c>
      <c r="G109" s="539">
        <f t="shared" si="30"/>
        <v>0</v>
      </c>
      <c r="H109" s="539">
        <f t="shared" si="30"/>
        <v>0</v>
      </c>
    </row>
    <row r="110" spans="1:8" ht="15.75" hidden="1" thickBot="1" x14ac:dyDescent="0.3">
      <c r="A110" s="533">
        <v>1201</v>
      </c>
      <c r="B110" s="558" t="s">
        <v>177</v>
      </c>
      <c r="C110" s="559">
        <f>SUMIF(Пр13!$C10:$C121,1201,Пр13!G10:G121)</f>
        <v>0</v>
      </c>
      <c r="D110" s="559">
        <f>SUMIF(Пр13!$C10:$C121,1201,Пр13!H10:H121)</f>
        <v>0</v>
      </c>
      <c r="E110" s="559">
        <f>SUMIF(Пр13!$C10:$C121,1201,Пр13!I10:I121)</f>
        <v>0</v>
      </c>
      <c r="F110" s="559">
        <f>SUMIF(Пр13!$C10:$C121,1201,Пр13!J10:J121)</f>
        <v>0</v>
      </c>
      <c r="G110" s="535">
        <f>SUMIF(Пр13!$C10:$C121,1201,Пр13!K10:K121)</f>
        <v>0</v>
      </c>
      <c r="H110" s="535">
        <f>SUMIF(Пр13!$C10:$C121,1201,Пр13!L10:L121)</f>
        <v>0</v>
      </c>
    </row>
    <row r="111" spans="1:8" ht="15.75" hidden="1" thickBot="1" x14ac:dyDescent="0.3">
      <c r="A111" s="533">
        <v>1202</v>
      </c>
      <c r="B111" s="558" t="s">
        <v>178</v>
      </c>
      <c r="C111" s="559">
        <f>SUMIF(Пр13!$C11:$C121,1202,Пр13!G11:G121)</f>
        <v>0</v>
      </c>
      <c r="D111" s="559">
        <f>SUMIF(Пр13!$C11:$C121,1202,Пр13!H11:H121)</f>
        <v>0</v>
      </c>
      <c r="E111" s="559">
        <f>SUMIF(Пр13!$C11:$C121,1202,Пр13!I11:I121)</f>
        <v>0</v>
      </c>
      <c r="F111" s="559">
        <f>SUMIF(Пр13!$C11:$C121,1202,Пр13!J11:J121)</f>
        <v>0</v>
      </c>
      <c r="G111" s="535">
        <f>SUMIF(Пр13!$C11:$C121,1202,Пр13!K11:K121)</f>
        <v>0</v>
      </c>
      <c r="H111" s="535">
        <f>SUMIF(Пр13!$C11:$C121,1202,Пр13!L11:L121)</f>
        <v>0</v>
      </c>
    </row>
    <row r="112" spans="1:8" ht="30.75" hidden="1" thickBot="1" x14ac:dyDescent="0.3">
      <c r="A112" s="533">
        <v>1203</v>
      </c>
      <c r="B112" s="558" t="s">
        <v>179</v>
      </c>
      <c r="C112" s="559">
        <f>SUMIF(Пр13!$C12:$C121,1203,Пр13!G12:G121)</f>
        <v>0</v>
      </c>
      <c r="D112" s="559">
        <f>SUMIF(Пр13!$C12:$C121,1203,Пр13!H12:H121)</f>
        <v>0</v>
      </c>
      <c r="E112" s="559">
        <f>SUMIF(Пр13!$C12:$C121,1203,Пр13!I12:I121)</f>
        <v>0</v>
      </c>
      <c r="F112" s="559">
        <f>SUMIF(Пр13!$C12:$C121,1203,Пр13!J12:J121)</f>
        <v>0</v>
      </c>
      <c r="G112" s="535">
        <f>SUMIF(Пр13!$C12:$C121,1203,Пр13!K12:K121)</f>
        <v>0</v>
      </c>
      <c r="H112" s="535">
        <f>SUMIF(Пр13!$C12:$C121,1203,Пр13!L12:L121)</f>
        <v>0</v>
      </c>
    </row>
    <row r="113" spans="1:8" ht="30.75" hidden="1" thickBot="1" x14ac:dyDescent="0.3">
      <c r="A113" s="533">
        <v>1204</v>
      </c>
      <c r="B113" s="558" t="s">
        <v>180</v>
      </c>
      <c r="C113" s="559">
        <f>SUMIF(Пр13!$C14:$C122,1204,Пр13!G14:G122)</f>
        <v>0</v>
      </c>
      <c r="D113" s="559">
        <f>SUMIF(Пр13!$C14:$C122,1204,Пр13!H14:H122)</f>
        <v>0</v>
      </c>
      <c r="E113" s="559">
        <f>SUMIF(Пр13!$C14:$C122,1204,Пр13!I14:I122)</f>
        <v>0</v>
      </c>
      <c r="F113" s="559">
        <f>SUMIF(Пр13!$C14:$C122,1204,Пр13!J14:J122)</f>
        <v>0</v>
      </c>
      <c r="G113" s="535">
        <f>SUMIF(Пр13!$C14:$C122,1204,Пр13!K14:K122)</f>
        <v>0</v>
      </c>
      <c r="H113" s="535">
        <f>SUMIF(Пр13!$C14:$C122,1204,Пр13!L14:L122)</f>
        <v>0</v>
      </c>
    </row>
    <row r="114" spans="1:8" ht="29.25" thickBot="1" x14ac:dyDescent="0.25">
      <c r="A114" s="555">
        <v>1300</v>
      </c>
      <c r="B114" s="556" t="s">
        <v>181</v>
      </c>
      <c r="C114" s="557">
        <f>SUM(C115:C116)</f>
        <v>1700000</v>
      </c>
      <c r="D114" s="557">
        <f t="shared" ref="D114:E114" si="31">SUM(D115:D116)</f>
        <v>0</v>
      </c>
      <c r="E114" s="557">
        <f t="shared" si="31"/>
        <v>1700000</v>
      </c>
      <c r="F114" s="557">
        <f t="shared" ref="F114:H114" si="32">SUM(F115:F116)</f>
        <v>1700000</v>
      </c>
      <c r="G114" s="557">
        <f t="shared" si="32"/>
        <v>0</v>
      </c>
      <c r="H114" s="557">
        <f t="shared" si="32"/>
        <v>1700000</v>
      </c>
    </row>
    <row r="115" spans="1:8" ht="30.75" thickBot="1" x14ac:dyDescent="0.3">
      <c r="A115" s="533">
        <v>1301</v>
      </c>
      <c r="B115" s="558" t="s">
        <v>182</v>
      </c>
      <c r="C115" s="559">
        <f>SUMIF(Пр13!$C10:$C121,1301,Пр13!G10:G121)</f>
        <v>1700000</v>
      </c>
      <c r="D115" s="559">
        <f>SUMIF(Пр13!$C10:$C121,1301,Пр13!H10:H121)</f>
        <v>0</v>
      </c>
      <c r="E115" s="559">
        <f>SUMIF(Пр13!$C10:$C121,1301,Пр13!I10:I121)</f>
        <v>1700000</v>
      </c>
      <c r="F115" s="565">
        <f>SUMIF(Пр13!$C10:$C121,1301,Пр13!J10:J121)</f>
        <v>1700000</v>
      </c>
      <c r="G115" s="535">
        <f>SUMIF(Пр13!$C10:$C121,1301,Пр13!K10:K121)</f>
        <v>0</v>
      </c>
      <c r="H115" s="535">
        <f>SUMIF(Пр13!$C10:$C121,1301,Пр13!L10:L121)</f>
        <v>1700000</v>
      </c>
    </row>
    <row r="116" spans="1:8" ht="15.75" hidden="1" thickBot="1" x14ac:dyDescent="0.3">
      <c r="A116" s="533">
        <v>1302</v>
      </c>
      <c r="B116" s="558" t="s">
        <v>183</v>
      </c>
      <c r="C116" s="559">
        <f>SUMIF(Пр13!$C11:$C121,1302,Пр13!G11:G121)</f>
        <v>0</v>
      </c>
      <c r="D116" s="559">
        <f>SUMIF(Пр13!$C11:$C121,1302,Пр13!H11:H121)</f>
        <v>0</v>
      </c>
      <c r="E116" s="559">
        <f>SUMIF(Пр13!$C11:$C121,1302,Пр13!I11:I121)</f>
        <v>0</v>
      </c>
      <c r="F116" s="559">
        <f>SUMIF(Пр13!$C11:$C121,1302,Пр13!J11:J121)</f>
        <v>0</v>
      </c>
      <c r="G116" s="535">
        <f>SUMIF(Пр13!$C11:$C121,1302,Пр13!K11:K121)</f>
        <v>0</v>
      </c>
      <c r="H116" s="535">
        <f>SUMIF(Пр13!$C11:$C121,1302,Пр13!L11:L121)</f>
        <v>0</v>
      </c>
    </row>
    <row r="117" spans="1:8" ht="57.75" hidden="1" thickBot="1" x14ac:dyDescent="0.25">
      <c r="A117" s="560">
        <v>1400</v>
      </c>
      <c r="B117" s="553" t="s">
        <v>184</v>
      </c>
      <c r="C117" s="562">
        <f>SUM(C118:C120)</f>
        <v>0</v>
      </c>
      <c r="D117" s="562">
        <f t="shared" ref="D117:E117" si="33">SUM(D118:D120)</f>
        <v>0</v>
      </c>
      <c r="E117" s="562">
        <f t="shared" si="33"/>
        <v>0</v>
      </c>
      <c r="F117" s="562">
        <f t="shared" ref="F117:H117" si="34">SUM(F118:F120)</f>
        <v>0</v>
      </c>
      <c r="G117" s="539">
        <f t="shared" si="34"/>
        <v>0</v>
      </c>
      <c r="H117" s="539">
        <f t="shared" si="34"/>
        <v>0</v>
      </c>
    </row>
    <row r="118" spans="1:8" ht="45.75" hidden="1" thickBot="1" x14ac:dyDescent="0.3">
      <c r="A118" s="533">
        <v>1401</v>
      </c>
      <c r="B118" s="558" t="s">
        <v>185</v>
      </c>
      <c r="C118" s="559">
        <f>SUMIF(Пр13!$C10:$C121,1401,Пр13!G10:G121)</f>
        <v>0</v>
      </c>
      <c r="D118" s="559">
        <f>SUMIF(Пр13!$C10:$C121,1401,Пр13!H10:H121)</f>
        <v>0</v>
      </c>
      <c r="E118" s="559">
        <f>SUMIF(Пр13!$C10:$C121,1401,Пр13!I10:I121)</f>
        <v>0</v>
      </c>
      <c r="F118" s="559">
        <f>SUMIF(Пр13!$C10:$C121,1401,Пр13!J10:J121)</f>
        <v>0</v>
      </c>
      <c r="G118" s="535">
        <f>SUMIF(Пр13!$C10:$C121,1401,Пр13!K10:K121)</f>
        <v>0</v>
      </c>
      <c r="H118" s="535">
        <f>SUMIF(Пр13!$C10:$C121,1401,Пр13!L10:L121)</f>
        <v>0</v>
      </c>
    </row>
    <row r="119" spans="1:8" ht="15.75" hidden="1" thickBot="1" x14ac:dyDescent="0.3">
      <c r="A119" s="533">
        <v>1402</v>
      </c>
      <c r="B119" s="558" t="s">
        <v>186</v>
      </c>
      <c r="C119" s="559">
        <f>SUMIF(Пр13!$C11:$C121,1402,Пр13!G11:G121)</f>
        <v>0</v>
      </c>
      <c r="D119" s="559">
        <f>SUMIF(Пр13!$C11:$C121,1402,Пр13!H11:H121)</f>
        <v>0</v>
      </c>
      <c r="E119" s="559">
        <f>SUMIF(Пр13!$C11:$C121,1402,Пр13!I11:I121)</f>
        <v>0</v>
      </c>
      <c r="F119" s="559">
        <f>SUMIF(Пр13!$C11:$C121,1402,Пр13!J11:J121)</f>
        <v>0</v>
      </c>
      <c r="G119" s="535">
        <f>SUMIF(Пр13!$C11:$C121,1402,Пр13!K11:K121)</f>
        <v>0</v>
      </c>
      <c r="H119" s="535">
        <f>SUMIF(Пр13!$C11:$C121,1402,Пр13!L11:L121)</f>
        <v>0</v>
      </c>
    </row>
    <row r="120" spans="1:8" ht="45.75" hidden="1" thickBot="1" x14ac:dyDescent="0.3">
      <c r="A120" s="533">
        <v>1403</v>
      </c>
      <c r="B120" s="558" t="s">
        <v>187</v>
      </c>
      <c r="C120" s="559">
        <f>SUMIF(Пр13!$C12:$C121,1403,Пр13!G12:G121)</f>
        <v>0</v>
      </c>
      <c r="D120" s="559">
        <f>SUMIF(Пр13!$C12:$C121,1403,Пр13!H12:H121)</f>
        <v>0</v>
      </c>
      <c r="E120" s="559">
        <f>SUMIF(Пр13!$C12:$C121,1403,Пр13!I12:I121)</f>
        <v>0</v>
      </c>
      <c r="F120" s="559">
        <f>SUMIF(Пр13!$C12:$C121,1403,Пр13!J12:J121)</f>
        <v>0</v>
      </c>
      <c r="G120" s="535">
        <f>SUMIF(Пр13!$C12:$C121,1403,Пр13!K12:K121)</f>
        <v>0</v>
      </c>
      <c r="H120" s="535">
        <f>SUMIF(Пр13!$C12:$C121,1403,Пр13!L12:L121)</f>
        <v>0</v>
      </c>
    </row>
    <row r="121" spans="1:8" ht="15" thickBot="1" x14ac:dyDescent="0.25">
      <c r="A121" s="607" t="s">
        <v>69</v>
      </c>
      <c r="B121" s="607"/>
      <c r="C121" s="562">
        <f ca="1">C9+C23+C33+C46+C59+C65+C71+C81+C86+C96+C103+C109+C114+C117</f>
        <v>107334825</v>
      </c>
      <c r="D121" s="562">
        <f ca="1">D9+D23+D33+D46+D59+D65+D71+D81+D86+D96+D103+D109+D114+D117</f>
        <v>0</v>
      </c>
      <c r="E121" s="562">
        <f t="shared" ref="E121:H121" ca="1" si="35">E9+E23+E33+E46+E59+E65+E71+E81+E86+E96+E103+E109+E114+E117</f>
        <v>142334825</v>
      </c>
      <c r="F121" s="562">
        <f t="shared" ca="1" si="35"/>
        <v>141293550</v>
      </c>
      <c r="G121" s="539">
        <f t="shared" ca="1" si="35"/>
        <v>0</v>
      </c>
      <c r="H121" s="539">
        <f t="shared" ca="1" si="35"/>
        <v>141293550</v>
      </c>
    </row>
    <row r="122" spans="1:8" ht="15" thickBot="1" x14ac:dyDescent="0.25">
      <c r="A122" s="607" t="s">
        <v>190</v>
      </c>
      <c r="B122" s="607"/>
      <c r="C122" s="566">
        <f>Пр13!G122</f>
        <v>2752175</v>
      </c>
      <c r="D122" s="566">
        <f>Пр13!H122</f>
        <v>0</v>
      </c>
      <c r="E122" s="566">
        <f>C122+D122</f>
        <v>2752175</v>
      </c>
      <c r="F122" s="566">
        <f>Пр13!J122</f>
        <v>5815450</v>
      </c>
      <c r="G122" s="567">
        <f>Пр13!K122</f>
        <v>0</v>
      </c>
      <c r="H122" s="567">
        <f>F122+G122</f>
        <v>5815450</v>
      </c>
    </row>
    <row r="123" spans="1:8" ht="15" thickBot="1" x14ac:dyDescent="0.25">
      <c r="A123" s="609" t="s">
        <v>799</v>
      </c>
      <c r="B123" s="610"/>
      <c r="C123" s="568">
        <f ca="1">C121+C122</f>
        <v>110087000</v>
      </c>
      <c r="D123" s="568">
        <f t="shared" ref="D123:H123" ca="1" si="36">D121+D122</f>
        <v>0</v>
      </c>
      <c r="E123" s="568">
        <f t="shared" ca="1" si="36"/>
        <v>145087000</v>
      </c>
      <c r="F123" s="568">
        <f t="shared" ca="1" si="36"/>
        <v>147109000</v>
      </c>
      <c r="G123" s="568">
        <f t="shared" ca="1" si="36"/>
        <v>0</v>
      </c>
      <c r="H123" s="568">
        <f t="shared" ca="1" si="36"/>
        <v>147109000</v>
      </c>
    </row>
    <row r="124" spans="1:8" ht="15" thickBot="1" x14ac:dyDescent="0.25">
      <c r="A124" s="607" t="s">
        <v>188</v>
      </c>
      <c r="B124" s="607"/>
      <c r="C124" s="569">
        <f>Пр1!C21</f>
        <v>0</v>
      </c>
      <c r="D124" s="569">
        <f>Пр1!D21</f>
        <v>0</v>
      </c>
      <c r="E124" s="569">
        <f>Пр1!E21</f>
        <v>0</v>
      </c>
      <c r="F124" s="569">
        <f>Пр1!F21</f>
        <v>0</v>
      </c>
      <c r="G124" s="549"/>
      <c r="H124" s="549">
        <f ca="1">Пр3!O47-Пр5!H121-Пр5!H122</f>
        <v>0</v>
      </c>
    </row>
  </sheetData>
  <mergeCells count="10">
    <mergeCell ref="A121:B121"/>
    <mergeCell ref="A122:B122"/>
    <mergeCell ref="A124:B124"/>
    <mergeCell ref="C7:H7"/>
    <mergeCell ref="A1:H1"/>
    <mergeCell ref="A2:H2"/>
    <mergeCell ref="A3:H3"/>
    <mergeCell ref="A4:H4"/>
    <mergeCell ref="A5:H6"/>
    <mergeCell ref="A123:B123"/>
  </mergeCells>
  <printOptions gridLinesSet="0"/>
  <pageMargins left="0.70866141732283472" right="0.70866141732283472" top="0.74803149606299213" bottom="0.74803149606299213" header="0.51181102362204722" footer="0.51181102362204722"/>
  <pageSetup paperSize="9" scale="99" fitToHeight="23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view="pageBreakPreview" zoomScaleSheetLayoutView="100" workbookViewId="0">
      <selection activeCell="A7" sqref="A7:E7"/>
    </sheetView>
  </sheetViews>
  <sheetFormatPr defaultRowHeight="12.75" x14ac:dyDescent="0.2"/>
  <cols>
    <col min="1" max="1" width="28.5703125" customWidth="1"/>
    <col min="2" max="2" width="41" customWidth="1"/>
    <col min="3" max="3" width="16.5703125" customWidth="1"/>
    <col min="4" max="4" width="19.5703125" customWidth="1"/>
    <col min="5" max="5" width="15.140625" hidden="1" customWidth="1"/>
    <col min="6" max="6" width="43.42578125" customWidth="1"/>
  </cols>
  <sheetData>
    <row r="1" spans="1:5" ht="15.75" x14ac:dyDescent="0.25">
      <c r="A1" s="605" t="s">
        <v>189</v>
      </c>
      <c r="B1" s="605"/>
      <c r="C1" s="605"/>
      <c r="D1" s="605"/>
      <c r="E1" s="605"/>
    </row>
    <row r="2" spans="1:5" s="148" customFormat="1" ht="15.75" x14ac:dyDescent="0.25">
      <c r="A2" s="589" t="s">
        <v>930</v>
      </c>
      <c r="B2" s="589"/>
      <c r="C2" s="589"/>
      <c r="D2" s="589"/>
      <c r="E2" s="579"/>
    </row>
    <row r="3" spans="1:5" s="148" customFormat="1" ht="15.75" x14ac:dyDescent="0.25">
      <c r="A3" s="589" t="s">
        <v>901</v>
      </c>
      <c r="B3" s="589"/>
      <c r="C3" s="589"/>
      <c r="D3" s="589"/>
      <c r="E3" s="579"/>
    </row>
    <row r="4" spans="1:5" ht="15.75" x14ac:dyDescent="0.25">
      <c r="A4" s="605" t="s">
        <v>934</v>
      </c>
      <c r="B4" s="605"/>
      <c r="C4" s="605"/>
      <c r="D4" s="605"/>
      <c r="E4" s="605"/>
    </row>
    <row r="6" spans="1:5" ht="15.75" x14ac:dyDescent="0.25">
      <c r="A6" s="22"/>
      <c r="B6" s="1"/>
    </row>
    <row r="7" spans="1:5" ht="33" customHeight="1" x14ac:dyDescent="0.2">
      <c r="A7" s="612" t="s">
        <v>927</v>
      </c>
      <c r="B7" s="612"/>
      <c r="C7" s="612"/>
      <c r="D7" s="612"/>
      <c r="E7" s="612"/>
    </row>
    <row r="8" spans="1:5" ht="19.5" thickBot="1" x14ac:dyDescent="0.25">
      <c r="A8" s="3"/>
      <c r="B8" s="1"/>
    </row>
    <row r="9" spans="1:5" ht="63.75" thickBot="1" x14ac:dyDescent="0.25">
      <c r="A9" s="23" t="s">
        <v>75</v>
      </c>
      <c r="B9" s="23" t="s">
        <v>192</v>
      </c>
      <c r="C9" s="583" t="s">
        <v>931</v>
      </c>
      <c r="D9" s="583" t="s">
        <v>929</v>
      </c>
      <c r="E9" s="23" t="s">
        <v>77</v>
      </c>
    </row>
    <row r="10" spans="1:5" s="24" customFormat="1" ht="25.5" x14ac:dyDescent="0.2">
      <c r="A10" s="399" t="s">
        <v>193</v>
      </c>
      <c r="B10" s="400" t="s">
        <v>194</v>
      </c>
      <c r="C10" s="443">
        <f>C11-C13</f>
        <v>0</v>
      </c>
      <c r="D10" s="443">
        <f t="shared" ref="D10:E10" si="0">D11-D13</f>
        <v>-12000000</v>
      </c>
      <c r="E10" s="443">
        <f t="shared" si="0"/>
        <v>-12000000</v>
      </c>
    </row>
    <row r="11" spans="1:5" ht="39" thickBot="1" x14ac:dyDescent="0.25">
      <c r="A11" s="394" t="s">
        <v>778</v>
      </c>
      <c r="B11" s="401" t="s">
        <v>779</v>
      </c>
      <c r="C11" s="444">
        <f>C12</f>
        <v>20000000</v>
      </c>
      <c r="D11" s="444">
        <f t="shared" ref="D11:E11" si="1">D12</f>
        <v>0</v>
      </c>
      <c r="E11" s="444">
        <f t="shared" si="1"/>
        <v>20000000</v>
      </c>
    </row>
    <row r="12" spans="1:5" ht="39" thickBot="1" x14ac:dyDescent="0.25">
      <c r="A12" s="395" t="s">
        <v>780</v>
      </c>
      <c r="B12" s="402" t="s">
        <v>781</v>
      </c>
      <c r="C12" s="445">
        <v>20000000</v>
      </c>
      <c r="D12" s="488">
        <v>0</v>
      </c>
      <c r="E12" s="488">
        <f>SUM(C12:D12)</f>
        <v>20000000</v>
      </c>
    </row>
    <row r="13" spans="1:5" ht="26.25" thickBot="1" x14ac:dyDescent="0.25">
      <c r="A13" s="394" t="s">
        <v>782</v>
      </c>
      <c r="B13" s="401" t="s">
        <v>783</v>
      </c>
      <c r="C13" s="444">
        <f>C14</f>
        <v>20000000</v>
      </c>
      <c r="D13" s="444">
        <f t="shared" ref="D13:E13" si="2">D14</f>
        <v>12000000</v>
      </c>
      <c r="E13" s="444">
        <f t="shared" si="2"/>
        <v>32000000</v>
      </c>
    </row>
    <row r="14" spans="1:5" ht="51.75" thickBot="1" x14ac:dyDescent="0.25">
      <c r="A14" s="395" t="s">
        <v>784</v>
      </c>
      <c r="B14" s="402" t="s">
        <v>785</v>
      </c>
      <c r="C14" s="445">
        <v>20000000</v>
      </c>
      <c r="D14" s="488">
        <v>12000000</v>
      </c>
      <c r="E14" s="488">
        <f t="shared" ref="E14:E22" si="3">SUM(C14:D14)</f>
        <v>32000000</v>
      </c>
    </row>
    <row r="15" spans="1:5" ht="26.25" hidden="1" thickBot="1" x14ac:dyDescent="0.25">
      <c r="A15" s="399" t="s">
        <v>195</v>
      </c>
      <c r="B15" s="400" t="s">
        <v>786</v>
      </c>
      <c r="C15" s="446">
        <f>C16-C18</f>
        <v>0</v>
      </c>
      <c r="D15" s="488">
        <f t="shared" ref="D15" si="4">D16</f>
        <v>0</v>
      </c>
      <c r="E15" s="488">
        <f t="shared" si="3"/>
        <v>0</v>
      </c>
    </row>
    <row r="16" spans="1:5" ht="51.75" hidden="1" thickBot="1" x14ac:dyDescent="0.25">
      <c r="A16" s="394" t="s">
        <v>787</v>
      </c>
      <c r="B16" s="401" t="s">
        <v>788</v>
      </c>
      <c r="C16" s="447">
        <f>C17</f>
        <v>0</v>
      </c>
      <c r="D16" s="488"/>
      <c r="E16" s="488">
        <f t="shared" si="3"/>
        <v>0</v>
      </c>
    </row>
    <row r="17" spans="1:6" ht="77.25" hidden="1" thickBot="1" x14ac:dyDescent="0.25">
      <c r="A17" s="398" t="s">
        <v>789</v>
      </c>
      <c r="B17" s="402" t="s">
        <v>790</v>
      </c>
      <c r="C17" s="445">
        <v>0</v>
      </c>
      <c r="D17" s="488">
        <f t="shared" ref="D17" si="5">D18</f>
        <v>0</v>
      </c>
      <c r="E17" s="488">
        <f t="shared" si="3"/>
        <v>0</v>
      </c>
    </row>
    <row r="18" spans="1:6" ht="51.75" hidden="1" thickBot="1" x14ac:dyDescent="0.25">
      <c r="A18" s="394" t="s">
        <v>791</v>
      </c>
      <c r="B18" s="401" t="s">
        <v>196</v>
      </c>
      <c r="C18" s="447">
        <f>C19</f>
        <v>0</v>
      </c>
      <c r="D18" s="488"/>
      <c r="E18" s="488">
        <f t="shared" si="3"/>
        <v>0</v>
      </c>
    </row>
    <row r="19" spans="1:6" ht="64.5" hidden="1" thickBot="1" x14ac:dyDescent="0.25">
      <c r="A19" s="398" t="s">
        <v>792</v>
      </c>
      <c r="B19" s="402" t="s">
        <v>793</v>
      </c>
      <c r="C19" s="445">
        <v>0</v>
      </c>
      <c r="D19" s="487">
        <f t="shared" ref="D19" si="6">D21+D20</f>
        <v>71114471.110000014</v>
      </c>
      <c r="E19" s="488">
        <f t="shared" si="3"/>
        <v>71114471.110000014</v>
      </c>
    </row>
    <row r="20" spans="1:6" ht="39" thickBot="1" x14ac:dyDescent="0.25">
      <c r="A20" s="394" t="s">
        <v>197</v>
      </c>
      <c r="B20" s="401" t="s">
        <v>794</v>
      </c>
      <c r="C20" s="447">
        <f>C22-C21</f>
        <v>27299297</v>
      </c>
      <c r="D20" s="447">
        <f t="shared" ref="D20" si="7">D22-D21</f>
        <v>10719528.380000018</v>
      </c>
      <c r="E20" s="447">
        <f>E22-E21</f>
        <v>38018825.379999995</v>
      </c>
      <c r="F20" s="346"/>
    </row>
    <row r="21" spans="1:6" ht="39" thickBot="1" x14ac:dyDescent="0.25">
      <c r="A21" s="397" t="s">
        <v>795</v>
      </c>
      <c r="B21" s="402" t="s">
        <v>796</v>
      </c>
      <c r="C21" s="448">
        <f>Пр2!J66+Пр6!C12</f>
        <v>246493281</v>
      </c>
      <c r="D21" s="488">
        <f>Пр2!K66+D12</f>
        <v>60394942.729999997</v>
      </c>
      <c r="E21" s="488">
        <f t="shared" si="3"/>
        <v>306888223.73000002</v>
      </c>
    </row>
    <row r="22" spans="1:6" ht="26.25" thickBot="1" x14ac:dyDescent="0.25">
      <c r="A22" s="397" t="s">
        <v>797</v>
      </c>
      <c r="B22" s="396" t="s">
        <v>798</v>
      </c>
      <c r="C22" s="448">
        <f>Пр12!G193+Пр6!C14</f>
        <v>273792578</v>
      </c>
      <c r="D22" s="487">
        <f>Пр4!D121+D14</f>
        <v>71114471.110000014</v>
      </c>
      <c r="E22" s="488">
        <f t="shared" si="3"/>
        <v>344907049.11000001</v>
      </c>
    </row>
    <row r="23" spans="1:6" ht="16.5" thickBot="1" x14ac:dyDescent="0.25">
      <c r="A23" s="611" t="s">
        <v>198</v>
      </c>
      <c r="B23" s="611"/>
      <c r="C23" s="489">
        <f>C10+C15+C20</f>
        <v>27299297</v>
      </c>
      <c r="D23" s="489">
        <f t="shared" ref="D23:E23" si="8">D10+D15+D20</f>
        <v>-1280471.6199999824</v>
      </c>
      <c r="E23" s="489">
        <f t="shared" si="8"/>
        <v>26018825.379999995</v>
      </c>
    </row>
  </sheetData>
  <mergeCells count="6">
    <mergeCell ref="A23:B23"/>
    <mergeCell ref="A1:E1"/>
    <mergeCell ref="A4:E4"/>
    <mergeCell ref="A7:E7"/>
    <mergeCell ref="A2:D2"/>
    <mergeCell ref="A3:D3"/>
  </mergeCells>
  <printOptions gridLinesSet="0"/>
  <pageMargins left="0.70866141732283472" right="0.70866141732283472" top="0.74803149606299213" bottom="0.74803149606299213" header="0.51181102362204722" footer="0.51181102362204722"/>
  <pageSetup paperSize="9" scale="84" fitToHeight="2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view="pageBreakPreview" zoomScaleSheetLayoutView="100" workbookViewId="0">
      <selection activeCell="B12" sqref="B12"/>
    </sheetView>
  </sheetViews>
  <sheetFormatPr defaultColWidth="9.140625" defaultRowHeight="12.75" x14ac:dyDescent="0.2"/>
  <cols>
    <col min="1" max="1" width="25" style="321" customWidth="1"/>
    <col min="2" max="2" width="30.5703125" style="323" customWidth="1"/>
    <col min="3" max="3" width="20" style="321" hidden="1" customWidth="1"/>
    <col min="4" max="4" width="16" style="321" hidden="1" customWidth="1"/>
    <col min="5" max="5" width="20.28515625" style="321" customWidth="1"/>
    <col min="6" max="6" width="19.28515625" style="321" hidden="1" customWidth="1"/>
    <col min="7" max="7" width="12.140625" style="321" hidden="1" customWidth="1"/>
    <col min="8" max="8" width="18" style="321" customWidth="1"/>
    <col min="9" max="16384" width="9.140625" style="8"/>
  </cols>
  <sheetData>
    <row r="1" spans="1:8" ht="15.75" x14ac:dyDescent="0.25">
      <c r="A1" s="605" t="s">
        <v>199</v>
      </c>
      <c r="B1" s="605"/>
      <c r="C1" s="605"/>
      <c r="D1" s="605"/>
      <c r="E1" s="605"/>
      <c r="F1" s="605"/>
      <c r="G1" s="605"/>
      <c r="H1" s="605"/>
    </row>
    <row r="2" spans="1:8" ht="15.75" x14ac:dyDescent="0.25">
      <c r="A2" s="605" t="s">
        <v>594</v>
      </c>
      <c r="B2" s="605"/>
      <c r="C2" s="605"/>
      <c r="D2" s="605"/>
      <c r="E2" s="605"/>
      <c r="F2" s="605"/>
      <c r="G2" s="605"/>
      <c r="H2" s="605"/>
    </row>
    <row r="3" spans="1:8" ht="15.75" x14ac:dyDescent="0.25">
      <c r="A3" s="605" t="s">
        <v>584</v>
      </c>
      <c r="B3" s="605"/>
      <c r="C3" s="605"/>
      <c r="D3" s="605"/>
      <c r="E3" s="605"/>
      <c r="F3" s="605"/>
      <c r="G3" s="605"/>
      <c r="H3" s="605"/>
    </row>
    <row r="4" spans="1:8" ht="15" customHeight="1" x14ac:dyDescent="0.25">
      <c r="A4" s="605" t="s">
        <v>858</v>
      </c>
      <c r="B4" s="605"/>
      <c r="C4" s="605"/>
      <c r="D4" s="605"/>
      <c r="E4" s="605"/>
      <c r="F4" s="605"/>
      <c r="G4" s="605"/>
      <c r="H4" s="605"/>
    </row>
    <row r="5" spans="1:8" hidden="1" x14ac:dyDescent="0.2">
      <c r="C5" s="403"/>
      <c r="D5" s="404"/>
    </row>
    <row r="6" spans="1:8" ht="15" customHeight="1" x14ac:dyDescent="0.2">
      <c r="A6" s="615" t="s">
        <v>600</v>
      </c>
      <c r="B6" s="615"/>
      <c r="C6" s="615"/>
      <c r="D6" s="615"/>
      <c r="E6" s="615"/>
      <c r="F6" s="615"/>
      <c r="G6" s="615"/>
      <c r="H6" s="615"/>
    </row>
    <row r="7" spans="1:8" ht="58.5" customHeight="1" x14ac:dyDescent="0.2">
      <c r="A7" s="615"/>
      <c r="B7" s="615"/>
      <c r="C7" s="615"/>
      <c r="D7" s="615"/>
      <c r="E7" s="615"/>
      <c r="F7" s="615"/>
      <c r="G7" s="615"/>
      <c r="H7" s="615"/>
    </row>
    <row r="8" spans="1:8" ht="19.5" thickBot="1" x14ac:dyDescent="0.25">
      <c r="A8" s="3"/>
      <c r="B8" s="356"/>
      <c r="C8" s="403"/>
      <c r="D8" s="613"/>
      <c r="E8" s="613"/>
      <c r="F8" s="613"/>
      <c r="G8" s="613"/>
      <c r="H8" s="613"/>
    </row>
    <row r="9" spans="1:8" ht="32.25" thickBot="1" x14ac:dyDescent="0.25">
      <c r="A9" s="23" t="s">
        <v>75</v>
      </c>
      <c r="B9" s="39" t="s">
        <v>192</v>
      </c>
      <c r="C9" s="460" t="s">
        <v>568</v>
      </c>
      <c r="D9" s="460" t="s">
        <v>285</v>
      </c>
      <c r="E9" s="507" t="s">
        <v>821</v>
      </c>
      <c r="F9" s="507" t="s">
        <v>576</v>
      </c>
      <c r="G9" s="507" t="s">
        <v>285</v>
      </c>
      <c r="H9" s="507" t="s">
        <v>823</v>
      </c>
    </row>
    <row r="10" spans="1:8" ht="25.5" x14ac:dyDescent="0.2">
      <c r="A10" s="399" t="s">
        <v>193</v>
      </c>
      <c r="B10" s="400" t="s">
        <v>194</v>
      </c>
      <c r="C10" s="461">
        <f>C11-C13</f>
        <v>0</v>
      </c>
      <c r="D10" s="461">
        <f t="shared" ref="D10:E10" ca="1" si="0">+D15+D20</f>
        <v>-35000000</v>
      </c>
      <c r="E10" s="461">
        <f t="shared" ca="1" si="0"/>
        <v>-35000000</v>
      </c>
      <c r="F10" s="461">
        <f>F11-F13</f>
        <v>0</v>
      </c>
      <c r="G10" s="461">
        <f t="shared" ref="G10:H10" si="1">G11-G13</f>
        <v>0</v>
      </c>
      <c r="H10" s="461">
        <f t="shared" si="1"/>
        <v>0</v>
      </c>
    </row>
    <row r="11" spans="1:8" ht="51.75" thickBot="1" x14ac:dyDescent="0.25">
      <c r="A11" s="394" t="s">
        <v>778</v>
      </c>
      <c r="B11" s="401" t="s">
        <v>779</v>
      </c>
      <c r="C11" s="462">
        <f>C12</f>
        <v>20000000</v>
      </c>
      <c r="D11" s="462">
        <f t="shared" ref="D11:H11" si="2">D12</f>
        <v>0</v>
      </c>
      <c r="E11" s="462">
        <f t="shared" si="2"/>
        <v>20000000</v>
      </c>
      <c r="F11" s="462">
        <f t="shared" si="2"/>
        <v>20000000</v>
      </c>
      <c r="G11" s="462">
        <f t="shared" si="2"/>
        <v>0</v>
      </c>
      <c r="H11" s="462">
        <f t="shared" si="2"/>
        <v>20000000</v>
      </c>
    </row>
    <row r="12" spans="1:8" ht="51.75" thickBot="1" x14ac:dyDescent="0.25">
      <c r="A12" s="395" t="s">
        <v>780</v>
      </c>
      <c r="B12" s="402" t="s">
        <v>781</v>
      </c>
      <c r="C12" s="463">
        <v>20000000</v>
      </c>
      <c r="D12" s="490"/>
      <c r="E12" s="490">
        <f t="shared" ref="E12:E17" si="3">SUM(C12:D12)</f>
        <v>20000000</v>
      </c>
      <c r="F12" s="463">
        <v>20000000</v>
      </c>
      <c r="G12" s="510"/>
      <c r="H12" s="490">
        <f t="shared" ref="H12:H22" si="4">SUM(F12:G12)</f>
        <v>20000000</v>
      </c>
    </row>
    <row r="13" spans="1:8" ht="39" thickBot="1" x14ac:dyDescent="0.25">
      <c r="A13" s="394" t="s">
        <v>782</v>
      </c>
      <c r="B13" s="401" t="s">
        <v>783</v>
      </c>
      <c r="C13" s="462">
        <f>C14</f>
        <v>20000000</v>
      </c>
      <c r="D13" s="462">
        <f t="shared" ref="D13:E13" si="5">D14</f>
        <v>0</v>
      </c>
      <c r="E13" s="462">
        <f t="shared" si="5"/>
        <v>20000000</v>
      </c>
      <c r="F13" s="462">
        <f t="shared" ref="F13" si="6">F14</f>
        <v>20000000</v>
      </c>
      <c r="G13" s="462">
        <f t="shared" ref="G13" si="7">G14</f>
        <v>0</v>
      </c>
      <c r="H13" s="462">
        <f t="shared" ref="H13" si="8">H14</f>
        <v>20000000</v>
      </c>
    </row>
    <row r="14" spans="1:8" ht="64.5" thickBot="1" x14ac:dyDescent="0.25">
      <c r="A14" s="395" t="s">
        <v>784</v>
      </c>
      <c r="B14" s="402" t="s">
        <v>785</v>
      </c>
      <c r="C14" s="463">
        <v>20000000</v>
      </c>
      <c r="D14" s="490"/>
      <c r="E14" s="490">
        <f t="shared" si="3"/>
        <v>20000000</v>
      </c>
      <c r="F14" s="463">
        <v>20000000</v>
      </c>
      <c r="G14" s="510"/>
      <c r="H14" s="490">
        <f t="shared" si="4"/>
        <v>20000000</v>
      </c>
    </row>
    <row r="15" spans="1:8" ht="39" hidden="1" thickBot="1" x14ac:dyDescent="0.25">
      <c r="A15" s="399" t="s">
        <v>195</v>
      </c>
      <c r="B15" s="400" t="s">
        <v>786</v>
      </c>
      <c r="C15" s="464">
        <f>C16-C18</f>
        <v>0</v>
      </c>
      <c r="D15" s="491">
        <f t="shared" ref="D15:D16" si="9">D16</f>
        <v>0</v>
      </c>
      <c r="E15" s="491">
        <f t="shared" si="3"/>
        <v>0</v>
      </c>
      <c r="F15" s="464">
        <f>F16</f>
        <v>0</v>
      </c>
      <c r="G15" s="491">
        <f t="shared" ref="G15:G16" si="10">G16</f>
        <v>0</v>
      </c>
      <c r="H15" s="491">
        <f t="shared" si="4"/>
        <v>0</v>
      </c>
    </row>
    <row r="16" spans="1:8" ht="64.5" hidden="1" thickBot="1" x14ac:dyDescent="0.25">
      <c r="A16" s="394" t="s">
        <v>787</v>
      </c>
      <c r="B16" s="401" t="s">
        <v>788</v>
      </c>
      <c r="C16" s="465">
        <f>C17</f>
        <v>0</v>
      </c>
      <c r="D16" s="490">
        <f t="shared" si="9"/>
        <v>0</v>
      </c>
      <c r="E16" s="490">
        <f t="shared" si="3"/>
        <v>0</v>
      </c>
      <c r="F16" s="465">
        <f>F17</f>
        <v>0</v>
      </c>
      <c r="G16" s="510">
        <f t="shared" si="10"/>
        <v>0</v>
      </c>
      <c r="H16" s="490">
        <f t="shared" si="4"/>
        <v>0</v>
      </c>
    </row>
    <row r="17" spans="1:8" ht="90" hidden="1" thickBot="1" x14ac:dyDescent="0.25">
      <c r="A17" s="398" t="s">
        <v>789</v>
      </c>
      <c r="B17" s="402" t="s">
        <v>790</v>
      </c>
      <c r="C17" s="463">
        <v>0</v>
      </c>
      <c r="D17" s="490"/>
      <c r="E17" s="490">
        <f t="shared" si="3"/>
        <v>0</v>
      </c>
      <c r="F17" s="463"/>
      <c r="G17" s="510"/>
      <c r="H17" s="490">
        <f t="shared" si="4"/>
        <v>0</v>
      </c>
    </row>
    <row r="18" spans="1:8" ht="64.5" hidden="1" thickBot="1" x14ac:dyDescent="0.25">
      <c r="A18" s="394" t="s">
        <v>791</v>
      </c>
      <c r="B18" s="401" t="s">
        <v>196</v>
      </c>
      <c r="C18" s="465">
        <f>C19</f>
        <v>0</v>
      </c>
      <c r="D18" s="465">
        <f t="shared" ref="D18:F18" si="11">D19</f>
        <v>0</v>
      </c>
      <c r="E18" s="465">
        <f t="shared" si="11"/>
        <v>0</v>
      </c>
      <c r="F18" s="465">
        <f t="shared" si="11"/>
        <v>0</v>
      </c>
      <c r="G18" s="491">
        <f t="shared" ref="G18" ca="1" si="12">G19+G20</f>
        <v>-30800000</v>
      </c>
      <c r="H18" s="491">
        <f t="shared" ca="1" si="4"/>
        <v>-30800000</v>
      </c>
    </row>
    <row r="19" spans="1:8" ht="77.25" hidden="1" thickBot="1" x14ac:dyDescent="0.25">
      <c r="A19" s="398" t="s">
        <v>792</v>
      </c>
      <c r="B19" s="402" t="s">
        <v>793</v>
      </c>
      <c r="C19" s="463">
        <v>0</v>
      </c>
      <c r="D19" s="463">
        <v>0</v>
      </c>
      <c r="E19" s="463">
        <v>0</v>
      </c>
      <c r="F19" s="463">
        <v>0</v>
      </c>
      <c r="G19" s="490">
        <f ca="1">-Пр3!N47-G12-G23</f>
        <v>0</v>
      </c>
      <c r="H19" s="490">
        <f t="shared" ca="1" si="4"/>
        <v>0</v>
      </c>
    </row>
    <row r="20" spans="1:8" ht="39" thickBot="1" x14ac:dyDescent="0.25">
      <c r="A20" s="394" t="s">
        <v>197</v>
      </c>
      <c r="B20" s="401" t="s">
        <v>794</v>
      </c>
      <c r="C20" s="465">
        <f>C22-C21</f>
        <v>0</v>
      </c>
      <c r="D20" s="465">
        <f t="shared" ref="D20:H20" ca="1" si="13">D22-D21</f>
        <v>-35000000</v>
      </c>
      <c r="E20" s="465">
        <f t="shared" ca="1" si="13"/>
        <v>-35000000</v>
      </c>
      <c r="F20" s="465">
        <f t="shared" si="13"/>
        <v>0</v>
      </c>
      <c r="G20" s="465">
        <f t="shared" ca="1" si="13"/>
        <v>-30800000</v>
      </c>
      <c r="H20" s="465">
        <f t="shared" ca="1" si="13"/>
        <v>-30800000</v>
      </c>
    </row>
    <row r="21" spans="1:8" ht="51.75" thickBot="1" x14ac:dyDescent="0.25">
      <c r="A21" s="397" t="s">
        <v>795</v>
      </c>
      <c r="B21" s="402" t="s">
        <v>796</v>
      </c>
      <c r="C21" s="466">
        <f>Пр1!C10+C11+C16</f>
        <v>165087000</v>
      </c>
      <c r="D21" s="466">
        <f>Пр3!K47+D12</f>
        <v>35000000</v>
      </c>
      <c r="E21" s="466">
        <f>C21+D21</f>
        <v>200087000</v>
      </c>
      <c r="F21" s="466">
        <f>Пр1!D10+Пр7!F12</f>
        <v>167109000</v>
      </c>
      <c r="G21" s="511">
        <f>Пр3!N47</f>
        <v>30800000</v>
      </c>
      <c r="H21" s="490">
        <f t="shared" si="4"/>
        <v>197909000</v>
      </c>
    </row>
    <row r="22" spans="1:8" ht="39" thickBot="1" x14ac:dyDescent="0.25">
      <c r="A22" s="397" t="s">
        <v>797</v>
      </c>
      <c r="B22" s="402" t="s">
        <v>798</v>
      </c>
      <c r="C22" s="466">
        <f>Пр1!C16+Пр7!C14</f>
        <v>165087000</v>
      </c>
      <c r="D22" s="466">
        <f ca="1">Пр5!D123+D14</f>
        <v>0</v>
      </c>
      <c r="E22" s="466">
        <f ca="1">C22+D22</f>
        <v>165087000</v>
      </c>
      <c r="F22" s="466">
        <f>Пр1!D16+Пр7!F14</f>
        <v>167109000</v>
      </c>
      <c r="G22" s="490">
        <f ca="1">Пр5!G123</f>
        <v>0</v>
      </c>
      <c r="H22" s="490">
        <f t="shared" ca="1" si="4"/>
        <v>167109000</v>
      </c>
    </row>
    <row r="23" spans="1:8" ht="16.5" thickBot="1" x14ac:dyDescent="0.25">
      <c r="A23" s="614" t="s">
        <v>198</v>
      </c>
      <c r="B23" s="614"/>
      <c r="C23" s="492">
        <f>C10+C15+C20</f>
        <v>0</v>
      </c>
      <c r="D23" s="492">
        <f t="shared" ref="D23:H23" ca="1" si="14">D10+D15+D20</f>
        <v>-70000000</v>
      </c>
      <c r="E23" s="492">
        <f t="shared" ca="1" si="14"/>
        <v>-70000000</v>
      </c>
      <c r="F23" s="492">
        <f t="shared" si="14"/>
        <v>0</v>
      </c>
      <c r="G23" s="492">
        <f t="shared" ca="1" si="14"/>
        <v>-30800000</v>
      </c>
      <c r="H23" s="492">
        <f t="shared" ca="1" si="14"/>
        <v>-30800000</v>
      </c>
    </row>
  </sheetData>
  <mergeCells count="7">
    <mergeCell ref="D8:H8"/>
    <mergeCell ref="A23:B23"/>
    <mergeCell ref="A1:H1"/>
    <mergeCell ref="A2:H2"/>
    <mergeCell ref="A3:H3"/>
    <mergeCell ref="A4:H4"/>
    <mergeCell ref="A6:H7"/>
  </mergeCells>
  <printOptions gridLinesSet="0"/>
  <pageMargins left="0.70866141732283472" right="0.70866141732283472" top="0.74803149606299213" bottom="0.74803149606299213" header="0.51181102362204722" footer="0.51181102362204722"/>
  <pageSetup paperSize="9" scale="94" fitToHeight="23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view="pageBreakPreview" topLeftCell="A10" zoomScaleSheetLayoutView="100" workbookViewId="0">
      <selection activeCell="B31" sqref="B31:E31"/>
    </sheetView>
  </sheetViews>
  <sheetFormatPr defaultRowHeight="12.75" x14ac:dyDescent="0.2"/>
  <cols>
    <col min="1" max="1" width="34.7109375" customWidth="1"/>
    <col min="2" max="2" width="13" customWidth="1"/>
    <col min="3" max="3" width="20.7109375" customWidth="1"/>
    <col min="4" max="4" width="12" customWidth="1"/>
    <col min="5" max="5" width="12.7109375" customWidth="1"/>
    <col min="8" max="8" width="43.42578125" customWidth="1"/>
  </cols>
  <sheetData>
    <row r="1" spans="1:5" ht="16.5" customHeight="1" x14ac:dyDescent="0.25">
      <c r="A1" s="605" t="s">
        <v>230</v>
      </c>
      <c r="B1" s="605"/>
      <c r="C1" s="605"/>
      <c r="D1" s="616"/>
      <c r="E1" s="616"/>
    </row>
    <row r="2" spans="1:5" ht="16.5" customHeight="1" x14ac:dyDescent="0.25">
      <c r="A2" s="605" t="s">
        <v>594</v>
      </c>
      <c r="B2" s="605"/>
      <c r="C2" s="605"/>
      <c r="D2" s="616"/>
      <c r="E2" s="616"/>
    </row>
    <row r="3" spans="1:5" ht="16.5" customHeight="1" x14ac:dyDescent="0.25">
      <c r="A3" s="605" t="s">
        <v>584</v>
      </c>
      <c r="B3" s="605"/>
      <c r="C3" s="605"/>
      <c r="D3" s="616"/>
      <c r="E3" s="616"/>
    </row>
    <row r="4" spans="1:5" ht="16.5" customHeight="1" x14ac:dyDescent="0.25">
      <c r="A4" s="605" t="s">
        <v>837</v>
      </c>
      <c r="B4" s="605"/>
      <c r="C4" s="605"/>
      <c r="D4" s="605"/>
      <c r="E4" s="605"/>
    </row>
    <row r="5" spans="1:5" ht="15.75" customHeight="1" x14ac:dyDescent="0.25">
      <c r="A5" s="605"/>
      <c r="B5" s="616"/>
      <c r="C5" s="616"/>
      <c r="D5" s="616"/>
      <c r="E5" s="616"/>
    </row>
    <row r="6" spans="1:5" ht="15.75" hidden="1" x14ac:dyDescent="0.25">
      <c r="A6" s="617"/>
      <c r="B6" s="618"/>
      <c r="C6" s="618"/>
      <c r="D6" s="618"/>
      <c r="E6" s="618"/>
    </row>
    <row r="7" spans="1:5" ht="30" customHeight="1" x14ac:dyDescent="0.2">
      <c r="A7" s="619" t="s">
        <v>601</v>
      </c>
      <c r="B7" s="620"/>
      <c r="C7" s="620"/>
      <c r="D7" s="620"/>
      <c r="E7" s="620"/>
    </row>
    <row r="8" spans="1:5" ht="10.5" customHeight="1" x14ac:dyDescent="0.25">
      <c r="A8" s="2"/>
      <c r="B8" s="1"/>
      <c r="C8" s="1"/>
      <c r="D8" s="1"/>
      <c r="E8" s="1"/>
    </row>
    <row r="9" spans="1:5" ht="15.75" hidden="1" x14ac:dyDescent="0.25">
      <c r="A9" s="621"/>
      <c r="B9" s="618"/>
      <c r="C9" s="618"/>
      <c r="D9" s="618"/>
      <c r="E9" s="618"/>
    </row>
    <row r="10" spans="1:5" ht="33" customHeight="1" x14ac:dyDescent="0.2">
      <c r="A10" s="622" t="s">
        <v>602</v>
      </c>
      <c r="B10" s="620"/>
      <c r="C10" s="620"/>
      <c r="D10" s="620"/>
      <c r="E10" s="620"/>
    </row>
    <row r="11" spans="1:5" ht="16.5" thickBot="1" x14ac:dyDescent="0.3">
      <c r="A11" s="623" t="s">
        <v>200</v>
      </c>
      <c r="B11" s="624"/>
      <c r="C11" s="624"/>
      <c r="D11" s="624"/>
      <c r="E11" s="624"/>
    </row>
    <row r="12" spans="1:5" ht="33" customHeight="1" thickBot="1" x14ac:dyDescent="0.3">
      <c r="A12" s="25" t="s">
        <v>201</v>
      </c>
      <c r="B12" s="625" t="s">
        <v>232</v>
      </c>
      <c r="C12" s="626"/>
      <c r="D12" s="626"/>
      <c r="E12" s="627"/>
    </row>
    <row r="13" spans="1:5" ht="16.5" thickBot="1" x14ac:dyDescent="0.3">
      <c r="A13" s="27">
        <v>1</v>
      </c>
      <c r="B13" s="625">
        <v>2</v>
      </c>
      <c r="C13" s="628"/>
      <c r="D13" s="628"/>
      <c r="E13" s="629"/>
    </row>
    <row r="14" spans="1:5" ht="31.5" x14ac:dyDescent="0.25">
      <c r="A14" s="28" t="s">
        <v>202</v>
      </c>
      <c r="B14" s="630">
        <f>B15-B16</f>
        <v>0</v>
      </c>
      <c r="C14" s="631"/>
      <c r="D14" s="631"/>
      <c r="E14" s="632"/>
    </row>
    <row r="15" spans="1:5" ht="20.25" customHeight="1" x14ac:dyDescent="0.25">
      <c r="A15" s="29" t="s">
        <v>203</v>
      </c>
      <c r="B15" s="633">
        <f>Пр6!C11</f>
        <v>20000000</v>
      </c>
      <c r="C15" s="631"/>
      <c r="D15" s="631"/>
      <c r="E15" s="632"/>
    </row>
    <row r="16" spans="1:5" ht="18.75" customHeight="1" x14ac:dyDescent="0.25">
      <c r="A16" s="29" t="s">
        <v>204</v>
      </c>
      <c r="B16" s="634">
        <f>Пр6!C14</f>
        <v>20000000</v>
      </c>
      <c r="C16" s="631"/>
      <c r="D16" s="631"/>
      <c r="E16" s="632"/>
    </row>
    <row r="17" spans="1:5" ht="15.75" x14ac:dyDescent="0.25">
      <c r="A17" s="28" t="s">
        <v>205</v>
      </c>
      <c r="B17" s="635">
        <f>B18-B19</f>
        <v>0</v>
      </c>
      <c r="C17" s="631"/>
      <c r="D17" s="631"/>
      <c r="E17" s="632"/>
    </row>
    <row r="18" spans="1:5" ht="18" customHeight="1" x14ac:dyDescent="0.25">
      <c r="A18" s="30" t="s">
        <v>206</v>
      </c>
      <c r="B18" s="634"/>
      <c r="C18" s="631"/>
      <c r="D18" s="631"/>
      <c r="E18" s="632"/>
    </row>
    <row r="19" spans="1:5" ht="15.75" x14ac:dyDescent="0.25">
      <c r="A19" s="30" t="s">
        <v>204</v>
      </c>
      <c r="B19" s="634">
        <f>-Пр6!C17</f>
        <v>0</v>
      </c>
      <c r="C19" s="631"/>
      <c r="D19" s="631"/>
      <c r="E19" s="632"/>
    </row>
    <row r="20" spans="1:5" ht="15.75" x14ac:dyDescent="0.25">
      <c r="A20" s="31" t="s">
        <v>207</v>
      </c>
      <c r="B20" s="635">
        <f>B21-B22</f>
        <v>0</v>
      </c>
      <c r="C20" s="631"/>
      <c r="D20" s="631"/>
      <c r="E20" s="632"/>
    </row>
    <row r="21" spans="1:5" ht="15.75" x14ac:dyDescent="0.25">
      <c r="A21" s="32" t="s">
        <v>208</v>
      </c>
      <c r="B21" s="633">
        <f>B15+B18</f>
        <v>20000000</v>
      </c>
      <c r="C21" s="631"/>
      <c r="D21" s="631"/>
      <c r="E21" s="632"/>
    </row>
    <row r="22" spans="1:5" ht="15.75" x14ac:dyDescent="0.25">
      <c r="A22" s="32" t="s">
        <v>209</v>
      </c>
      <c r="B22" s="634">
        <f>B16+B19</f>
        <v>20000000</v>
      </c>
      <c r="C22" s="631"/>
      <c r="D22" s="631"/>
      <c r="E22" s="632"/>
    </row>
    <row r="23" spans="1:5" ht="51" customHeight="1" x14ac:dyDescent="0.25">
      <c r="A23" s="33" t="s">
        <v>210</v>
      </c>
      <c r="B23" s="635">
        <f>B20</f>
        <v>0</v>
      </c>
      <c r="C23" s="631"/>
      <c r="D23" s="631"/>
      <c r="E23" s="632"/>
    </row>
    <row r="24" spans="1:5" ht="23.25" customHeight="1" x14ac:dyDescent="0.25">
      <c r="A24" s="621" t="s">
        <v>577</v>
      </c>
      <c r="B24" s="618"/>
      <c r="C24" s="618"/>
      <c r="D24" s="618"/>
      <c r="E24" s="618"/>
    </row>
    <row r="25" spans="1:5" ht="15.75" x14ac:dyDescent="0.25">
      <c r="A25" s="605" t="s">
        <v>211</v>
      </c>
      <c r="B25" s="616"/>
      <c r="C25" s="616"/>
      <c r="D25" s="616"/>
      <c r="E25" s="616"/>
    </row>
    <row r="26" spans="1:5" ht="15.75" x14ac:dyDescent="0.25">
      <c r="A26" s="34" t="s">
        <v>212</v>
      </c>
      <c r="B26" s="636" t="s">
        <v>563</v>
      </c>
      <c r="C26" s="628"/>
      <c r="D26" s="628"/>
      <c r="E26" s="629"/>
    </row>
    <row r="27" spans="1:5" ht="15.75" x14ac:dyDescent="0.25">
      <c r="A27" s="35">
        <v>1</v>
      </c>
      <c r="B27" s="625">
        <v>2</v>
      </c>
      <c r="C27" s="637"/>
      <c r="D27" s="637"/>
      <c r="E27" s="638"/>
    </row>
    <row r="28" spans="1:5" ht="31.5" x14ac:dyDescent="0.2">
      <c r="A28" s="36" t="s">
        <v>213</v>
      </c>
      <c r="B28" s="639">
        <v>20000000</v>
      </c>
      <c r="C28" s="640"/>
      <c r="D28" s="640"/>
      <c r="E28" s="641"/>
    </row>
    <row r="29" spans="1:5" ht="51.75" customHeight="1" x14ac:dyDescent="0.2">
      <c r="A29" s="37" t="s">
        <v>214</v>
      </c>
      <c r="B29" s="642">
        <v>0</v>
      </c>
      <c r="C29" s="643"/>
      <c r="D29" s="643"/>
      <c r="E29" s="644"/>
    </row>
    <row r="30" spans="1:5" ht="18.75" customHeight="1" x14ac:dyDescent="0.2">
      <c r="A30" s="38"/>
      <c r="B30" s="645" t="s">
        <v>578</v>
      </c>
      <c r="C30" s="646"/>
      <c r="D30" s="646"/>
      <c r="E30" s="647"/>
    </row>
    <row r="31" spans="1:5" ht="31.5" x14ac:dyDescent="0.2">
      <c r="A31" s="39" t="s">
        <v>215</v>
      </c>
      <c r="B31" s="648">
        <f>Пр1!B12-(Пр1!B12*50%)</f>
        <v>22579453.439999998</v>
      </c>
      <c r="C31" s="649"/>
      <c r="D31" s="649"/>
      <c r="E31" s="649"/>
    </row>
    <row r="32" spans="1:5" ht="47.25" x14ac:dyDescent="0.2">
      <c r="A32" s="39" t="s">
        <v>216</v>
      </c>
      <c r="B32" s="659">
        <v>1840000</v>
      </c>
      <c r="C32" s="660"/>
      <c r="D32" s="660"/>
      <c r="E32" s="660"/>
    </row>
    <row r="33" spans="1:5" ht="45.75" customHeight="1" thickBot="1" x14ac:dyDescent="0.25">
      <c r="A33" s="39" t="s">
        <v>217</v>
      </c>
      <c r="B33" s="659">
        <f>B21</f>
        <v>20000000</v>
      </c>
      <c r="C33" s="660"/>
      <c r="D33" s="660"/>
      <c r="E33" s="660"/>
    </row>
    <row r="34" spans="1:5" ht="0.75" hidden="1" customHeight="1" x14ac:dyDescent="0.2">
      <c r="A34" s="36" t="s">
        <v>233</v>
      </c>
      <c r="B34" s="639">
        <v>0</v>
      </c>
      <c r="C34" s="640"/>
      <c r="D34" s="640"/>
      <c r="E34" s="641"/>
    </row>
    <row r="35" spans="1:5" ht="1.5" hidden="1" customHeight="1" x14ac:dyDescent="0.2">
      <c r="A35" s="661"/>
      <c r="B35" s="661"/>
      <c r="C35" s="661"/>
      <c r="D35" s="661"/>
      <c r="E35" s="661"/>
    </row>
    <row r="36" spans="1:5" ht="42.75" customHeight="1" thickBot="1" x14ac:dyDescent="0.25">
      <c r="A36" s="662" t="s">
        <v>603</v>
      </c>
      <c r="B36" s="662"/>
      <c r="C36" s="662"/>
      <c r="D36" s="662"/>
      <c r="E36" s="662"/>
    </row>
    <row r="37" spans="1:5" ht="16.5" thickBot="1" x14ac:dyDescent="0.3">
      <c r="A37" s="652" t="s">
        <v>218</v>
      </c>
      <c r="B37" s="625" t="s">
        <v>219</v>
      </c>
      <c r="C37" s="626"/>
      <c r="D37" s="626"/>
      <c r="E37" s="627"/>
    </row>
    <row r="38" spans="1:5" ht="18" customHeight="1" x14ac:dyDescent="0.2">
      <c r="A38" s="653"/>
      <c r="B38" s="655" t="s">
        <v>855</v>
      </c>
      <c r="C38" s="656"/>
      <c r="D38" s="655" t="s">
        <v>563</v>
      </c>
      <c r="E38" s="656"/>
    </row>
    <row r="39" spans="1:5" ht="18.75" customHeight="1" thickBot="1" x14ac:dyDescent="0.25">
      <c r="A39" s="653"/>
      <c r="B39" s="657"/>
      <c r="C39" s="658"/>
      <c r="D39" s="657" t="s">
        <v>220</v>
      </c>
      <c r="E39" s="658"/>
    </row>
    <row r="40" spans="1:5" ht="32.25" thickBot="1" x14ac:dyDescent="0.3">
      <c r="A40" s="654"/>
      <c r="B40" s="40" t="s">
        <v>221</v>
      </c>
      <c r="C40" s="26" t="s">
        <v>222</v>
      </c>
      <c r="D40" s="40" t="s">
        <v>221</v>
      </c>
      <c r="E40" s="40" t="s">
        <v>222</v>
      </c>
    </row>
    <row r="41" spans="1:5" ht="15.75" x14ac:dyDescent="0.25">
      <c r="A41" s="27">
        <v>1</v>
      </c>
      <c r="B41" s="40">
        <v>2</v>
      </c>
      <c r="C41" s="40">
        <v>3</v>
      </c>
      <c r="D41" s="40">
        <v>4</v>
      </c>
      <c r="E41" s="40">
        <v>5</v>
      </c>
    </row>
    <row r="42" spans="1:5" ht="31.5" x14ac:dyDescent="0.25">
      <c r="A42" s="41" t="s">
        <v>223</v>
      </c>
      <c r="B42" s="42">
        <v>20000000</v>
      </c>
      <c r="C42" s="43">
        <f>B42/B$45</f>
        <v>1</v>
      </c>
      <c r="D42" s="44">
        <v>20000000</v>
      </c>
      <c r="E42" s="43">
        <f>D42/D$45</f>
        <v>1</v>
      </c>
    </row>
    <row r="43" spans="1:5" ht="15.75" x14ac:dyDescent="0.25">
      <c r="A43" s="41" t="s">
        <v>224</v>
      </c>
      <c r="B43" s="42">
        <v>0</v>
      </c>
      <c r="C43" s="43">
        <f>B43/B$45</f>
        <v>0</v>
      </c>
      <c r="D43" s="42">
        <f>B43-B19</f>
        <v>0</v>
      </c>
      <c r="E43" s="43">
        <f>D43/D$45</f>
        <v>0</v>
      </c>
    </row>
    <row r="44" spans="1:5" ht="15.75" x14ac:dyDescent="0.25">
      <c r="A44" s="41" t="s">
        <v>225</v>
      </c>
      <c r="B44" s="42">
        <v>0</v>
      </c>
      <c r="C44" s="43">
        <f>B44/B$45</f>
        <v>0</v>
      </c>
      <c r="D44" s="42">
        <v>0</v>
      </c>
      <c r="E44" s="43">
        <f>D44/D$45</f>
        <v>0</v>
      </c>
    </row>
    <row r="45" spans="1:5" ht="31.5" x14ac:dyDescent="0.25">
      <c r="A45" s="41" t="s">
        <v>226</v>
      </c>
      <c r="B45" s="44">
        <f>B42+B43+B44</f>
        <v>20000000</v>
      </c>
      <c r="C45" s="43">
        <f>B45/B$45</f>
        <v>1</v>
      </c>
      <c r="D45" s="44">
        <f>D42+D43+D44</f>
        <v>20000000</v>
      </c>
      <c r="E45" s="43">
        <f>D45/D$45</f>
        <v>1</v>
      </c>
    </row>
    <row r="46" spans="1:5" ht="30" customHeight="1" x14ac:dyDescent="0.25">
      <c r="A46" s="650"/>
      <c r="B46" s="651"/>
      <c r="C46" s="651"/>
      <c r="D46" s="651"/>
      <c r="E46" s="651"/>
    </row>
    <row r="47" spans="1:5" x14ac:dyDescent="0.2">
      <c r="A47" s="45"/>
    </row>
    <row r="48" spans="1:5" ht="15.75" x14ac:dyDescent="0.25">
      <c r="A48" s="2"/>
    </row>
  </sheetData>
  <mergeCells count="41">
    <mergeCell ref="A46:E46"/>
    <mergeCell ref="A37:A40"/>
    <mergeCell ref="B37:E37"/>
    <mergeCell ref="B38:C39"/>
    <mergeCell ref="B32:E32"/>
    <mergeCell ref="B33:E33"/>
    <mergeCell ref="B34:E34"/>
    <mergeCell ref="A35:E35"/>
    <mergeCell ref="A36:E36"/>
    <mergeCell ref="D38:E38"/>
    <mergeCell ref="D39:E39"/>
    <mergeCell ref="B27:E27"/>
    <mergeCell ref="B28:E28"/>
    <mergeCell ref="B29:E29"/>
    <mergeCell ref="B30:E30"/>
    <mergeCell ref="B31:E31"/>
    <mergeCell ref="B22:E22"/>
    <mergeCell ref="B23:E23"/>
    <mergeCell ref="A24:E24"/>
    <mergeCell ref="A25:E25"/>
    <mergeCell ref="B26:E26"/>
    <mergeCell ref="B17:E17"/>
    <mergeCell ref="B18:E18"/>
    <mergeCell ref="B19:E19"/>
    <mergeCell ref="B20:E20"/>
    <mergeCell ref="B21:E21"/>
    <mergeCell ref="B12:E12"/>
    <mergeCell ref="B13:E13"/>
    <mergeCell ref="B14:E14"/>
    <mergeCell ref="B15:E15"/>
    <mergeCell ref="B16:E16"/>
    <mergeCell ref="A6:E6"/>
    <mergeCell ref="A7:E7"/>
    <mergeCell ref="A9:E9"/>
    <mergeCell ref="A10:E10"/>
    <mergeCell ref="A11:E11"/>
    <mergeCell ref="A1:E1"/>
    <mergeCell ref="A2:E2"/>
    <mergeCell ref="A3:E3"/>
    <mergeCell ref="A4:E4"/>
    <mergeCell ref="A5:E5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" orientation="portrait" r:id="rId1"/>
  <headerFooter>
    <oddFooter>&amp;C&amp;P</oddFooter>
  </headerFooter>
  <rowBreaks count="1" manualBreakCount="1">
    <brk id="3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view="pageBreakPreview" zoomScale="85" zoomScaleSheetLayoutView="85" workbookViewId="0">
      <selection activeCell="A4" sqref="A4:E4"/>
    </sheetView>
  </sheetViews>
  <sheetFormatPr defaultColWidth="9.140625" defaultRowHeight="12.75" x14ac:dyDescent="0.2"/>
  <cols>
    <col min="1" max="1" width="30.42578125" style="8" customWidth="1"/>
    <col min="2" max="2" width="17.140625" style="8" customWidth="1"/>
    <col min="3" max="3" width="14.85546875" style="8" customWidth="1"/>
    <col min="4" max="4" width="22.42578125" style="8" customWidth="1"/>
    <col min="5" max="5" width="11" style="8" customWidth="1"/>
    <col min="6" max="7" width="9.140625" style="8"/>
    <col min="8" max="8" width="43.42578125" style="8" customWidth="1"/>
    <col min="9" max="16384" width="9.140625" style="8"/>
  </cols>
  <sheetData>
    <row r="1" spans="1:5" ht="15.75" x14ac:dyDescent="0.25">
      <c r="A1" s="605" t="s">
        <v>227</v>
      </c>
      <c r="B1" s="605"/>
      <c r="C1" s="605"/>
      <c r="D1" s="616"/>
      <c r="E1" s="616"/>
    </row>
    <row r="2" spans="1:5" ht="15.75" x14ac:dyDescent="0.25">
      <c r="A2" s="605" t="s">
        <v>594</v>
      </c>
      <c r="B2" s="605"/>
      <c r="C2" s="605"/>
      <c r="D2" s="616"/>
      <c r="E2" s="616"/>
    </row>
    <row r="3" spans="1:5" ht="15.75" x14ac:dyDescent="0.25">
      <c r="A3" s="605" t="s">
        <v>584</v>
      </c>
      <c r="B3" s="605"/>
      <c r="C3" s="605"/>
      <c r="D3" s="616"/>
      <c r="E3" s="616"/>
    </row>
    <row r="4" spans="1:5" ht="15.75" x14ac:dyDescent="0.25">
      <c r="A4" s="605" t="s">
        <v>837</v>
      </c>
      <c r="B4" s="605"/>
      <c r="C4" s="605"/>
      <c r="D4" s="616"/>
      <c r="E4" s="616"/>
    </row>
    <row r="5" spans="1:5" ht="15.75" x14ac:dyDescent="0.25">
      <c r="A5" s="605"/>
      <c r="B5" s="616"/>
      <c r="C5" s="616"/>
      <c r="D5" s="616"/>
      <c r="E5" s="616"/>
    </row>
    <row r="6" spans="1:5" ht="15.75" x14ac:dyDescent="0.25">
      <c r="A6" s="617" t="s">
        <v>231</v>
      </c>
      <c r="B6" s="618"/>
      <c r="C6" s="618"/>
      <c r="D6" s="618"/>
      <c r="E6" s="618"/>
    </row>
    <row r="7" spans="1:5" ht="34.5" customHeight="1" x14ac:dyDescent="0.2">
      <c r="A7" s="619" t="s">
        <v>604</v>
      </c>
      <c r="B7" s="620"/>
      <c r="C7" s="620"/>
      <c r="D7" s="620"/>
      <c r="E7" s="620"/>
    </row>
    <row r="8" spans="1:5" ht="15.75" x14ac:dyDescent="0.25">
      <c r="A8" s="2"/>
      <c r="B8" s="1"/>
      <c r="C8" s="1"/>
      <c r="D8" s="1"/>
      <c r="E8" s="1"/>
    </row>
    <row r="9" spans="1:5" ht="34.5" customHeight="1" x14ac:dyDescent="0.2">
      <c r="A9" s="622" t="s">
        <v>824</v>
      </c>
      <c r="B9" s="620"/>
      <c r="C9" s="620"/>
      <c r="D9" s="620"/>
      <c r="E9" s="620"/>
    </row>
    <row r="10" spans="1:5" ht="15.75" x14ac:dyDescent="0.25">
      <c r="A10" s="623" t="s">
        <v>200</v>
      </c>
      <c r="B10" s="624"/>
      <c r="C10" s="624"/>
      <c r="D10" s="624"/>
      <c r="E10" s="624"/>
    </row>
    <row r="11" spans="1:5" ht="50.25" customHeight="1" x14ac:dyDescent="0.25">
      <c r="A11" s="25" t="s">
        <v>201</v>
      </c>
      <c r="B11" s="663" t="s">
        <v>565</v>
      </c>
      <c r="C11" s="664"/>
      <c r="D11" s="663" t="s">
        <v>579</v>
      </c>
      <c r="E11" s="664"/>
    </row>
    <row r="12" spans="1:5" s="47" customFormat="1" ht="15.75" x14ac:dyDescent="0.25">
      <c r="A12" s="27">
        <v>1</v>
      </c>
      <c r="B12" s="665">
        <v>2</v>
      </c>
      <c r="C12" s="666"/>
      <c r="D12" s="666">
        <v>3</v>
      </c>
      <c r="E12" s="666"/>
    </row>
    <row r="13" spans="1:5" ht="31.5" x14ac:dyDescent="0.25">
      <c r="A13" s="28" t="s">
        <v>202</v>
      </c>
      <c r="B13" s="667">
        <f>B14-B15</f>
        <v>0</v>
      </c>
      <c r="C13" s="668"/>
      <c r="D13" s="667">
        <f>D14-D15</f>
        <v>0</v>
      </c>
      <c r="E13" s="668"/>
    </row>
    <row r="14" spans="1:5" ht="15.75" x14ac:dyDescent="0.25">
      <c r="A14" s="29" t="s">
        <v>203</v>
      </c>
      <c r="B14" s="669">
        <f>Пр7!C11</f>
        <v>20000000</v>
      </c>
      <c r="C14" s="668"/>
      <c r="D14" s="669">
        <f>Пр7!F12</f>
        <v>20000000</v>
      </c>
      <c r="E14" s="668"/>
    </row>
    <row r="15" spans="1:5" ht="15.75" x14ac:dyDescent="0.25">
      <c r="A15" s="29" t="s">
        <v>204</v>
      </c>
      <c r="B15" s="670">
        <f>Пр7!C14</f>
        <v>20000000</v>
      </c>
      <c r="C15" s="668"/>
      <c r="D15" s="670">
        <f>Пр7!F14</f>
        <v>20000000</v>
      </c>
      <c r="E15" s="668"/>
    </row>
    <row r="16" spans="1:5" ht="15.75" x14ac:dyDescent="0.25">
      <c r="A16" s="28" t="s">
        <v>205</v>
      </c>
      <c r="B16" s="671">
        <f>B17-B18</f>
        <v>0</v>
      </c>
      <c r="C16" s="668"/>
      <c r="D16" s="671">
        <f>D17-D18</f>
        <v>0</v>
      </c>
      <c r="E16" s="668"/>
    </row>
    <row r="17" spans="1:5" ht="15.75" x14ac:dyDescent="0.25">
      <c r="A17" s="29" t="s">
        <v>203</v>
      </c>
      <c r="B17" s="670"/>
      <c r="C17" s="668"/>
      <c r="D17" s="668"/>
      <c r="E17" s="668"/>
    </row>
    <row r="18" spans="1:5" ht="15.75" x14ac:dyDescent="0.25">
      <c r="A18" s="29" t="s">
        <v>204</v>
      </c>
      <c r="B18" s="670">
        <f>-Пр7!C16</f>
        <v>0</v>
      </c>
      <c r="C18" s="668"/>
      <c r="D18" s="668">
        <f>-Пр7!F16</f>
        <v>0</v>
      </c>
      <c r="E18" s="668"/>
    </row>
    <row r="19" spans="1:5" ht="15.75" x14ac:dyDescent="0.25">
      <c r="A19" s="31" t="s">
        <v>207</v>
      </c>
      <c r="B19" s="671">
        <f>B20-B21</f>
        <v>0</v>
      </c>
      <c r="C19" s="668"/>
      <c r="D19" s="671">
        <f>D20-D21</f>
        <v>0</v>
      </c>
      <c r="E19" s="668"/>
    </row>
    <row r="20" spans="1:5" ht="15.75" x14ac:dyDescent="0.25">
      <c r="A20" s="32" t="s">
        <v>208</v>
      </c>
      <c r="B20" s="669">
        <f>B14+B17</f>
        <v>20000000</v>
      </c>
      <c r="C20" s="668"/>
      <c r="D20" s="669">
        <f>D14+D17</f>
        <v>20000000</v>
      </c>
      <c r="E20" s="668"/>
    </row>
    <row r="21" spans="1:5" ht="15.75" x14ac:dyDescent="0.25">
      <c r="A21" s="32" t="s">
        <v>209</v>
      </c>
      <c r="B21" s="670">
        <f>B15+B18</f>
        <v>20000000</v>
      </c>
      <c r="C21" s="668"/>
      <c r="D21" s="670">
        <f>D15+D18</f>
        <v>20000000</v>
      </c>
      <c r="E21" s="668"/>
    </row>
    <row r="22" spans="1:5" ht="63" x14ac:dyDescent="0.25">
      <c r="A22" s="33" t="s">
        <v>210</v>
      </c>
      <c r="B22" s="671">
        <f>B19</f>
        <v>0</v>
      </c>
      <c r="C22" s="668"/>
      <c r="D22" s="671">
        <f>D19</f>
        <v>0</v>
      </c>
      <c r="E22" s="668"/>
    </row>
    <row r="23" spans="1:5" ht="36" customHeight="1" x14ac:dyDescent="0.25">
      <c r="A23" s="621" t="s">
        <v>811</v>
      </c>
      <c r="B23" s="618"/>
      <c r="C23" s="618"/>
      <c r="D23" s="618"/>
      <c r="E23" s="618"/>
    </row>
    <row r="24" spans="1:5" ht="15.75" x14ac:dyDescent="0.25">
      <c r="A24" s="605" t="s">
        <v>211</v>
      </c>
      <c r="B24" s="616"/>
      <c r="C24" s="616"/>
      <c r="D24" s="616"/>
      <c r="E24" s="616"/>
    </row>
    <row r="25" spans="1:5" ht="15.75" x14ac:dyDescent="0.25">
      <c r="A25" s="34" t="s">
        <v>212</v>
      </c>
      <c r="B25" s="672" t="s">
        <v>569</v>
      </c>
      <c r="C25" s="673"/>
      <c r="D25" s="664" t="s">
        <v>812</v>
      </c>
      <c r="E25" s="664"/>
    </row>
    <row r="26" spans="1:5" s="47" customFormat="1" ht="15.75" x14ac:dyDescent="0.25">
      <c r="A26" s="35">
        <v>1</v>
      </c>
      <c r="B26" s="665">
        <v>2</v>
      </c>
      <c r="C26" s="666"/>
      <c r="D26" s="666">
        <v>3</v>
      </c>
      <c r="E26" s="666"/>
    </row>
    <row r="27" spans="1:5" ht="31.5" x14ac:dyDescent="0.25">
      <c r="A27" s="48" t="s">
        <v>213</v>
      </c>
      <c r="B27" s="669">
        <f>Пр8!B28+B20-B21</f>
        <v>20000000</v>
      </c>
      <c r="C27" s="674"/>
      <c r="D27" s="669">
        <f>B27+D20-D21</f>
        <v>20000000</v>
      </c>
      <c r="E27" s="674"/>
    </row>
    <row r="28" spans="1:5" ht="47.25" x14ac:dyDescent="0.25">
      <c r="A28" s="49" t="s">
        <v>214</v>
      </c>
      <c r="B28" s="675">
        <v>0</v>
      </c>
      <c r="C28" s="676"/>
      <c r="D28" s="675">
        <v>0</v>
      </c>
      <c r="E28" s="676"/>
    </row>
    <row r="29" spans="1:5" ht="15.75" x14ac:dyDescent="0.2">
      <c r="A29" s="46"/>
      <c r="B29" s="677" t="s">
        <v>570</v>
      </c>
      <c r="C29" s="678"/>
      <c r="D29" s="677" t="s">
        <v>580</v>
      </c>
      <c r="E29" s="678"/>
    </row>
    <row r="30" spans="1:5" ht="31.5" x14ac:dyDescent="0.25">
      <c r="A30" s="48" t="s">
        <v>215</v>
      </c>
      <c r="B30" s="679">
        <f>Пр1!C12-(Пр1!C12*50%)</f>
        <v>55043500</v>
      </c>
      <c r="C30" s="680"/>
      <c r="D30" s="679">
        <f>Пр1!D12-(Пр1!D12*50%)</f>
        <v>58154500</v>
      </c>
      <c r="E30" s="680"/>
    </row>
    <row r="31" spans="1:5" ht="47.25" x14ac:dyDescent="0.25">
      <c r="A31" s="50" t="s">
        <v>216</v>
      </c>
      <c r="B31" s="669">
        <v>1700000</v>
      </c>
      <c r="C31" s="674"/>
      <c r="D31" s="669">
        <v>1700000</v>
      </c>
      <c r="E31" s="674"/>
    </row>
    <row r="32" spans="1:5" ht="48" thickBot="1" x14ac:dyDescent="0.3">
      <c r="A32" s="50" t="s">
        <v>217</v>
      </c>
      <c r="B32" s="669">
        <f>B20</f>
        <v>20000000</v>
      </c>
      <c r="C32" s="674"/>
      <c r="D32" s="669">
        <f>D20</f>
        <v>20000000</v>
      </c>
      <c r="E32" s="674"/>
    </row>
    <row r="33" spans="1:5" ht="15.75" x14ac:dyDescent="0.25">
      <c r="A33" s="2"/>
      <c r="B33" s="1"/>
      <c r="C33" s="1"/>
      <c r="D33" s="1"/>
      <c r="E33" s="1"/>
    </row>
    <row r="34" spans="1:5" ht="15.75" x14ac:dyDescent="0.25">
      <c r="A34" s="621"/>
      <c r="B34" s="618"/>
      <c r="C34" s="618"/>
      <c r="D34" s="618"/>
      <c r="E34" s="618"/>
    </row>
    <row r="35" spans="1:5" ht="36" customHeight="1" x14ac:dyDescent="0.2">
      <c r="A35" s="681" t="s">
        <v>822</v>
      </c>
      <c r="B35" s="682"/>
      <c r="C35" s="682"/>
      <c r="D35" s="682"/>
      <c r="E35" s="682"/>
    </row>
    <row r="36" spans="1:5" ht="15.75" x14ac:dyDescent="0.25">
      <c r="A36" s="652" t="s">
        <v>218</v>
      </c>
      <c r="B36" s="625" t="s">
        <v>219</v>
      </c>
      <c r="C36" s="626"/>
      <c r="D36" s="626"/>
      <c r="E36" s="627"/>
    </row>
    <row r="37" spans="1:5" x14ac:dyDescent="0.2">
      <c r="A37" s="653"/>
      <c r="B37" s="683" t="s">
        <v>581</v>
      </c>
      <c r="C37" s="684"/>
      <c r="D37" s="683" t="s">
        <v>582</v>
      </c>
      <c r="E37" s="684"/>
    </row>
    <row r="38" spans="1:5" ht="0.75" customHeight="1" x14ac:dyDescent="0.2">
      <c r="A38" s="653"/>
      <c r="B38" s="685"/>
      <c r="C38" s="686"/>
      <c r="D38" s="685"/>
      <c r="E38" s="686"/>
    </row>
    <row r="39" spans="1:5" ht="15.75" x14ac:dyDescent="0.25">
      <c r="A39" s="654"/>
      <c r="B39" s="40" t="s">
        <v>221</v>
      </c>
      <c r="C39" s="26" t="s">
        <v>222</v>
      </c>
      <c r="D39" s="40" t="s">
        <v>221</v>
      </c>
      <c r="E39" s="40" t="s">
        <v>222</v>
      </c>
    </row>
    <row r="40" spans="1:5" ht="15.75" x14ac:dyDescent="0.25">
      <c r="A40" s="27">
        <v>1</v>
      </c>
      <c r="B40" s="40">
        <v>2</v>
      </c>
      <c r="C40" s="40">
        <v>3</v>
      </c>
      <c r="D40" s="40">
        <v>4</v>
      </c>
      <c r="E40" s="40">
        <v>5</v>
      </c>
    </row>
    <row r="41" spans="1:5" ht="31.5" x14ac:dyDescent="0.25">
      <c r="A41" s="41" t="s">
        <v>223</v>
      </c>
      <c r="B41" s="42">
        <f>B44-B42</f>
        <v>20000000</v>
      </c>
      <c r="C41" s="43">
        <f>B41/B$44</f>
        <v>1</v>
      </c>
      <c r="D41" s="44">
        <f>B41+D13</f>
        <v>20000000</v>
      </c>
      <c r="E41" s="43">
        <f>D41/D$44</f>
        <v>1</v>
      </c>
    </row>
    <row r="42" spans="1:5" ht="15.75" x14ac:dyDescent="0.25">
      <c r="A42" s="41" t="s">
        <v>224</v>
      </c>
      <c r="B42" s="42">
        <f>Пр8!D43-B18</f>
        <v>0</v>
      </c>
      <c r="C42" s="43">
        <f>B42/B$44</f>
        <v>0</v>
      </c>
      <c r="D42" s="42">
        <f>B42-D18</f>
        <v>0</v>
      </c>
      <c r="E42" s="43">
        <f>D42/D$44</f>
        <v>0</v>
      </c>
    </row>
    <row r="43" spans="1:5" ht="15.75" x14ac:dyDescent="0.25">
      <c r="A43" s="41" t="s">
        <v>225</v>
      </c>
      <c r="B43" s="42">
        <v>0</v>
      </c>
      <c r="C43" s="43">
        <f>B43/B$44</f>
        <v>0</v>
      </c>
      <c r="D43" s="42">
        <v>0</v>
      </c>
      <c r="E43" s="43">
        <f>D43/D$44</f>
        <v>0</v>
      </c>
    </row>
    <row r="44" spans="1:5" ht="31.5" x14ac:dyDescent="0.25">
      <c r="A44" s="41" t="s">
        <v>226</v>
      </c>
      <c r="B44" s="44">
        <f>B27</f>
        <v>20000000</v>
      </c>
      <c r="C44" s="43">
        <f>B44/B$44</f>
        <v>1</v>
      </c>
      <c r="D44" s="44">
        <f>D41+D42+D43</f>
        <v>20000000</v>
      </c>
      <c r="E44" s="43">
        <f>D44/D$44</f>
        <v>1</v>
      </c>
    </row>
    <row r="45" spans="1:5" ht="15.75" x14ac:dyDescent="0.25">
      <c r="A45" s="650"/>
      <c r="B45" s="651"/>
      <c r="C45" s="651"/>
      <c r="D45" s="651"/>
      <c r="E45" s="651"/>
    </row>
    <row r="46" spans="1:5" x14ac:dyDescent="0.2">
      <c r="A46" s="45"/>
    </row>
    <row r="47" spans="1:5" ht="15.75" x14ac:dyDescent="0.25">
      <c r="A47" s="2"/>
    </row>
  </sheetData>
  <mergeCells count="58">
    <mergeCell ref="A45:E45"/>
    <mergeCell ref="A34:E34"/>
    <mergeCell ref="A35:E35"/>
    <mergeCell ref="A36:A39"/>
    <mergeCell ref="B36:E36"/>
    <mergeCell ref="B37:C38"/>
    <mergeCell ref="D37:E38"/>
    <mergeCell ref="B30:C30"/>
    <mergeCell ref="D30:E30"/>
    <mergeCell ref="B31:C31"/>
    <mergeCell ref="D31:E31"/>
    <mergeCell ref="B32:C32"/>
    <mergeCell ref="D32:E32"/>
    <mergeCell ref="B27:C27"/>
    <mergeCell ref="D27:E27"/>
    <mergeCell ref="B28:C28"/>
    <mergeCell ref="D28:E28"/>
    <mergeCell ref="B29:C29"/>
    <mergeCell ref="D29:E29"/>
    <mergeCell ref="A24:E24"/>
    <mergeCell ref="B25:C25"/>
    <mergeCell ref="D25:E25"/>
    <mergeCell ref="B26:C26"/>
    <mergeCell ref="D26:E26"/>
    <mergeCell ref="D21:E21"/>
    <mergeCell ref="B21:C21"/>
    <mergeCell ref="D22:E22"/>
    <mergeCell ref="B22:C22"/>
    <mergeCell ref="A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D13:E13"/>
    <mergeCell ref="B13:C13"/>
    <mergeCell ref="B14:C14"/>
    <mergeCell ref="D14:E14"/>
    <mergeCell ref="A6:E6"/>
    <mergeCell ref="A7:E7"/>
    <mergeCell ref="A9:E9"/>
    <mergeCell ref="A10:E10"/>
    <mergeCell ref="B11:C11"/>
    <mergeCell ref="D11:E11"/>
    <mergeCell ref="A1:E1"/>
    <mergeCell ref="A2:E2"/>
    <mergeCell ref="A3:E3"/>
    <mergeCell ref="A4:E4"/>
    <mergeCell ref="A5:E5"/>
  </mergeCells>
  <printOptions gridLinesSet="0"/>
  <pageMargins left="0.70866141732283472" right="0.70866141732283472" top="0.74803149606299213" bottom="0.74803149606299213" header="0.51181102362204722" footer="0.51181102362204722"/>
  <pageSetup paperSize="9" scale="92" fitToHeight="2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52</vt:i4>
      </vt:variant>
    </vt:vector>
  </HeadingPairs>
  <TitlesOfParts>
    <vt:vector size="84" baseType="lpstr">
      <vt:lpstr>Пр1</vt:lpstr>
      <vt:lpstr>Пр2</vt:lpstr>
      <vt:lpstr>Пр3</vt:lpstr>
      <vt:lpstr>Пр4</vt:lpstr>
      <vt:lpstr>Пр5</vt:lpstr>
      <vt:lpstr>Пр6</vt:lpstr>
      <vt:lpstr>Пр7</vt:lpstr>
      <vt:lpstr>Пр8</vt:lpstr>
      <vt:lpstr>Пр9</vt:lpstr>
      <vt:lpstr>Пр10</vt:lpstr>
      <vt:lpstr>Пр11</vt:lpstr>
      <vt:lpstr>Пр12</vt:lpstr>
      <vt:lpstr>Пр13</vt:lpstr>
      <vt:lpstr>Пр14</vt:lpstr>
      <vt:lpstr>Пр15</vt:lpstr>
      <vt:lpstr>Пр19</vt:lpstr>
      <vt:lpstr>Пр16</vt:lpstr>
      <vt:lpstr>Пр.21</vt:lpstr>
      <vt:lpstr>КВСР</vt:lpstr>
      <vt:lpstr>КФСР</vt:lpstr>
      <vt:lpstr>Программа</vt:lpstr>
      <vt:lpstr>Направление</vt:lpstr>
      <vt:lpstr>КВР</vt:lpstr>
      <vt:lpstr>Лист2</vt:lpstr>
      <vt:lpstr>Лист3</vt:lpstr>
      <vt:lpstr>Лист1</vt:lpstr>
      <vt:lpstr>Лист4</vt:lpstr>
      <vt:lpstr>Лист5</vt:lpstr>
      <vt:lpstr>Лист6</vt:lpstr>
      <vt:lpstr>Лист7</vt:lpstr>
      <vt:lpstr>Лист8</vt:lpstr>
      <vt:lpstr>Лист11</vt:lpstr>
      <vt:lpstr>Пр8!_GoBack</vt:lpstr>
      <vt:lpstr>КВСР!_ФильтрБазыДанных</vt:lpstr>
      <vt:lpstr>КФСР!_ФильтрБазыДанных</vt:lpstr>
      <vt:lpstr>Пр12!Z_66DBF0AC_E9A0_482F_9E41_1928B6CA83DC_.wvu.FilterData</vt:lpstr>
      <vt:lpstr>Пр12!Z_91923F83_3A6B_4204_9891_178562AB34F1_.wvu.FilterData</vt:lpstr>
      <vt:lpstr>Пр12!Z_91923F83_3A6B_4204_9891_178562AB34F1_.wvu.PrintArea</vt:lpstr>
      <vt:lpstr>Пр2!Z_91923F83_3A6B_4204_9891_178562AB34F1_.wvu.PrintArea</vt:lpstr>
      <vt:lpstr>Пр4!Z_91923F83_3A6B_4204_9891_178562AB34F1_.wvu.PrintArea</vt:lpstr>
      <vt:lpstr>Пр4!Z_91923F83_3A6B_4204_9891_178562AB34F1_.wvu.Rows</vt:lpstr>
      <vt:lpstr>Пр12!Z_A5E41FC9_89B1_40D2_B587_57BC4C5E4715_.wvu.FilterData</vt:lpstr>
      <vt:lpstr>Пр12!Z_A5E41FC9_89B1_40D2_B587_57BC4C5E4715_.wvu.PrintArea</vt:lpstr>
      <vt:lpstr>Пр2!Z_A5E41FC9_89B1_40D2_B587_57BC4C5E4715_.wvu.PrintArea</vt:lpstr>
      <vt:lpstr>Пр4!Z_A5E41FC9_89B1_40D2_B587_57BC4C5E4715_.wvu.PrintArea</vt:lpstr>
      <vt:lpstr>Пр4!Z_A5E41FC9_89B1_40D2_B587_57BC4C5E4715_.wvu.Rows</vt:lpstr>
      <vt:lpstr>Пр12!Z_B3311466_F005_49F1_A579_3E6CECE305A8_.wvu.FilterData</vt:lpstr>
      <vt:lpstr>Пр12!Z_B3311466_F005_49F1_A579_3E6CECE305A8_.wvu.PrintArea</vt:lpstr>
      <vt:lpstr>Пр2!Z_B3311466_F005_49F1_A579_3E6CECE305A8_.wvu.PrintArea</vt:lpstr>
      <vt:lpstr>Пр4!Z_B3311466_F005_49F1_A579_3E6CECE305A8_.wvu.PrintArea</vt:lpstr>
      <vt:lpstr>Пр4!Z_B3311466_F005_49F1_A579_3E6CECE305A8_.wvu.Rows</vt:lpstr>
      <vt:lpstr>Пр12!Z_E51CBA0A_8A1C_44BF_813B_86B1F7C678D3_.wvu.FilterData</vt:lpstr>
      <vt:lpstr>Пр12!Z_E5662E33_D4B0_43EA_9B06_C8DA9DFDBEF6_.wvu.FilterData</vt:lpstr>
      <vt:lpstr>Пр12!Z_E5662E33_D4B0_43EA_9B06_C8DA9DFDBEF6_.wvu.PrintArea</vt:lpstr>
      <vt:lpstr>Пр2!Z_E5662E33_D4B0_43EA_9B06_C8DA9DFDBEF6_.wvu.PrintArea</vt:lpstr>
      <vt:lpstr>Пр4!Z_E5662E33_D4B0_43EA_9B06_C8DA9DFDBEF6_.wvu.PrintArea</vt:lpstr>
      <vt:lpstr>Пр6!Z_E5662E33_D4B0_43EA_9B06_C8DA9DFDBEF6_.wvu.PrintArea</vt:lpstr>
      <vt:lpstr>Пр4!Z_E5662E33_D4B0_43EA_9B06_C8DA9DFDBEF6_.wvu.Rows</vt:lpstr>
      <vt:lpstr>Пр12!Z_F3607253_7816_4CF7_9CFD_2ADFFAD916F8_.wvu.FilterData</vt:lpstr>
      <vt:lpstr>Пр12!Z_F3607253_7816_4CF7_9CFD_2ADFFAD916F8_.wvu.PrintArea</vt:lpstr>
      <vt:lpstr>Пр2!Z_F3607253_7816_4CF7_9CFD_2ADFFAD916F8_.wvu.PrintArea</vt:lpstr>
      <vt:lpstr>Пр4!Z_F3607253_7816_4CF7_9CFD_2ADFFAD916F8_.wvu.PrintArea</vt:lpstr>
      <vt:lpstr>Пр4!Z_F3607253_7816_4CF7_9CFD_2ADFFAD916F8_.wvu.Rows</vt:lpstr>
      <vt:lpstr>Пр12!Заголовки_для_печати</vt:lpstr>
      <vt:lpstr>Пр13!Заголовки_для_печати</vt:lpstr>
      <vt:lpstr>КВР!Область_печати</vt:lpstr>
      <vt:lpstr>КВСР!Область_печати</vt:lpstr>
      <vt:lpstr>КФСР!Область_печати</vt:lpstr>
      <vt:lpstr>Пр10!Область_печати</vt:lpstr>
      <vt:lpstr>Пр11!Область_печати</vt:lpstr>
      <vt:lpstr>Пр12!Область_печати</vt:lpstr>
      <vt:lpstr>Пр13!Область_печати</vt:lpstr>
      <vt:lpstr>Пр14!Область_печати</vt:lpstr>
      <vt:lpstr>Пр15!Область_печати</vt:lpstr>
      <vt:lpstr>Пр16!Область_печати</vt:lpstr>
      <vt:lpstr>Пр19!Область_печати</vt:lpstr>
      <vt:lpstr>Пр2!Область_печати</vt:lpstr>
      <vt:lpstr>Пр3!Область_печати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  <vt:lpstr>Пр8!Область_печати</vt:lpstr>
      <vt:lpstr>Пр9!Область_печати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stepanov</cp:lastModifiedBy>
  <cp:lastPrinted>2019-07-29T11:27:47Z</cp:lastPrinted>
  <dcterms:created xsi:type="dcterms:W3CDTF">2016-11-11T16:27:02Z</dcterms:created>
  <dcterms:modified xsi:type="dcterms:W3CDTF">2019-08-29T07:28:14Z</dcterms:modified>
</cp:coreProperties>
</file>