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C416402-BE4A-4082-801F-8BD524075D9C}" xr6:coauthVersionLast="47" xr6:coauthVersionMax="47" xr10:uidLastSave="{00000000-0000-0000-0000-000000000000}"/>
  <workbookProtection workbookAlgorithmName="SHA-512" workbookHashValue="vZk3a7lcPg3mDbjJjzX755dntQKcafC2cy7aT8izf9xWtQCxBHiLlmPXA3TlW6EOGyRTUYagY+M80cWv/AHqOg==" workbookSaltValue="c2bcIMscuITR6ncrAci69g==" workbookSpinCount="100000" lockStructure="1"/>
  <bookViews>
    <workbookView xWindow="-108" yWindow="-108" windowWidth="30936" windowHeight="16896" activeTab="1" xr2:uid="{00000000-000D-0000-FFFF-FFFF00000000}"/>
  </bookViews>
  <sheets>
    <sheet name="Доходы" sheetId="2" r:id="rId1"/>
    <sheet name="Расходы" sheetId="1" r:id="rId2"/>
    <sheet name="Источники" sheetId="3" state="hidden" r:id="rId3"/>
    <sheet name="Лист1" sheetId="4" state="hidden" r:id="rId4"/>
  </sheets>
  <definedNames>
    <definedName name="_xlnm.Print_Area" localSheetId="0">Доходы!$A$1:$G$131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5" i="1" s="1"/>
  <c r="L5" i="1" s="1"/>
  <c r="D5" i="1"/>
  <c r="L197" i="1"/>
  <c r="L194" i="1"/>
  <c r="D31" i="1"/>
  <c r="D32" i="1"/>
  <c r="P209" i="1"/>
  <c r="P158" i="1"/>
  <c r="P148" i="1"/>
  <c r="P124" i="1"/>
  <c r="P105" i="1"/>
  <c r="P99" i="1"/>
  <c r="P72" i="1"/>
  <c r="L6" i="1"/>
  <c r="P18" i="1" s="1"/>
  <c r="G39" i="1"/>
  <c r="G36" i="1"/>
  <c r="G34" i="1"/>
  <c r="D39" i="1"/>
  <c r="L207" i="1"/>
  <c r="J198" i="1"/>
  <c r="G219" i="1"/>
  <c r="G220" i="1"/>
  <c r="H220" i="1" s="1"/>
  <c r="G126" i="1"/>
  <c r="G124" i="1"/>
  <c r="G69" i="1"/>
  <c r="H64" i="1"/>
  <c r="L63" i="1"/>
  <c r="D124" i="1"/>
  <c r="D18" i="1"/>
  <c r="G13" i="1"/>
  <c r="G26" i="1"/>
  <c r="H26" i="1" s="1"/>
  <c r="G25" i="1"/>
  <c r="H25" i="1" s="1"/>
  <c r="F32" i="1"/>
  <c r="G22" i="1"/>
  <c r="F17" i="1"/>
  <c r="H27" i="1"/>
  <c r="H28" i="1"/>
  <c r="J206" i="1"/>
  <c r="G218" i="1"/>
  <c r="H218" i="1" s="1"/>
  <c r="G82" i="1"/>
  <c r="M69" i="1"/>
  <c r="D96" i="2"/>
  <c r="H120" i="1" l="1"/>
  <c r="K145" i="1"/>
  <c r="K146" i="1"/>
  <c r="K106" i="1"/>
  <c r="K101" i="1"/>
  <c r="H82" i="1"/>
  <c r="H84" i="1"/>
  <c r="H68" i="1"/>
  <c r="E41" i="1"/>
  <c r="E42" i="1"/>
  <c r="E43" i="1"/>
  <c r="E44" i="1"/>
  <c r="E45" i="1"/>
  <c r="E46" i="1"/>
  <c r="E48" i="1"/>
  <c r="H8" i="1"/>
  <c r="H10" i="1"/>
  <c r="H11" i="1"/>
  <c r="E213" i="1"/>
  <c r="E214" i="1"/>
  <c r="E216" i="1"/>
  <c r="E212" i="1"/>
  <c r="H209" i="1"/>
  <c r="H36" i="1"/>
  <c r="H38" i="1"/>
  <c r="H41" i="1"/>
  <c r="H43" i="1"/>
  <c r="H45" i="1"/>
  <c r="H46" i="1"/>
  <c r="F128" i="1" l="1"/>
  <c r="G128" i="1"/>
  <c r="H126" i="1"/>
  <c r="H124" i="1"/>
  <c r="J215" i="1"/>
  <c r="J25" i="1"/>
  <c r="J144" i="1"/>
  <c r="K144" i="1" s="1"/>
  <c r="J154" i="1"/>
  <c r="J143" i="1"/>
  <c r="K143" i="1" s="1"/>
  <c r="J158" i="1"/>
  <c r="J157" i="1"/>
  <c r="G37" i="1"/>
  <c r="H37" i="1" s="1"/>
  <c r="H69" i="1"/>
  <c r="J232" i="1"/>
  <c r="D103" i="2"/>
  <c r="D115" i="2"/>
  <c r="D95" i="2"/>
  <c r="D105" i="2"/>
  <c r="D106" i="2"/>
  <c r="G35" i="1"/>
  <c r="H35" i="1" s="1"/>
  <c r="K150" i="1"/>
  <c r="K149" i="1"/>
  <c r="H219" i="1"/>
  <c r="H221" i="1"/>
  <c r="F244" i="1"/>
  <c r="G32" i="1" l="1"/>
  <c r="H128" i="1"/>
  <c r="L36" i="1" l="1"/>
  <c r="H13" i="1"/>
  <c r="G217" i="1"/>
  <c r="L217" i="1" s="1"/>
  <c r="L219" i="1"/>
  <c r="L221" i="1"/>
  <c r="D16" i="2"/>
  <c r="D9" i="2" l="1"/>
  <c r="D30" i="2" l="1"/>
  <c r="K215" i="1"/>
  <c r="J233" i="1"/>
  <c r="I233" i="1"/>
  <c r="K232" i="1"/>
  <c r="K231" i="1"/>
  <c r="K230" i="1"/>
  <c r="K229" i="1"/>
  <c r="K228" i="1"/>
  <c r="K180" i="1"/>
  <c r="K104" i="1"/>
  <c r="D122" i="2"/>
  <c r="D223" i="1"/>
  <c r="D186" i="1"/>
  <c r="C186" i="1"/>
  <c r="N66" i="1"/>
  <c r="M66" i="1"/>
  <c r="J66" i="1"/>
  <c r="I66" i="1"/>
  <c r="G66" i="1"/>
  <c r="F66" i="1"/>
  <c r="D66" i="1"/>
  <c r="C66" i="1"/>
  <c r="D6" i="1"/>
  <c r="L9" i="1"/>
  <c r="D247" i="1"/>
  <c r="L39" i="1"/>
  <c r="D246" i="1"/>
  <c r="L81" i="1"/>
  <c r="H66" i="1" l="1"/>
  <c r="K233" i="1"/>
  <c r="L52" i="1"/>
  <c r="D80" i="1"/>
  <c r="L80" i="1" s="1"/>
  <c r="L7" i="1" l="1"/>
  <c r="L67" i="1"/>
  <c r="L40" i="1"/>
  <c r="D206" i="1"/>
  <c r="D194" i="1"/>
  <c r="D245" i="1" l="1"/>
  <c r="D198" i="1"/>
  <c r="D24" i="1"/>
  <c r="L24" i="1" s="1"/>
  <c r="L22" i="1"/>
  <c r="D23" i="1"/>
  <c r="L23" i="1" s="1"/>
  <c r="D100" i="2"/>
  <c r="J124" i="1"/>
  <c r="K124" i="1" s="1"/>
  <c r="M157" i="1"/>
  <c r="M142" i="1"/>
  <c r="N142" i="1"/>
  <c r="I142" i="1"/>
  <c r="G142" i="1"/>
  <c r="F142" i="1"/>
  <c r="D142" i="1"/>
  <c r="C142" i="1"/>
  <c r="L147" i="1"/>
  <c r="J160" i="1"/>
  <c r="L101" i="1"/>
  <c r="L16" i="1"/>
  <c r="E106" i="2"/>
  <c r="N223" i="1"/>
  <c r="M223" i="1"/>
  <c r="L225" i="1"/>
  <c r="L224" i="1"/>
  <c r="H223" i="1"/>
  <c r="G223" i="1"/>
  <c r="F223" i="1"/>
  <c r="C223" i="1"/>
  <c r="J142" i="1" l="1"/>
  <c r="K142" i="1" s="1"/>
  <c r="L223" i="1"/>
  <c r="E98" i="2"/>
  <c r="D107" i="2"/>
  <c r="D92" i="2"/>
  <c r="D47" i="2"/>
  <c r="D71" i="2"/>
  <c r="D121" i="2"/>
  <c r="D45" i="2"/>
  <c r="D37" i="2" l="1"/>
  <c r="E14" i="1"/>
  <c r="F14" i="1"/>
  <c r="G14" i="1"/>
  <c r="H14" i="1"/>
  <c r="I14" i="1"/>
  <c r="J14" i="1"/>
  <c r="K14" i="1"/>
  <c r="M14" i="1"/>
  <c r="N14" i="1"/>
  <c r="D14" i="1"/>
  <c r="D123" i="1"/>
  <c r="L19" i="1"/>
  <c r="L205" i="1"/>
  <c r="H34" i="1" l="1"/>
  <c r="L82" i="1"/>
  <c r="G119" i="1" l="1"/>
  <c r="F119" i="1"/>
  <c r="L15" i="1"/>
  <c r="L14" i="1" s="1"/>
  <c r="L71" i="1"/>
  <c r="L69" i="1"/>
  <c r="L68" i="1"/>
  <c r="L196" i="1"/>
  <c r="L121" i="1"/>
  <c r="H119" i="1" l="1"/>
  <c r="G211" i="1"/>
  <c r="G127" i="1"/>
  <c r="F6" i="1"/>
  <c r="L47" i="1"/>
  <c r="L34" i="1"/>
  <c r="C14" i="1"/>
  <c r="L38" i="1"/>
  <c r="L37" i="1" l="1"/>
  <c r="N60" i="1" l="1"/>
  <c r="M60" i="1"/>
  <c r="J60" i="1"/>
  <c r="I60" i="1"/>
  <c r="G60" i="1"/>
  <c r="H60" i="1" s="1"/>
  <c r="F60" i="1"/>
  <c r="D60" i="1"/>
  <c r="C60" i="1"/>
  <c r="L65" i="1"/>
  <c r="L62" i="1"/>
  <c r="L61" i="1"/>
  <c r="N92" i="1"/>
  <c r="M92" i="1"/>
  <c r="J92" i="1"/>
  <c r="I92" i="1"/>
  <c r="G92" i="1"/>
  <c r="F92" i="1"/>
  <c r="D92" i="1"/>
  <c r="C92" i="1"/>
  <c r="L94" i="1"/>
  <c r="J174" i="1" l="1"/>
  <c r="I174" i="1"/>
  <c r="G174" i="1"/>
  <c r="F174" i="1"/>
  <c r="D174" i="1"/>
  <c r="C174" i="1"/>
  <c r="N99" i="1"/>
  <c r="M99" i="1"/>
  <c r="J99" i="1"/>
  <c r="I99" i="1"/>
  <c r="G99" i="1"/>
  <c r="F99" i="1"/>
  <c r="D99" i="1"/>
  <c r="C99" i="1"/>
  <c r="L110" i="1"/>
  <c r="L109" i="1"/>
  <c r="K99" i="1" l="1"/>
  <c r="L206" i="1"/>
  <c r="L204" i="1"/>
  <c r="L203" i="1"/>
  <c r="L202" i="1"/>
  <c r="L201" i="1"/>
  <c r="L200" i="1"/>
  <c r="L199" i="1"/>
  <c r="L198" i="1" s="1"/>
  <c r="L209" i="1"/>
  <c r="L192" i="1"/>
  <c r="L190" i="1"/>
  <c r="L187" i="1"/>
  <c r="L185" i="1"/>
  <c r="L182" i="1"/>
  <c r="L181" i="1"/>
  <c r="L180" i="1"/>
  <c r="L178" i="1"/>
  <c r="L176" i="1"/>
  <c r="L175" i="1"/>
  <c r="L170" i="1"/>
  <c r="L166" i="1"/>
  <c r="L165" i="1"/>
  <c r="L160" i="1"/>
  <c r="L159" i="1"/>
  <c r="L152" i="1"/>
  <c r="L150" i="1"/>
  <c r="L149" i="1"/>
  <c r="L146" i="1"/>
  <c r="L145" i="1"/>
  <c r="L144" i="1"/>
  <c r="L143" i="1"/>
  <c r="L140" i="1"/>
  <c r="L138" i="1"/>
  <c r="L135" i="1"/>
  <c r="L133" i="1"/>
  <c r="L131" i="1"/>
  <c r="L128" i="1"/>
  <c r="L122" i="1"/>
  <c r="L120" i="1"/>
  <c r="L118" i="1"/>
  <c r="L117" i="1"/>
  <c r="L116" i="1"/>
  <c r="L115" i="1"/>
  <c r="L126" i="1"/>
  <c r="L125" i="1"/>
  <c r="L106" i="1"/>
  <c r="L104" i="1"/>
  <c r="L100" i="1"/>
  <c r="L98" i="1"/>
  <c r="L97" i="1"/>
  <c r="L96" i="1"/>
  <c r="L91" i="1"/>
  <c r="L93" i="1"/>
  <c r="L84" i="1"/>
  <c r="L83" i="1"/>
  <c r="L79" i="1"/>
  <c r="L78" i="1"/>
  <c r="L77" i="1"/>
  <c r="L75" i="1"/>
  <c r="L74" i="1"/>
  <c r="L30" i="1"/>
  <c r="L29" i="1"/>
  <c r="L28" i="1"/>
  <c r="L27" i="1"/>
  <c r="L26" i="1"/>
  <c r="L25" i="1"/>
  <c r="L10" i="1"/>
  <c r="L12" i="1"/>
  <c r="L13" i="1"/>
  <c r="L8" i="1"/>
  <c r="L154" i="1"/>
  <c r="L164" i="1"/>
  <c r="L163" i="1"/>
  <c r="L167" i="1"/>
  <c r="L161" i="1"/>
  <c r="L157" i="1"/>
  <c r="L158" i="1"/>
  <c r="L142" i="1" l="1"/>
  <c r="F122" i="2"/>
  <c r="E122" i="2"/>
  <c r="F29" i="2"/>
  <c r="E29" i="2"/>
  <c r="D29" i="2"/>
  <c r="F37" i="2"/>
  <c r="E37" i="2" l="1"/>
  <c r="D66" i="2"/>
  <c r="E66" i="2"/>
  <c r="F66" i="2"/>
  <c r="L35" i="1"/>
  <c r="L42" i="1"/>
  <c r="L45" i="1"/>
  <c r="L48" i="1"/>
  <c r="L49" i="1"/>
  <c r="L50" i="1"/>
  <c r="L51" i="1"/>
  <c r="L53" i="1"/>
  <c r="L54" i="1"/>
  <c r="L55" i="1"/>
  <c r="L56" i="1"/>
  <c r="L57" i="1"/>
  <c r="L33" i="1"/>
  <c r="L124" i="1"/>
  <c r="N127" i="1" l="1"/>
  <c r="M127" i="1"/>
  <c r="L127" i="1"/>
  <c r="J127" i="1"/>
  <c r="I127" i="1"/>
  <c r="F127" i="1"/>
  <c r="H127" i="1" s="1"/>
  <c r="D127" i="1"/>
  <c r="C127" i="1"/>
  <c r="N123" i="1"/>
  <c r="M123" i="1"/>
  <c r="L123" i="1"/>
  <c r="J123" i="1"/>
  <c r="I123" i="1"/>
  <c r="G123" i="1"/>
  <c r="F123" i="1"/>
  <c r="C123" i="1"/>
  <c r="L213" i="1"/>
  <c r="L214" i="1"/>
  <c r="L215" i="1"/>
  <c r="L216" i="1"/>
  <c r="L218" i="1"/>
  <c r="L220" i="1"/>
  <c r="L222" i="1"/>
  <c r="L212" i="1"/>
  <c r="L11" i="1"/>
  <c r="L43" i="1"/>
  <c r="L76" i="1"/>
  <c r="L18" i="1"/>
  <c r="L46" i="1"/>
  <c r="L44" i="1"/>
  <c r="L41" i="1"/>
  <c r="L21" i="1"/>
  <c r="L20" i="1"/>
  <c r="N195" i="1"/>
  <c r="M195" i="1"/>
  <c r="L195" i="1"/>
  <c r="J195" i="1"/>
  <c r="I195" i="1"/>
  <c r="G195" i="1"/>
  <c r="F195" i="1"/>
  <c r="D195" i="1"/>
  <c r="C195" i="1"/>
  <c r="N193" i="1"/>
  <c r="M193" i="1"/>
  <c r="L193" i="1"/>
  <c r="P194" i="1" s="1"/>
  <c r="J193" i="1"/>
  <c r="I193" i="1"/>
  <c r="G193" i="1"/>
  <c r="F193" i="1"/>
  <c r="D193" i="1"/>
  <c r="C193" i="1"/>
  <c r="N198" i="1"/>
  <c r="M198" i="1"/>
  <c r="I198" i="1"/>
  <c r="G198" i="1"/>
  <c r="F198" i="1"/>
  <c r="C198" i="1"/>
  <c r="N208" i="1"/>
  <c r="M208" i="1"/>
  <c r="L208" i="1"/>
  <c r="J208" i="1"/>
  <c r="I208" i="1"/>
  <c r="G208" i="1"/>
  <c r="F208" i="1"/>
  <c r="D208" i="1"/>
  <c r="C208" i="1"/>
  <c r="C211" i="1"/>
  <c r="N179" i="1"/>
  <c r="M179" i="1"/>
  <c r="L179" i="1"/>
  <c r="P180" i="1" s="1"/>
  <c r="J179" i="1"/>
  <c r="I179" i="1"/>
  <c r="G179" i="1"/>
  <c r="F179" i="1"/>
  <c r="D179" i="1"/>
  <c r="C179" i="1"/>
  <c r="C17" i="1"/>
  <c r="H123" i="1" l="1"/>
  <c r="K123" i="1"/>
  <c r="H208" i="1"/>
  <c r="I197" i="1"/>
  <c r="M197" i="1"/>
  <c r="C197" i="1"/>
  <c r="N197" i="1"/>
  <c r="D197" i="1"/>
  <c r="J197" i="1"/>
  <c r="F197" i="1"/>
  <c r="G197" i="1"/>
  <c r="H197" i="1" s="1"/>
  <c r="M211" i="1" l="1"/>
  <c r="L211" i="1"/>
  <c r="P211" i="1" s="1"/>
  <c r="J211" i="1"/>
  <c r="I211" i="1"/>
  <c r="F211" i="1"/>
  <c r="H211" i="1" s="1"/>
  <c r="D211" i="1"/>
  <c r="E211" i="1" s="1"/>
  <c r="I223" i="1"/>
  <c r="J223" i="1"/>
  <c r="K223" i="1"/>
  <c r="K211" i="1" l="1"/>
  <c r="D137" i="1"/>
  <c r="J186" i="1" l="1"/>
  <c r="J156" i="1"/>
  <c r="H6" i="1" l="1"/>
  <c r="G17" i="1"/>
  <c r="H17" i="1" s="1"/>
  <c r="F94" i="2"/>
  <c r="N211" i="1"/>
  <c r="I17" i="1"/>
  <c r="N17" i="1"/>
  <c r="M17" i="1"/>
  <c r="F5" i="1"/>
  <c r="H5" i="1" l="1"/>
  <c r="E94" i="2"/>
  <c r="D94" i="2"/>
  <c r="D93" i="2" s="1"/>
  <c r="D28" i="2" s="1"/>
  <c r="D233" i="1" l="1"/>
  <c r="J17" i="1"/>
  <c r="H33" i="1"/>
  <c r="N191" i="1" l="1"/>
  <c r="M191" i="1"/>
  <c r="J191" i="1"/>
  <c r="I191" i="1"/>
  <c r="G191" i="1"/>
  <c r="F191" i="1"/>
  <c r="D191" i="1"/>
  <c r="C191" i="1"/>
  <c r="N189" i="1"/>
  <c r="M189" i="1"/>
  <c r="J189" i="1"/>
  <c r="I189" i="1"/>
  <c r="G189" i="1"/>
  <c r="F189" i="1"/>
  <c r="D189" i="1"/>
  <c r="C189" i="1"/>
  <c r="F188" i="1" l="1"/>
  <c r="D188" i="1"/>
  <c r="I188" i="1"/>
  <c r="G188" i="1"/>
  <c r="L188" i="1" s="1"/>
  <c r="J188" i="1"/>
  <c r="M188" i="1"/>
  <c r="N188" i="1"/>
  <c r="C188" i="1"/>
  <c r="L189" i="1"/>
  <c r="L191" i="1"/>
  <c r="N148" i="1" l="1"/>
  <c r="M148" i="1"/>
  <c r="J148" i="1"/>
  <c r="G148" i="1"/>
  <c r="F148" i="1"/>
  <c r="D148" i="1"/>
  <c r="C148" i="1"/>
  <c r="J162" i="1" l="1"/>
  <c r="N95" i="1"/>
  <c r="M95" i="1"/>
  <c r="J95" i="1"/>
  <c r="I95" i="1"/>
  <c r="G95" i="1"/>
  <c r="F95" i="1"/>
  <c r="D95" i="1"/>
  <c r="C95" i="1"/>
  <c r="D17" i="1" l="1"/>
  <c r="N6" i="1"/>
  <c r="M6" i="1"/>
  <c r="J6" i="1"/>
  <c r="I6" i="1"/>
  <c r="C6" i="1"/>
  <c r="I7" i="3" l="1"/>
  <c r="N32" i="1" l="1"/>
  <c r="M32" i="1"/>
  <c r="J32" i="1"/>
  <c r="I32" i="1"/>
  <c r="H32" i="1"/>
  <c r="C32" i="1"/>
  <c r="E9" i="2" l="1"/>
  <c r="F9" i="2"/>
  <c r="F93" i="2" l="1"/>
  <c r="F28" i="2" s="1"/>
  <c r="F27" i="2" s="1"/>
  <c r="E93" i="2"/>
  <c r="E28" i="2" s="1"/>
  <c r="E27" i="2" s="1"/>
  <c r="F16" i="2"/>
  <c r="F7" i="2" s="1"/>
  <c r="E16" i="2"/>
  <c r="E7" i="2" s="1"/>
  <c r="E131" i="2" l="1"/>
  <c r="F131" i="2"/>
  <c r="D27" i="2"/>
  <c r="D7" i="2"/>
  <c r="H8" i="3" l="1"/>
  <c r="D237" i="1"/>
  <c r="D131" i="2"/>
  <c r="H9" i="3"/>
  <c r="D228" i="1"/>
  <c r="D243" i="1" l="1"/>
  <c r="F241" i="1"/>
  <c r="N73" i="1"/>
  <c r="M73" i="1"/>
  <c r="J73" i="1"/>
  <c r="I73" i="1"/>
  <c r="G73" i="1"/>
  <c r="F73" i="1"/>
  <c r="C73" i="1"/>
  <c r="H73" i="1" l="1"/>
  <c r="D73" i="1"/>
  <c r="L73" i="1" s="1"/>
  <c r="E32" i="1" l="1"/>
  <c r="B6" i="3"/>
  <c r="L32" i="1" l="1"/>
  <c r="P47" i="1" s="1"/>
  <c r="P210" i="1" s="1"/>
  <c r="H6" i="3"/>
  <c r="N186" i="1"/>
  <c r="M186" i="1"/>
  <c r="N184" i="1"/>
  <c r="M184" i="1"/>
  <c r="I186" i="1"/>
  <c r="J184" i="1"/>
  <c r="I184" i="1"/>
  <c r="F186" i="1"/>
  <c r="G184" i="1"/>
  <c r="F184" i="1"/>
  <c r="D184" i="1"/>
  <c r="C184" i="1"/>
  <c r="N177" i="1"/>
  <c r="M177" i="1"/>
  <c r="N174" i="1"/>
  <c r="M174" i="1"/>
  <c r="J177" i="1"/>
  <c r="I177" i="1"/>
  <c r="G177" i="1"/>
  <c r="F177" i="1"/>
  <c r="D177" i="1"/>
  <c r="C177" i="1"/>
  <c r="N171" i="1"/>
  <c r="M171" i="1"/>
  <c r="N169" i="1"/>
  <c r="M169" i="1"/>
  <c r="J171" i="1"/>
  <c r="I171" i="1"/>
  <c r="J169" i="1"/>
  <c r="I169" i="1"/>
  <c r="G171" i="1"/>
  <c r="F171" i="1"/>
  <c r="G169" i="1"/>
  <c r="F169" i="1"/>
  <c r="D169" i="1"/>
  <c r="D171" i="1"/>
  <c r="C171" i="1"/>
  <c r="C169" i="1"/>
  <c r="N162" i="1"/>
  <c r="M162" i="1"/>
  <c r="N156" i="1"/>
  <c r="M156" i="1"/>
  <c r="I162" i="1"/>
  <c r="I156" i="1"/>
  <c r="G162" i="1"/>
  <c r="F162" i="1"/>
  <c r="G156" i="1"/>
  <c r="F156" i="1"/>
  <c r="D156" i="1"/>
  <c r="D162" i="1"/>
  <c r="C162" i="1"/>
  <c r="C156" i="1"/>
  <c r="G173" i="1" l="1"/>
  <c r="C173" i="1"/>
  <c r="C183" i="1"/>
  <c r="F173" i="1"/>
  <c r="M173" i="1"/>
  <c r="I173" i="1"/>
  <c r="J173" i="1"/>
  <c r="D173" i="1"/>
  <c r="L162" i="1"/>
  <c r="L171" i="1"/>
  <c r="L177" i="1"/>
  <c r="L186" i="1"/>
  <c r="L184" i="1"/>
  <c r="L169" i="1"/>
  <c r="L156" i="1"/>
  <c r="L174" i="1"/>
  <c r="F168" i="1"/>
  <c r="M168" i="1"/>
  <c r="F183" i="1"/>
  <c r="M183" i="1"/>
  <c r="G168" i="1"/>
  <c r="N168" i="1"/>
  <c r="G183" i="1"/>
  <c r="G210" i="1" s="1"/>
  <c r="J168" i="1"/>
  <c r="J183" i="1"/>
  <c r="I155" i="1"/>
  <c r="I183" i="1"/>
  <c r="M155" i="1"/>
  <c r="C168" i="1"/>
  <c r="D155" i="1"/>
  <c r="I168" i="1"/>
  <c r="F155" i="1"/>
  <c r="D168" i="1"/>
  <c r="J155" i="1"/>
  <c r="N173" i="1"/>
  <c r="G155" i="1"/>
  <c r="N183" i="1"/>
  <c r="N155" i="1"/>
  <c r="D183" i="1"/>
  <c r="C155" i="1"/>
  <c r="N153" i="1"/>
  <c r="M153" i="1"/>
  <c r="N151" i="1"/>
  <c r="M151" i="1"/>
  <c r="J153" i="1"/>
  <c r="I153" i="1"/>
  <c r="J151" i="1"/>
  <c r="I151" i="1"/>
  <c r="I148" i="1"/>
  <c r="K148" i="1" s="1"/>
  <c r="G153" i="1"/>
  <c r="F153" i="1"/>
  <c r="G151" i="1"/>
  <c r="F151" i="1"/>
  <c r="D153" i="1"/>
  <c r="D151" i="1"/>
  <c r="C151" i="1"/>
  <c r="C153" i="1"/>
  <c r="N139" i="1"/>
  <c r="M139" i="1"/>
  <c r="N137" i="1"/>
  <c r="M137" i="1"/>
  <c r="J139" i="1"/>
  <c r="I139" i="1"/>
  <c r="J137" i="1"/>
  <c r="I137" i="1"/>
  <c r="G139" i="1"/>
  <c r="F139" i="1"/>
  <c r="G137" i="1"/>
  <c r="F137" i="1"/>
  <c r="D139" i="1"/>
  <c r="C139" i="1"/>
  <c r="C137" i="1"/>
  <c r="N134" i="1"/>
  <c r="M134" i="1"/>
  <c r="J134" i="1"/>
  <c r="I134" i="1"/>
  <c r="G134" i="1"/>
  <c r="F134" i="1"/>
  <c r="D134" i="1"/>
  <c r="C134" i="1"/>
  <c r="N132" i="1"/>
  <c r="M132" i="1"/>
  <c r="J132" i="1"/>
  <c r="I132" i="1"/>
  <c r="G132" i="1"/>
  <c r="F132" i="1"/>
  <c r="D132" i="1"/>
  <c r="C132" i="1"/>
  <c r="N130" i="1"/>
  <c r="M130" i="1"/>
  <c r="J130" i="1"/>
  <c r="I130" i="1"/>
  <c r="G130" i="1"/>
  <c r="F130" i="1"/>
  <c r="D130" i="1"/>
  <c r="C130" i="1"/>
  <c r="N119" i="1"/>
  <c r="M119" i="1"/>
  <c r="J119" i="1"/>
  <c r="I119" i="1"/>
  <c r="D119" i="1"/>
  <c r="C119" i="1"/>
  <c r="N114" i="1"/>
  <c r="M114" i="1"/>
  <c r="J114" i="1"/>
  <c r="I114" i="1"/>
  <c r="G114" i="1"/>
  <c r="G113" i="1" s="1"/>
  <c r="F114" i="1"/>
  <c r="D114" i="1"/>
  <c r="C114" i="1"/>
  <c r="N111" i="1"/>
  <c r="M111" i="1"/>
  <c r="J111" i="1"/>
  <c r="I111" i="1"/>
  <c r="G111" i="1"/>
  <c r="F111" i="1"/>
  <c r="D111" i="1"/>
  <c r="C111" i="1"/>
  <c r="N108" i="1"/>
  <c r="M108" i="1"/>
  <c r="J108" i="1"/>
  <c r="I108" i="1"/>
  <c r="F108" i="1"/>
  <c r="D108" i="1"/>
  <c r="C108" i="1"/>
  <c r="N105" i="1"/>
  <c r="M105" i="1"/>
  <c r="J105" i="1"/>
  <c r="K105" i="1" s="1"/>
  <c r="I105" i="1"/>
  <c r="G105" i="1"/>
  <c r="F105" i="1"/>
  <c r="N103" i="1"/>
  <c r="M103" i="1"/>
  <c r="J103" i="1"/>
  <c r="I103" i="1"/>
  <c r="G103" i="1"/>
  <c r="F103" i="1"/>
  <c r="D105" i="1"/>
  <c r="C105" i="1"/>
  <c r="D103" i="1"/>
  <c r="C103" i="1"/>
  <c r="N90" i="1"/>
  <c r="M90" i="1"/>
  <c r="J90" i="1"/>
  <c r="I90" i="1"/>
  <c r="G90" i="1"/>
  <c r="F90" i="1"/>
  <c r="D90" i="1"/>
  <c r="C90" i="1"/>
  <c r="N87" i="1"/>
  <c r="M87" i="1"/>
  <c r="J87" i="1"/>
  <c r="I87" i="1"/>
  <c r="G87" i="1"/>
  <c r="F87" i="1"/>
  <c r="D87" i="1"/>
  <c r="C87" i="1"/>
  <c r="N85" i="1"/>
  <c r="M85" i="1"/>
  <c r="J85" i="1"/>
  <c r="I85" i="1"/>
  <c r="G85" i="1"/>
  <c r="F85" i="1"/>
  <c r="D85" i="1"/>
  <c r="C85" i="1"/>
  <c r="K103" i="1" l="1"/>
  <c r="K173" i="1"/>
  <c r="D113" i="1"/>
  <c r="C113" i="1"/>
  <c r="L155" i="1"/>
  <c r="L173" i="1"/>
  <c r="J113" i="1"/>
  <c r="N113" i="1"/>
  <c r="I113" i="1"/>
  <c r="M113" i="1"/>
  <c r="F113" i="1"/>
  <c r="M129" i="1"/>
  <c r="J141" i="1"/>
  <c r="M72" i="1"/>
  <c r="M89" i="1"/>
  <c r="L153" i="1"/>
  <c r="L183" i="1"/>
  <c r="L148" i="1"/>
  <c r="L151" i="1"/>
  <c r="L87" i="1"/>
  <c r="L95" i="1"/>
  <c r="L103" i="1"/>
  <c r="N102" i="1"/>
  <c r="L108" i="1"/>
  <c r="L111" i="1"/>
  <c r="L114" i="1"/>
  <c r="L119" i="1"/>
  <c r="L130" i="1"/>
  <c r="L132" i="1"/>
  <c r="L134" i="1"/>
  <c r="L85" i="1"/>
  <c r="L92" i="1"/>
  <c r="L137" i="1"/>
  <c r="L90" i="1"/>
  <c r="L99" i="1"/>
  <c r="L105" i="1"/>
  <c r="L139" i="1"/>
  <c r="L168" i="1"/>
  <c r="I136" i="1"/>
  <c r="J102" i="1"/>
  <c r="M136" i="1"/>
  <c r="D136" i="1"/>
  <c r="F89" i="1"/>
  <c r="J136" i="1"/>
  <c r="C141" i="1"/>
  <c r="F136" i="1"/>
  <c r="N136" i="1"/>
  <c r="M141" i="1"/>
  <c r="G102" i="1"/>
  <c r="N141" i="1"/>
  <c r="C136" i="1"/>
  <c r="F141" i="1"/>
  <c r="I141" i="1"/>
  <c r="D141" i="1"/>
  <c r="I129" i="1"/>
  <c r="J129" i="1"/>
  <c r="I102" i="1"/>
  <c r="G136" i="1"/>
  <c r="G141" i="1"/>
  <c r="C129" i="1"/>
  <c r="N129" i="1"/>
  <c r="F129" i="1"/>
  <c r="G129" i="1"/>
  <c r="D129" i="1"/>
  <c r="M107" i="1"/>
  <c r="N107" i="1"/>
  <c r="I107" i="1"/>
  <c r="J107" i="1"/>
  <c r="F107" i="1"/>
  <c r="G107" i="1"/>
  <c r="D107" i="1"/>
  <c r="C107" i="1"/>
  <c r="M102" i="1"/>
  <c r="F102" i="1"/>
  <c r="D102" i="1"/>
  <c r="F72" i="1"/>
  <c r="I72" i="1"/>
  <c r="I89" i="1"/>
  <c r="C102" i="1"/>
  <c r="J89" i="1"/>
  <c r="N89" i="1"/>
  <c r="G89" i="1"/>
  <c r="D89" i="1"/>
  <c r="C89" i="1"/>
  <c r="N72" i="1"/>
  <c r="J72" i="1"/>
  <c r="G72" i="1"/>
  <c r="H72" i="1" s="1"/>
  <c r="D72" i="1"/>
  <c r="C72" i="1"/>
  <c r="N70" i="1"/>
  <c r="M70" i="1"/>
  <c r="J70" i="1"/>
  <c r="I70" i="1"/>
  <c r="G70" i="1"/>
  <c r="F70" i="1"/>
  <c r="D70" i="1"/>
  <c r="C70" i="1"/>
  <c r="N58" i="1"/>
  <c r="M58" i="1"/>
  <c r="J58" i="1"/>
  <c r="I58" i="1"/>
  <c r="G58" i="1"/>
  <c r="F58" i="1"/>
  <c r="D58" i="1"/>
  <c r="C58" i="1"/>
  <c r="N5" i="1"/>
  <c r="M5" i="1"/>
  <c r="J5" i="1"/>
  <c r="I5" i="1"/>
  <c r="C5" i="1"/>
  <c r="L210" i="1" l="1"/>
  <c r="K89" i="1"/>
  <c r="K102" i="1"/>
  <c r="K113" i="1"/>
  <c r="K141" i="1"/>
  <c r="L113" i="1"/>
  <c r="J31" i="1"/>
  <c r="J210" i="1" s="1"/>
  <c r="L31" i="1"/>
  <c r="L226" i="1" s="1"/>
  <c r="G31" i="1"/>
  <c r="M31" i="1"/>
  <c r="M210" i="1" s="1"/>
  <c r="N31" i="1"/>
  <c r="N210" i="1" s="1"/>
  <c r="N226" i="1" s="1"/>
  <c r="F31" i="1"/>
  <c r="F210" i="1" s="1"/>
  <c r="I31" i="1"/>
  <c r="I210" i="1" s="1"/>
  <c r="H113" i="1"/>
  <c r="L60" i="1"/>
  <c r="L70" i="1"/>
  <c r="L107" i="1"/>
  <c r="L66" i="1"/>
  <c r="L72" i="1"/>
  <c r="L129" i="1"/>
  <c r="L141" i="1"/>
  <c r="L58" i="1"/>
  <c r="L136" i="1"/>
  <c r="L89" i="1"/>
  <c r="L102" i="1"/>
  <c r="L17" i="1"/>
  <c r="C31" i="1"/>
  <c r="C210" i="1" s="1"/>
  <c r="K210" i="1" l="1"/>
  <c r="D210" i="1"/>
  <c r="E210" i="1" s="1"/>
  <c r="E31" i="1"/>
  <c r="M226" i="1"/>
  <c r="C226" i="1"/>
  <c r="F226" i="1"/>
  <c r="J226" i="1"/>
  <c r="D234" i="1" s="1"/>
  <c r="I226" i="1"/>
  <c r="G226" i="1" l="1"/>
  <c r="H210" i="1"/>
  <c r="K226" i="1"/>
  <c r="D226" i="1"/>
  <c r="H238" i="1" s="1"/>
  <c r="F242" i="1" l="1"/>
  <c r="F243" i="1" s="1"/>
  <c r="D229" i="1"/>
  <c r="I6" i="3"/>
  <c r="J6" i="3" s="1"/>
  <c r="J7" i="3" s="1"/>
  <c r="F248" i="1" l="1"/>
  <c r="F251" i="1"/>
</calcChain>
</file>

<file path=xl/sharedStrings.xml><?xml version="1.0" encoding="utf-8"?>
<sst xmlns="http://schemas.openxmlformats.org/spreadsheetml/2006/main" count="626" uniqueCount="594">
  <si>
    <t>01.0.00</t>
  </si>
  <si>
    <t>Муниципальная программа  "Развитие культуры, туризма и молодежной политики в Тутаевском муниципальном районе"</t>
  </si>
  <si>
    <t>01.1.00</t>
  </si>
  <si>
    <t>Ведомственная  целевая  программа "Молодёжь»</t>
  </si>
  <si>
    <t>01.2.00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</si>
  <si>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</si>
  <si>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01.4.00</t>
  </si>
  <si>
    <t>Ведомственная целевая программа "Сохранение и развитие культуры Тутаевского муниципального района"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</si>
  <si>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</si>
  <si>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02.0.00</t>
  </si>
  <si>
    <t>Муниципальная программа "Развитие образования, физической культуры и спорта в Тутаевском муниципальном районе"</t>
  </si>
  <si>
    <t>02.1.00</t>
  </si>
  <si>
    <t xml:space="preserve">Ведомственная целевая программа "Развитие отрасли образования  Тутаевского муниципального района" </t>
  </si>
  <si>
    <t>02.2.00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</si>
  <si>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</si>
  <si>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02.3.00</t>
  </si>
  <si>
    <t>Муниципальная целевая программа "Развитие физической культуры и спорта в Тутаевском муниципальном районе"</t>
  </si>
  <si>
    <t>02.4.00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</si>
  <si>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</si>
  <si>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02.5.00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</si>
  <si>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</si>
  <si>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03.0.00</t>
  </si>
  <si>
    <t>Муниципальная программа "Социальная поддержка населения Тутаевского муниципального района"</t>
  </si>
  <si>
    <t>03.1.00</t>
  </si>
  <si>
    <t>Ведомственная целевая программа "Социальная поддержка населения Тутаевского муниципального района"</t>
  </si>
  <si>
    <t>03.2.00</t>
  </si>
  <si>
    <t>Муниципальная целевая программа "Улучшение условий и охраны труда в Тутаевском муниципальном районе"</t>
  </si>
  <si>
    <t>03.3.00</t>
  </si>
  <si>
    <t>Муниципальная целевая программа "Доступная среда в Тутаевском муниципальном районе"</t>
  </si>
  <si>
    <t>04.0.00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</si>
  <si>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</si>
  <si>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</si>
  <si>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</si>
  <si>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04.2.00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</si>
  <si>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</si>
  <si>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</si>
  <si>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</si>
  <si>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04.4.00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</si>
  <si>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</si>
  <si>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05.0.00</t>
  </si>
  <si>
    <t>Муниципальная программа "Развитие автомобильного и речного транспорта в Тутаевском муниципальном районе"</t>
  </si>
  <si>
    <t>05.1.00</t>
  </si>
  <si>
    <t>Муниципальная целевая программа "Организация перевозок автомобильным транспортом в Тутаевском муниципальном районе"</t>
  </si>
  <si>
    <t>05.2.00</t>
  </si>
  <si>
    <t>Муниципальная целевая программа "Организация перевозок и развитие речного транспорта"</t>
  </si>
  <si>
    <t>06.0.00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</si>
  <si>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</si>
  <si>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</si>
  <si>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</si>
  <si>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</si>
  <si>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</si>
  <si>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07.0.00</t>
  </si>
  <si>
    <t>Муниципальная программа "Повышение эффективности муниципального управления в Тутаевском муниципальном районе"</t>
  </si>
  <si>
    <t>07.1.00</t>
  </si>
  <si>
    <t>07.2.00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</si>
  <si>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</si>
  <si>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08.0.00</t>
  </si>
  <si>
    <t>Муниципальная программа "Экономическое и перспективное развитие территорий Тутаевского муниципального района"</t>
  </si>
  <si>
    <t>08.1.00</t>
  </si>
  <si>
    <t>08.2.00</t>
  </si>
  <si>
    <t>Муниципальная целевая программа "Развитие агропромышленного комплекса в Тутаевском муниципальном районе"</t>
  </si>
  <si>
    <t>08.3.00</t>
  </si>
  <si>
    <t>09.0.00</t>
  </si>
  <si>
    <t xml:space="preserve"> Муниципальная программа "Охрана окружающей среды и природопользование в Тутаевском муниципальном районе"</t>
  </si>
  <si>
    <t>09.1.00</t>
  </si>
  <si>
    <t>09.2.00</t>
  </si>
  <si>
    <t>Муниципальная целевая программа "Ликвидация борщевика в Тутаевском муниципальном районе"</t>
  </si>
  <si>
    <t>10.0.00</t>
  </si>
  <si>
    <t>Муниципальная программа "Содержание  территории Тутаевского муниципального района"</t>
  </si>
  <si>
    <t>10.1.00</t>
  </si>
  <si>
    <t xml:space="preserve"> Муниципальная целевая программа "Благоустройство и озеленение Тутаевского муниципального района"</t>
  </si>
  <si>
    <t>10.2.00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</si>
  <si>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</si>
  <si>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Обеспечение комплекса работ по повышению уровня благоустройства мест погребений</t>
  </si>
  <si>
    <t>10.3.00</t>
  </si>
  <si>
    <t>Муниципальная целевая программа "Развитие сетей уличного освещения на территории  Тутаевского муниципального района"</t>
  </si>
  <si>
    <t>10.4.00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</si>
  <si>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</si>
  <si>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11.0.00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</si>
  <si>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</si>
  <si>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</si>
  <si>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</si>
  <si>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11.2.00</t>
  </si>
  <si>
    <t>Муниципальная целевая программа "Развитие дорожного хозяйства в Тутаевском муниципальном районе"</t>
  </si>
  <si>
    <t>12.0.00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</si>
  <si>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</si>
  <si>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12.1.00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</si>
  <si>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</si>
  <si>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</si>
  <si>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</si>
  <si>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13.0.00</t>
  </si>
  <si>
    <t>Муниципальная программа "Обеспечение  безопасности населения Тутаевского муниципального района"</t>
  </si>
  <si>
    <t>13.1.00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</si>
  <si>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</si>
  <si>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13.2.00</t>
  </si>
  <si>
    <t>14.0.00</t>
  </si>
  <si>
    <t>Муниципальная программа «Сохранение общественного здоровья  населения Тутаевского муниципального района»</t>
  </si>
  <si>
    <t>14.1.00</t>
  </si>
  <si>
    <t>Муниципальная целевая  программа «Укрепление общественного здоровья  населения Тутаевского муниципального района»</t>
  </si>
  <si>
    <t>14.2.00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</si>
  <si>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</si>
  <si>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40.9.00</t>
  </si>
  <si>
    <t>Непрограммные расходы бюджета</t>
  </si>
  <si>
    <t>Код программы</t>
  </si>
  <si>
    <t>Средства района</t>
  </si>
  <si>
    <t>Средства вышестоящих бюджетов</t>
  </si>
  <si>
    <t>Средства бюджета поселения</t>
  </si>
  <si>
    <t>% изменения</t>
  </si>
  <si>
    <t>Увеличение (+), уменьшение (-), руб.</t>
  </si>
  <si>
    <t>Примечания</t>
  </si>
  <si>
    <t xml:space="preserve">План </t>
  </si>
  <si>
    <t xml:space="preserve">Изменения </t>
  </si>
  <si>
    <t xml:space="preserve">Изменения  </t>
  </si>
  <si>
    <t>ИТОГО по программам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</si>
  <si>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</si>
  <si>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</si>
  <si>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</si>
  <si>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</si>
  <si>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</si>
  <si>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</si>
  <si>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</si>
  <si>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Субсидия на комплектование книжных фондов</t>
  </si>
  <si>
    <t>Субвенция на организация присмотра за детьми</t>
  </si>
  <si>
    <t>Субвенция на вознаграждение за классное руководство</t>
  </si>
  <si>
    <t>Субвенция на организацию питания школьников</t>
  </si>
  <si>
    <t>Субвенция на обеспечение деятельности органов опеки</t>
  </si>
  <si>
    <t xml:space="preserve"> МТБ на мероприятия по борьбе с борщевиком Сосновского</t>
  </si>
  <si>
    <t>Субвенция на содержание МКУ социального обслуживания населения</t>
  </si>
  <si>
    <t>Субвенция освобождение проезда детей из многодетных семей</t>
  </si>
  <si>
    <t>Субвенция освобождение проезда лиц, находящихся под наблюдением в связи с туберкулезом</t>
  </si>
  <si>
    <t>Субвенция на полномочия по составлению списков кандидатов в присяжные заседатели</t>
  </si>
  <si>
    <t>Субсидия на оплату стоимости наборов продуктов питания в лагерях</t>
  </si>
  <si>
    <t>Субвенция на обеспечение отдыха и оздоровления детей погибших сотрудников правоохранительных органов</t>
  </si>
  <si>
    <t>Субвенция на компенсацию части расходов на приобретение путевки в организации отдыха детей</t>
  </si>
  <si>
    <t>Субвенция на частичную оплату стоимости путевки в организации отдых детей</t>
  </si>
  <si>
    <t>ВСЕГО</t>
  </si>
  <si>
    <t>Расходы на обеспечение мероприятий по организации населению услуг бань  в общих отделениях</t>
  </si>
  <si>
    <t>Обеспечение мероприятий по безопасности жителей города</t>
  </si>
  <si>
    <t>Поддержки деятельности социально-ориентированных некоммерческих организаций</t>
  </si>
  <si>
    <t>Обеспечение других обязательств в рамках передаваемых полномочий по содержанию имущества казны</t>
  </si>
  <si>
    <t xml:space="preserve">Обеспечение мероприятий по содержанию  военно-мемориального комплекса </t>
  </si>
  <si>
    <t>Обеспечение деятельности народных дружин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</si>
  <si>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</si>
  <si>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грузопассажирских  перевозок на речном транспорте</t>
  </si>
  <si>
    <t>Обеспечение   мероприятий в области  дорожного хозяйства  по повышению безопасности дорожного движения</t>
  </si>
  <si>
    <t>Расходы на финансирование дорожного хозяйства</t>
  </si>
  <si>
    <t>Содержание и организация деятельности дорожного хозяйства</t>
  </si>
  <si>
    <t>Расходы на содержание и ремонт дорог</t>
  </si>
  <si>
    <t>Обеспечение мероприятий по организации населению услуг торговли на селе</t>
  </si>
  <si>
    <t>Обеспечение мероприятий по содержанию,  реконструкции и капитальному ремонту муниципального жилищного фонда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</si>
  <si>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</si>
  <si>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</si>
  <si>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</si>
  <si>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по уличному освещению</t>
  </si>
  <si>
    <t>Доплаты к пенсиям муниципальным служащим поселений</t>
  </si>
  <si>
    <t>Мероприятия в области спорта и физической культуры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</si>
  <si>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</si>
  <si>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 xml:space="preserve">1. Изменения доходов бюджета Тутаевского муниципального района </t>
  </si>
  <si>
    <t>№п/п</t>
  </si>
  <si>
    <t>Наименование источника дохода</t>
  </si>
  <si>
    <t xml:space="preserve">Основание </t>
  </si>
  <si>
    <t>Налоговые и неналоговые доходы, всего</t>
  </si>
  <si>
    <t>в том числе:</t>
  </si>
  <si>
    <t>Налоговые доходы</t>
  </si>
  <si>
    <t>Налог на доходы физических лиц</t>
  </si>
  <si>
    <t>182 101 02 000 01 0000 110</t>
  </si>
  <si>
    <t>Единый сельскохозяйственный налог</t>
  </si>
  <si>
    <t>182 105 03010 01 0000 110</t>
  </si>
  <si>
    <t>Налог, взимаемый в связи с патентной системой налогообложения</t>
  </si>
  <si>
    <t>182 105 04020 02 0000110</t>
  </si>
  <si>
    <t>налог на добычу общераспространенных полезных ископаемых</t>
  </si>
  <si>
    <t>182 107 01020 01 0000 110</t>
  </si>
  <si>
    <t>Неналоговые доходы</t>
  </si>
  <si>
    <t>Дивиденды по акциям</t>
  </si>
  <si>
    <t>952 111 01050 05 0000 120</t>
  </si>
  <si>
    <t>Арендная плата за землю</t>
  </si>
  <si>
    <t>Доходы от сдачу в аренду имущества</t>
  </si>
  <si>
    <t>Плата за негативное воздействие на окружающую среду</t>
  </si>
  <si>
    <t>048 112 01000 01 0000 120</t>
  </si>
  <si>
    <t>Доходы от продажи земельных участков</t>
  </si>
  <si>
    <t>Доходы от реализации имущества</t>
  </si>
  <si>
    <t xml:space="preserve">Безвозмездные поступления </t>
  </si>
  <si>
    <t>Безвозмездные поступления из других бюджетов бюджетной системы</t>
  </si>
  <si>
    <t>Дотации бюджетов субъектов Российской Федерации и муниципальных образований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</si>
  <si>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</si>
  <si>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955 202 19999 05 1004 150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</si>
  <si>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</si>
  <si>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</si>
  <si>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</si>
  <si>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950 202 19999 05 1008 150</t>
  </si>
  <si>
    <t>Субсидии бюджетам субъектов Российской Федерации и муниципальных образований (межбюджетные субсидии)</t>
  </si>
  <si>
    <t>950 202 20041 05 0000 150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</si>
  <si>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</si>
  <si>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Уведомления из областного бюджета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</si>
  <si>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</si>
  <si>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по патриотическому воспитанию граждан</t>
  </si>
  <si>
    <t>Субсидия на осуществление деятельности в сфере молодежной политики  социальными учреждениями молодежи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</si>
  <si>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</si>
  <si>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</si>
  <si>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950 2 02 29999 05 2032 150</t>
  </si>
  <si>
    <t>Субсидия на реализацию муниципальных программ поддержки социально ориентированных некоммерческих организаций</t>
  </si>
  <si>
    <t>950 202 29999 05 2034 150</t>
  </si>
  <si>
    <t>Субсидия на повышение оплаты труда отдельных категорий  работников муниципальных учреждений в сфере образования</t>
  </si>
  <si>
    <t>Субсидия на повышение оплаты труда работников муниципальных учреждений в сфере культуры</t>
  </si>
  <si>
    <t>Субсидия на обеспечение трудоустройства несовершеннолетних граждан на временные рабочие места</t>
  </si>
  <si>
    <t>Субвенции бюджетам субъектов Российской Федерации и муниципальных образований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</si>
  <si>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</si>
  <si>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954 202 30024 05 3003 150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</si>
  <si>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</si>
  <si>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</si>
  <si>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</si>
  <si>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</si>
  <si>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</si>
  <si>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</si>
  <si>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</si>
  <si>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954 202 30024 05 3020 150</t>
  </si>
  <si>
    <t>Субвенция на оказание социальной помощи отдельным категориям  граждан</t>
  </si>
  <si>
    <t>Субвенция на организацию мероприятий при осуществлении деятельности по обращению с животными без владельцев</t>
  </si>
  <si>
    <t>950 202 30024 05 3027 150</t>
  </si>
  <si>
    <t>Субвенция на обеспечение деятельности органов местного самоуправления в сфере социальной защиты населения</t>
  </si>
  <si>
    <t>954 202 30024 05 3029 150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</si>
  <si>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</si>
  <si>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</si>
  <si>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частичную оплату стоимости путевки в организации отдыха детей и их оздоровления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</si>
  <si>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</si>
  <si>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</si>
  <si>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</si>
  <si>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</si>
  <si>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>Субвенции бюджетам муниципальных районов на государственную регистрацию актов гражданского состояния</t>
  </si>
  <si>
    <t>950 202 35930 05 0000 150</t>
  </si>
  <si>
    <t>Иные межбюджетные трансферты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</si>
  <si>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</si>
  <si>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Межбюджетные трансферты на   содержание органов местного самоуправления</t>
  </si>
  <si>
    <t>955 202 40014 05 4601 150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</si>
  <si>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</si>
  <si>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</si>
  <si>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950 202 40014 05 4603 150</t>
  </si>
  <si>
    <t>Межбюджетные трансферты на обеспечение мероприятий по дорожной деятельности</t>
  </si>
  <si>
    <t>950 202 40014 05 4604 150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</si>
  <si>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</si>
  <si>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950 202 40014 05 4605 150</t>
  </si>
  <si>
    <t>Межбюджетные трансферты на создание условий для предоставления транспортных услуг населению</t>
  </si>
  <si>
    <t>950 202 40014 05 4606 150</t>
  </si>
  <si>
    <t>Межбюджетные трансферты на обеспечение мероприятий по участию в профилактике терроризма и экстремизма</t>
  </si>
  <si>
    <t>950 202 40014 05 4607 150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</si>
  <si>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</si>
  <si>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950 202 40014 05 4609 150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</si>
  <si>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</si>
  <si>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</si>
  <si>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</si>
  <si>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950 202 40014 05 4613 150</t>
  </si>
  <si>
    <t>Межбюджетные трансферты на обеспечение мероприятий по  формированию современной городской среды</t>
  </si>
  <si>
    <t>950 202 40014 05 4614 150</t>
  </si>
  <si>
    <t>Межбюджетные трансферты на организацию ритуальных услуг и содержание мест захоронения</t>
  </si>
  <si>
    <t>950 202 40014 05 4615 150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</si>
  <si>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</si>
  <si>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950 202 40014 05 4617 150</t>
  </si>
  <si>
    <t>Межбюджетные трансферты на создание условий для деятельности народных дружин</t>
  </si>
  <si>
    <t>950 202 40014 05 4619 150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</si>
  <si>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</si>
  <si>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</si>
  <si>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954 202 40014 05 4622 150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</si>
  <si>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</si>
  <si>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950 202 40014 05 4625 150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</si>
  <si>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</si>
  <si>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</si>
  <si>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</si>
  <si>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</si>
  <si>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</si>
  <si>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954 202 49999 05 4007 150</t>
  </si>
  <si>
    <t>Межбюджетные трансферты на проведение комплекса кадастровых работ на объектах газораспределения</t>
  </si>
  <si>
    <t>952 202 49999 05 4009 150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</si>
  <si>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</si>
  <si>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Всего</t>
  </si>
  <si>
    <t>950 202 19999 05 1009 150</t>
  </si>
  <si>
    <t>Дотации на реализацию мероприятий по обеспечению обязательных требований охраны объектов образования I-III категорий опасности</t>
  </si>
  <si>
    <t>Субсидия на финансирование дорожного хозяйства</t>
  </si>
  <si>
    <t>950 202 25098 05 0000 150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</si>
  <si>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</si>
  <si>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950 202 25750 05 0000 150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</si>
  <si>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</si>
  <si>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950 202 29999 05 2015 150</t>
  </si>
  <si>
    <t>950 202 29999 05 2009 150</t>
  </si>
  <si>
    <t>950 202 29999 05 2006 150</t>
  </si>
  <si>
    <t>950 202 29999 05 2038 150</t>
  </si>
  <si>
    <t>950 202 29999 05 2054 150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</si>
  <si>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</si>
  <si>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950 202 27139 05 0000 150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</si>
  <si>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</si>
  <si>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Субвенция на освобождение от оплаты стоимости  проезда детей из многодетных семей, а также детей из семей, имеющих трех и более детей, в том числе детей в возрасте до 23 лет</t>
  </si>
  <si>
    <t>950 202 30024 05 3006 150</t>
  </si>
  <si>
    <t>950 202 30024 05 3009 150</t>
  </si>
  <si>
    <t>950 202 30024 05 3010 150</t>
  </si>
  <si>
    <t xml:space="preserve">Субвенция на организацию образовательного процесса </t>
  </si>
  <si>
    <t>950 202 30024 05 3014 150</t>
  </si>
  <si>
    <t>950 202 30024 05 3017 150</t>
  </si>
  <si>
    <t>950 202 30024 05 3015 150</t>
  </si>
  <si>
    <t>950 202 35120 05 0000 150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</si>
  <si>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</si>
  <si>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среднего общего образования</t>
  </si>
  <si>
    <t>950 202 35303 05 0000 150</t>
  </si>
  <si>
    <t>950 202 35304 05 0000 150</t>
  </si>
  <si>
    <t>Межбюджетные трансферты на оказание поддержки деятельности социально ориентированным некоммерческим организациям и деятельности ТОС</t>
  </si>
  <si>
    <t>950 202 45453 05 0000 150</t>
  </si>
  <si>
    <t>950 202 45454 05 0000 150</t>
  </si>
  <si>
    <t>Межбюджетные трансферты, передаваемые бюджетам муниципальных районов на создание виртуальных концертных залов</t>
  </si>
  <si>
    <t>Межбюджетные трансферты, передаваемые бюджетам муниципальных районов на создание модельных муниципальных библиотек</t>
  </si>
  <si>
    <t>950 202 49999 05 4008 150</t>
  </si>
  <si>
    <t>950 202 49999 05 4018 150</t>
  </si>
  <si>
    <t>Межбюджетные трансферты на поддержку инициатив органов ученического самоуправления общеобразовательных организаций</t>
  </si>
  <si>
    <t>Межбюджетные трансферты на реализацию мероприятий по борьбе с борщевиком Сосновского</t>
  </si>
  <si>
    <t>954 202 30024 05 3021 150</t>
  </si>
  <si>
    <t>Уведомления поселений ТМР</t>
  </si>
  <si>
    <t>План доведен Главным администратором доходов - УФНС РФ по ЯО</t>
  </si>
  <si>
    <t>Исполнение судебных актов, актов других органов и должностных лиц, иных документов</t>
  </si>
  <si>
    <t>Итого изменения  по Программе</t>
  </si>
  <si>
    <t>Субвенция на компенсацию расходов за присмотр и уход за детьми</t>
  </si>
  <si>
    <t xml:space="preserve">Субвенция на господдержку опеки и попечительства </t>
  </si>
  <si>
    <t>Субвенция на мероприятия обращению с животными без владельцев</t>
  </si>
  <si>
    <t>Содержание подведомственных учреждений</t>
  </si>
  <si>
    <t>ФП "Успех каждого ребенка" обновление базы для занятий физической культурой</t>
  </si>
  <si>
    <t>Субвенция на оказание соц. помощи отд.категороиям граждан</t>
  </si>
  <si>
    <t>Субвенция на оказание соц. помощи на основании соц. контракта</t>
  </si>
  <si>
    <t>Обеспечение деятельности ОМС в сфере соц. защиты населения</t>
  </si>
  <si>
    <t>Обеспечение мероприятий по благоустройству территории , предусмотренных по НПА ЯО (Чебаковское с/п)</t>
  </si>
  <si>
    <t>Письмо Главного администратора доходов</t>
  </si>
  <si>
    <t>Обеспечение деятельности д/садов</t>
  </si>
  <si>
    <t>Дефицит  бюджета                         1 - я редакция</t>
  </si>
  <si>
    <t>Дефицит  бюджета                                   2-я редакция</t>
  </si>
  <si>
    <t xml:space="preserve">3. Изменения  источников дефицита  бюджета  Тутаевского муниципального района на 2024 год </t>
  </si>
  <si>
    <t>Содержание ребенка в семье опекуна</t>
  </si>
  <si>
    <t>Обеспечение работы спортивных площадок общеобразовательных организаций</t>
  </si>
  <si>
    <t>Обеспечение деятельности советников директора по воспитанию</t>
  </si>
  <si>
    <t>Мероприятия по строительству и реконструкции объектов теплоснабжения</t>
  </si>
  <si>
    <t>Расходы на  капитальный ремонт и ремонт а/д</t>
  </si>
  <si>
    <t>Разработка ПСД на строительство канализационных сетей</t>
  </si>
  <si>
    <t>Мероприятия по благоустройству воинских захоронений</t>
  </si>
  <si>
    <t>Оказание услуг по захоронению невостребованных трупов</t>
  </si>
  <si>
    <t>Мероприятия по работе с детьми и молодежью</t>
  </si>
  <si>
    <t>Поддержка ТОС</t>
  </si>
  <si>
    <t>Выявление и ликвидация вреда окружающей среде</t>
  </si>
  <si>
    <t>15.0.00</t>
  </si>
  <si>
    <t>15.1.00</t>
  </si>
  <si>
    <t>15.2.00</t>
  </si>
  <si>
    <t>Муниципальная  программ "Обеспечение доступным и комфортным жильем населения  Тутаевского муниципального района"</t>
  </si>
  <si>
    <t>Муниципальная  целевая программа "Переселение граждан из аварийного жилищного фонда Тутаевского муниципального района»</t>
  </si>
  <si>
    <t>Муниципальная  целевая программа "Переселение граждан из жилищного фонда, признанного непригодным для проживания, и (или) жилищного фонда с высоким уровнем износа на территории  Тутаевского муниципального района "</t>
  </si>
  <si>
    <t>Расходы на демонтаж аварийных жилых домов</t>
  </si>
  <si>
    <t>Расходы на приобретение квартир</t>
  </si>
  <si>
    <t>Содержание учреждений спорта</t>
  </si>
  <si>
    <t>Обеспечение деятельности школ</t>
  </si>
  <si>
    <t>Дотация по НПА ОГВ ЯО</t>
  </si>
  <si>
    <t>950 202 29999 05 2065 150</t>
  </si>
  <si>
    <t>Субсидия на обеспечение работы спортивных площадок общеобразовательных организаций</t>
  </si>
  <si>
    <t>950 202 35179 05 0000 150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</si>
  <si>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</si>
  <si>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950 202 20077 05 0000 150</t>
  </si>
  <si>
    <t>Субсидия на реализацию мероприятий по строительству и реконструкции объектов теплоснабжения</t>
  </si>
  <si>
    <t>Субвенция на обеспечение государственных полномочий по организации деятельности территориальных комиссий по делам несовершеннолетних и защите их прав</t>
  </si>
  <si>
    <t xml:space="preserve">950 202 29999 05 2063 150 </t>
  </si>
  <si>
    <t>Субсидия на повышение оплаты труда отдельных категорий работников муниципальных учреждений в сфере физической культуры и спорта</t>
  </si>
  <si>
    <t>950 202 30024 05 3007 150</t>
  </si>
  <si>
    <t>950 202 49999 05 4028 150</t>
  </si>
  <si>
    <t>Межбюджетные трансферты на приведение в нормативное состояние грунтовых дорог местного значения</t>
  </si>
  <si>
    <t>950 202 49999 05 4029 150</t>
  </si>
  <si>
    <t>Межбюджетные трансферты на приведение в нормативное состояние территорий муниципальных образовательных организаций</t>
  </si>
  <si>
    <t>Субсидии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</si>
  <si>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950 202 40014 05 4628 150</t>
  </si>
  <si>
    <t>950 202 40014 05 4629 150</t>
  </si>
  <si>
    <t>950 202 40014 05 4630 150</t>
  </si>
  <si>
    <t>Межбюджетные трансферты на обеспечение мероприятий по обеспечению безопасности людей на водных объектах, охране их жизни и здоровья</t>
  </si>
  <si>
    <t>Межбюджетные трансферты на обеспечение мероприятий по работе с детьми и молодежью</t>
  </si>
  <si>
    <t>Межбюджетные трансферты на выявление и ликвидацию вреда окружающей среде</t>
  </si>
  <si>
    <t>950 202 40014 05 4616 150</t>
  </si>
  <si>
    <t>Межбюджетные трансферты на организацию и осуществление мероприятий по территориальной обороне и гражданской обороне, защите населения и территории поселения от чрезвычайных ситуаций природного и техногенного характера</t>
  </si>
  <si>
    <t>950 202 40014 05 4602 150</t>
  </si>
  <si>
    <t>Обеспечение мероприятий по выполнению иных обязательств органами местного самоуправления</t>
  </si>
  <si>
    <t>Выплата стипендии Главы</t>
  </si>
  <si>
    <t>Обеспечение мероприятий по капремонту тепловой сети</t>
  </si>
  <si>
    <t>Содержание учреждений (Галактика)</t>
  </si>
  <si>
    <t>разница</t>
  </si>
  <si>
    <t>доходы обл.</t>
  </si>
  <si>
    <t>доходы поселения</t>
  </si>
  <si>
    <t>Инициативное бюджетирование (депутатские средства)</t>
  </si>
  <si>
    <t xml:space="preserve">Изготовление ПСД и госэкспертиза на ремонт участков теплосетей, контроль </t>
  </si>
  <si>
    <t>Субсидия на повышение оплаты труда отдельных категорий работников</t>
  </si>
  <si>
    <t>доходы</t>
  </si>
  <si>
    <t>расходы</t>
  </si>
  <si>
    <t>Межбюджетные трансферты</t>
  </si>
  <si>
    <t>950 114 02053 05 0000 410</t>
  </si>
  <si>
    <t>954 202 30024 05 3004 150</t>
  </si>
  <si>
    <t>950 202 30024 05 3033 150</t>
  </si>
  <si>
    <t>950 202 40014 05 4610 150</t>
  </si>
  <si>
    <t>950 202 40014 05 4612 150</t>
  </si>
  <si>
    <t>950 202 40014 05 4618 150</t>
  </si>
  <si>
    <t>950 202 40014 05 4621 150</t>
  </si>
  <si>
    <t>950 202 49999 05 4011 150</t>
  </si>
  <si>
    <t>Муниципальная целевая программа "Развитие потребительского рынка Тутаевского муниципального района"</t>
  </si>
  <si>
    <t>Муниципальная целевая программа "Развитие предпринимательства в Тутаевском муниципальном районе"</t>
  </si>
  <si>
    <t>Муниципальная целевая программа "Санитарно- эпидемиологическая безопасность в Тутаевском  муниципальном районе"</t>
  </si>
  <si>
    <t>2026год</t>
  </si>
  <si>
    <t>2027год</t>
  </si>
  <si>
    <t>Муниципальная целевая программа "Управление муниципальным имуществом"</t>
  </si>
  <si>
    <t xml:space="preserve">взносы на кап. ремонт </t>
  </si>
  <si>
    <t>Оценка имущества</t>
  </si>
  <si>
    <t>Муниципальная целевая программа "Управление земельными ресурсами Тутаевского муниципального района"</t>
  </si>
  <si>
    <t>Эффективное управление и распоряжение земельными участками на территории Тутаевского муниципального района</t>
  </si>
  <si>
    <t>16.0.00</t>
  </si>
  <si>
    <t>16.2.00</t>
  </si>
  <si>
    <t xml:space="preserve">МЦП 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
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</si>
  <si>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</si>
  <si>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в Администрации Тутаевского муниципального района, ее структурных подразделениях и в муниципальных учреждениях ТМР</t>
  </si>
  <si>
    <t>Обеспечение сбалансированности и устойчивости бюджетной системы Тутаевского муниципального района</t>
  </si>
  <si>
    <t>Обеспечение эффективного управления муниципальным имуществом Тутаевского муниципального района, в том числе земельными ресурсами района</t>
  </si>
  <si>
    <t>Обеспечение эффективной деятельности структурных подразделений Администрации Тутаевского муниципального района</t>
  </si>
  <si>
    <t>Ведомственная  целевая  программа "Содержание  Администрации Тутаевского муниципального района"</t>
  </si>
  <si>
    <t>Ведомственная целевая  программа "Содержание финансовых органов Тутаевского муниципального района"</t>
  </si>
  <si>
    <t>Содержание Администрации</t>
  </si>
  <si>
    <t>13.3.00</t>
  </si>
  <si>
    <t>Мероприятия по финансовому оздоровлению МУПов</t>
  </si>
  <si>
    <t>07.3.00</t>
  </si>
  <si>
    <t>07.4.00</t>
  </si>
  <si>
    <t>Расходы на обеспечение безопасности жителей района</t>
  </si>
  <si>
    <t>Реализация мероприятий по профилактике правонарушений</t>
  </si>
  <si>
    <t>Воспрепятствование проявлениям терроризма и экстремизма</t>
  </si>
  <si>
    <t>Развитие системы профилактики немедицинского потребления наркотиков</t>
  </si>
  <si>
    <t>Муниципальная целевая программа "Обеспечение жильем отдельных категорий граждан в Тутаевском муниципальном районе"</t>
  </si>
  <si>
    <t xml:space="preserve">Приобретение жилых помещений для граждан, состоящих на учете нуждающихся в жилых помещениях, предоставляемых по договорам социального найма </t>
  </si>
  <si>
    <t>15.4.00</t>
  </si>
  <si>
    <t>15.3.00</t>
  </si>
  <si>
    <t>Субсидия на реализацию региональных практик поддержки волонтерства по итогам Всероссийского конкурса "Регион добрых дел"</t>
  </si>
  <si>
    <t>Реализация   проекта "Формирование комфортной городской среды" гп Тутаев</t>
  </si>
  <si>
    <t>Реализация   проекта "Формирование комфортной городской среды" сп Константиновское</t>
  </si>
  <si>
    <t>Дотация на проведение выборов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</si>
  <si>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</si>
  <si>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955 202 15001 05 0000 150</t>
  </si>
  <si>
    <t>Прочие дотации бюджетам муниципальных районов (Дотация на решение вопросов местного значения)</t>
  </si>
  <si>
    <t>955 202 19999 05 1010 150</t>
  </si>
  <si>
    <t>950 202 25519 05 0000 150</t>
  </si>
  <si>
    <t>Субвенция на ежемесячное денежное вознаграждение советникам директора по воспитанию и взаимодействию с детскими общественными объединениями муниципальных общеобразовательных организаций</t>
  </si>
  <si>
    <t>950 202 39999 05 0001 150</t>
  </si>
  <si>
    <t>950 202 30024 05 3030 150</t>
  </si>
  <si>
    <t>950 202 29999 05 2037 150</t>
  </si>
  <si>
    <t>950 202 25467 05 0000 150</t>
  </si>
  <si>
    <t>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</t>
  </si>
  <si>
    <t>950 202 25021 05 0000 150</t>
  </si>
  <si>
    <t>954 202 30024 05 3041 150</t>
  </si>
  <si>
    <t>950 202 30024 05 3031 150</t>
  </si>
  <si>
    <t>950 202 30024 05 3028 150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</si>
  <si>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</si>
  <si>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950 202 25228 05 0000 150</t>
  </si>
  <si>
    <t>950 202 29999 05 2040 150</t>
  </si>
  <si>
    <t>Прочие дотации бюджетам муниципальных районов (Дотации на материально-техническое обеспечение проведения выборов в представительный орган вновь образованного муниципального образования)</t>
  </si>
  <si>
    <t>950 202 19999 05 1011 150</t>
  </si>
  <si>
    <t>Прочие межбюджетные трансферты, передаваемые бюджетам муниципальных районов (Межбюджетные трансферты на предоставление ежеквартального денежного вознаграждения народным дружинникам за участие в мероприятиях по охране общественного порядка)</t>
  </si>
  <si>
    <t>950 202 49999 05 4030 150</t>
  </si>
  <si>
    <t>Субсидии бюджетам муниципальных районов на реализацию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«Регион добрых дел»</t>
  </si>
  <si>
    <t>950 202 25412 05 0000 150</t>
  </si>
  <si>
    <t>Инфраструктурный проект ремонт а/д левый берег Тутаев (ИБК)</t>
  </si>
  <si>
    <t>Муниципальная целевая программа " Комплексное развитие сельских территорий в Тутаевском муниципальном районе"</t>
  </si>
  <si>
    <t>Содержание и организация деятельности аварийно-спасательной службы</t>
  </si>
  <si>
    <t>Мероприятия по кап.ремемонту лифтов</t>
  </si>
  <si>
    <t>Муниципальная целевая программа "Содержание муниципального имущества Тутаевского муниципального района"</t>
  </si>
  <si>
    <t>Расходы на осуществление внешнего контроля</t>
  </si>
  <si>
    <t>Содержание санитарно- бытовых помещений</t>
  </si>
  <si>
    <t>16.3.00</t>
  </si>
  <si>
    <t>Работы, услуги по содержанию имущества казны</t>
  </si>
  <si>
    <t>Коммунальные услуги за муниципальное имущество</t>
  </si>
  <si>
    <t>Повышение уровня благоустройства территорий "Наши дворы"</t>
  </si>
  <si>
    <t>Транспортные расходы на участие в соревнованиях</t>
  </si>
  <si>
    <t>Строительство ледовой арены</t>
  </si>
  <si>
    <t>Обеспечение мероприятий по разработке схем коммунальной инфраструктуры округа</t>
  </si>
  <si>
    <t>Резервный фонд АТМР</t>
  </si>
  <si>
    <t>Содержание Подведомственных учреждений ( ИАЦ)</t>
  </si>
  <si>
    <t>Содержание Подведомственных учреждений (ЕДДС)</t>
  </si>
  <si>
    <t>Субсидия на трудоустройство несовершеннолетних</t>
  </si>
  <si>
    <t>Культурно-массовые мероприятия (обустройство катков)</t>
  </si>
  <si>
    <t>Обеспечение мероприятий по реализации муниципального имущества ( НДС)</t>
  </si>
  <si>
    <t>Доп. Образование (прочие расходы в образовании)</t>
  </si>
  <si>
    <t>950 111 05013 13 0000 120, 950 111 05025 05 0000 120</t>
  </si>
  <si>
    <t xml:space="preserve">950 111 05075 05 0000 120 </t>
  </si>
  <si>
    <t>950 114 06013 13 0000 430, 950 114 06013 05 0000 430, 950 114 06025 05 0000 430</t>
  </si>
  <si>
    <t>Патриотические мероприятия</t>
  </si>
  <si>
    <t>Содержание и ремонты учреждений</t>
  </si>
  <si>
    <t>доходы всего</t>
  </si>
  <si>
    <t>950 202 45519 05 0000 150</t>
  </si>
  <si>
    <t>Межбюджетные трансферты, передаваемые бюджетам муниципальных районов на поддержку отрасли культуры( на выплату денежных поощрений лучшим сельским учреждениям культуры и лучшим работникам сельских учреждений культуры)</t>
  </si>
  <si>
    <t>950 202 29999 05 2048 150</t>
  </si>
  <si>
    <t>Субсидия на проведение капитального ремонта муниципальных библиотек</t>
  </si>
  <si>
    <t>950 202 25576 05 0000 150</t>
  </si>
  <si>
    <t>Субсидии бюджетам муниципальных районов на обеспечение комплексного развития сельских территорий</t>
  </si>
  <si>
    <t>954 202 39999 05 3005 150</t>
  </si>
  <si>
    <t>Субвенция на обеспечение пунктов проката предметами первой необходимости для новорожденных для студенческих, молодых семей, одиноких матерей, иных категорий нуждающихся семей</t>
  </si>
  <si>
    <t>Межбюджетные трансферты на снос фактически погибших объектов</t>
  </si>
  <si>
    <t>Левобережное сп</t>
  </si>
  <si>
    <t>Артемьевское сп</t>
  </si>
  <si>
    <t>Константиновское сп</t>
  </si>
  <si>
    <t>гп Тутаев</t>
  </si>
  <si>
    <t>ИТОГО</t>
  </si>
  <si>
    <t>30.06.2025</t>
  </si>
  <si>
    <t>откл</t>
  </si>
  <si>
    <t>Демонтаж недостроенного причала гТутаев левобережная часть</t>
  </si>
  <si>
    <t>Субсидия на развитие и укрепление МТБ домов культуры</t>
  </si>
  <si>
    <t>Субсидия на кап.ремонт библиотек</t>
  </si>
  <si>
    <t>Субвенция организация  образовательного процесса</t>
  </si>
  <si>
    <t>Дотация НПА ОГВ ЯО (средства депутатов)</t>
  </si>
  <si>
    <t>дотация НПА ЯО</t>
  </si>
  <si>
    <t>МБТ на проведение ремонта жилых помещений отдельным категориям граждан</t>
  </si>
  <si>
    <t xml:space="preserve">Дотация НПА ОГВ ЯО </t>
  </si>
  <si>
    <t>инициативное</t>
  </si>
  <si>
    <t>уч.инициативное</t>
  </si>
  <si>
    <t>Межбюджетные трансферты на поощрение</t>
  </si>
  <si>
    <t xml:space="preserve">  2. Изменения  расходов  бюджета Тутаевского муниципального района на 2025 год и плановый период 2026-2027гг     (редакция 3 июль 2025)</t>
  </si>
  <si>
    <t>Госпошлина</t>
  </si>
  <si>
    <t>182 108 03000 01 0000 110</t>
  </si>
  <si>
    <t>Доходы от компенсации затрат бюджета муниципального района</t>
  </si>
  <si>
    <t>Прочие неналоговые доходы (остатки средств ликвид-го МУПа)</t>
  </si>
  <si>
    <t xml:space="preserve">950 117 05050 05 0000 140 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</si>
  <si>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12.12.2024 №25-г "О бюджете Тутаевского муниципального района на 2025 год и на плановый период 2026 - 2027 годов"</t>
  </si>
  <si>
    <t>950 114 02053 05 0000 440</t>
  </si>
  <si>
    <t>Доходы от оказания платных услуг</t>
  </si>
  <si>
    <t>953 113 02995 05 0000 130</t>
  </si>
  <si>
    <t>950113 01995 05 0000 130</t>
  </si>
  <si>
    <t>ФОТ 800,0т.р.</t>
  </si>
  <si>
    <t>Обеспечение деятельности УО школьный автобус</t>
  </si>
  <si>
    <t>Левобережное сп 75,0т.р. (поощрение СВО)</t>
  </si>
  <si>
    <t>Расходы на содержание Муниципального Совета округа</t>
  </si>
  <si>
    <t>платные услуги детские сады</t>
  </si>
  <si>
    <t>Школьное инициативное бюджетирование (ученическое самоуправление)</t>
  </si>
  <si>
    <t xml:space="preserve">доходы собственные </t>
  </si>
  <si>
    <t xml:space="preserve">разница с учетом остатков на начало года </t>
  </si>
  <si>
    <t>разница по 3 редакции</t>
  </si>
  <si>
    <t>утвержденный дефицит</t>
  </si>
  <si>
    <t>остаток на начало года не внесенный в бюджет</t>
  </si>
  <si>
    <t>допустимый дефицит предельный (остаток на начало года)</t>
  </si>
  <si>
    <t>ПО сервера 550,0т.р. Для ЦБ</t>
  </si>
  <si>
    <t>Дефицит 3-я редакция</t>
  </si>
  <si>
    <t>По факту поступлений</t>
  </si>
  <si>
    <t>Ранее по данному КБК предполагались поступления от продажи трубы 720, данные доходы перенесены на КБК КБК 950 1 14 02053 05 0000 440</t>
  </si>
  <si>
    <t>Письмо Главного администратора доходов-выкуп одного земельного участка в г.Тутаеве(стоянка автотранспортных средств), продажа 6 участков Молявино, перераспределение земельных участков,продажа двух земельных участков ООО "ТД "Айсберри"</t>
  </si>
  <si>
    <t>Проведение культурных мероприятий</t>
  </si>
  <si>
    <t>Содержание финансовых органов</t>
  </si>
  <si>
    <t>Созвездие комп.выплата по решению суда 803,0т.р.; установка видеонаблюдения  332,398т.р.; резерв 1 000,0т.р.</t>
  </si>
  <si>
    <t xml:space="preserve">ИБ - ремонт  входной группы  Богдановского клуба </t>
  </si>
  <si>
    <t>(на нужды подведомственного учреждения МУ КЦ СОН Милосердие)</t>
  </si>
  <si>
    <t>1000 т.р.Ремонт обеденного зала СОШ №4 "Центр образования" ; 500т.р.Обустройство помещения для работы школьного актива СОШ "Левобережная средняя школа города Тутаева"</t>
  </si>
  <si>
    <t>СОШ4 мебель в столовую 122,627т.р.(инициативное), СавСОШ котел 30,т.р.,Лицей 1 мясорубка 73,77т.р.,  Никольская и Великосельская СОШ замена котлов 1 340,0т.р.,Великос СОШ ремонт кровли и стены 151,469т.р., СОШ 3 освещение стадиона 149,064т.р.освещение двора 257,200т.р., и замена покрытия футболя 1350,0т.р., сод.учерждний 2 300,0т.р.,экономия при установке СО и ЭУ- 332,398т.р.</t>
  </si>
  <si>
    <t>ДС "Ягодка" доп. потребность ком (вода бассейн)  149,0т.р и  кипятильник 20,7т.р., ДС 5,14,23 циркулярные насосы 341,25т.р.</t>
  </si>
  <si>
    <t xml:space="preserve">Доп. Образование </t>
  </si>
  <si>
    <t>ИБ - Благоустройство Д/С №1 Ленинец,, № 2  Октябренок и замена системы видеонаблюдения д/с № 5 Радуга</t>
  </si>
  <si>
    <t>МУДО Созвездие (на приобретение путевок для лагеря в ДОЛ Чайка и приобретение товаров для нужд ДДД учреждения)- 200т.р.;СОШ №  транспортные услуги -50т.р.; ДДУ№23,12,8,14 мат. техническое оснащение 120т.р.; Першинская школа МТО 30 т..; ДЮСШ № 4 установка оборудования системам оповещения и управления эвакуацией 2-х зданий -500т.р.</t>
  </si>
  <si>
    <t>на транспортные расходы, проживание спортсменов, приобретение кондиционера</t>
  </si>
  <si>
    <t>Субвенция на обеспечение пунктов проката для новорожденных</t>
  </si>
  <si>
    <t>доп. пенсии 500,0т.р.</t>
  </si>
  <si>
    <t>Обеспечение мероприятий по обеспечению пандусами в МКД</t>
  </si>
  <si>
    <t xml:space="preserve"> Содержание ДФ : ФОТ 400,0  т.., ремонт 1 000,0т.р; Содержание ЦБ -ФОТ 1 500,0т.р., </t>
  </si>
  <si>
    <t>Формирование СГС доп. работы</t>
  </si>
  <si>
    <t>Муниципальная целевая программа "Обеспечение безопасности гражданина водных объектах, охрана их жизни и здоровья  на территории  Тутаевского муниципального района"</t>
  </si>
  <si>
    <t>Мероприятия по начислению и сбору платы за найм</t>
  </si>
  <si>
    <t xml:space="preserve">Проведение кадастровых работ по выявлении погибших объектов строительства и демонтаж остаточных элементов </t>
  </si>
  <si>
    <t>межевание земельных участков</t>
  </si>
  <si>
    <t>гп Тутаев 274,528т.р., Левобережной сп 315,554т.р.</t>
  </si>
  <si>
    <t>2 ред.</t>
  </si>
  <si>
    <t>Чебаков кое сп</t>
  </si>
  <si>
    <t>Наименование</t>
  </si>
  <si>
    <t>МЦ Галактика (на транспортные расходы, закупка материальных запасов, атрибутики, музыкальной колонки, приобретение ноутбука)</t>
  </si>
  <si>
    <t>Субсидия на осуществление деятельности в сфере молодежной политики</t>
  </si>
  <si>
    <t>МБТ на выплату денежных поощрений лучшим сельским учреждениям культуры</t>
  </si>
  <si>
    <t>мат. Помощьи участникам СВО</t>
  </si>
  <si>
    <t>перераспределены ДТиСР на выплату матер.помощи участникам СВО</t>
  </si>
  <si>
    <t>Расходы на проведение мероприятий по благоустройству сельских территорий</t>
  </si>
  <si>
    <t>727 400,90  софинасирование+ доп. Работы на ремонт территории у Фоминского ДК</t>
  </si>
  <si>
    <t>Содержание ОМС</t>
  </si>
  <si>
    <t>Управление культуры ФОТ</t>
  </si>
  <si>
    <t>450т.р. Управление образования ФОТ</t>
  </si>
  <si>
    <t>Ремонт Константиновская библиотека 1 000,0т.р.,165,2.р. Софинансирование</t>
  </si>
  <si>
    <t>технадзор ФомДК 49,934т.р.,Урдом.ДК 45,4т.р., Никольский  ДК уголь 250,0т.р., Емиш ДК ремонт 453,274т.р., резерв 1 000,0т.р.; -727,4 т.р перераспределены на  благоустройство сельских территорий площадка у Фоминского ДК; -165,2т.р. Софинансировнаие на ремонт библиотеки</t>
  </si>
  <si>
    <t>Ром. Овца 1 150,0т.р, прочие 165,934т.р ( мероприятия АТМР) перераспределены с молодежной политики на мероприятия</t>
  </si>
  <si>
    <t>перераспределены на культурные мероприятия</t>
  </si>
  <si>
    <t>ремонт коридора 175,0т.р.,</t>
  </si>
  <si>
    <t>транспорт 75,0т.р.</t>
  </si>
  <si>
    <t>Ремонт крыши в здании библиотеки на правом берегу г. Тутаева  ЦБС -3,5млн.рублей; Организация культурных мероприятий (поощрение ярзима)-1000,0 млн. рублей;МУ РЦКиД (на транспортные расходы и пошив костюмов театр левый берег-300т.р.;на обновление материально-технической базы структурных подразделений Столбищенский ДК, Емишевский ДК, Микляйхинский ДК, Чебаковский ДК-200т.р.); +21,75т.р. поощрение</t>
  </si>
  <si>
    <t>Содержание  объектов спортивной инфраструктуры</t>
  </si>
  <si>
    <t>Ледовая арена и Фокот</t>
  </si>
  <si>
    <t>авторский и тех.контроль</t>
  </si>
  <si>
    <t>ремонт спорт.учреждений +500т.р. перераспределены с содержания спортивных объектов; экономия от ремонта  чаши бассейна СШ №1 -2 954,561т.р., СО и УЭ  490,0т.р., молниезащит зал единоборств 300,0т.р., резерв 1 000,0т.р.2026 год -ремонт кровли  Старт ул. Комсомольская; 2026 год  4700 т.р. с муниципального задания перерераспределены на иные цели - ремонт кровли Старт</t>
  </si>
  <si>
    <t xml:space="preserve"> Содержание Главы :ФОТ 3 053,19т.р., командировочные 400,0т.р;                                                                                                  Содержание ОМС : ФОТ +7225,т.р АТМР, +1067 т.р.ЖКХ, +, ; связь 125,0т.р; конверты 517,5т.р.,экон.ремонт архива -5351,29т.р.</t>
  </si>
  <si>
    <t>Содержание ЕДДС : ФОТ -  3 000,0т.р.; ГСМ 300,0т.р.,ремот и ТО а/м 500,0т.р.,з/части и хозтовары 200,0т.р.;                                       Содержание ЦКО:  ФОТ - 1 500,0т.р.,ремонт РКЦ 2 000,0т.р., Содержание Агентства: +5501,95т.р. ремонт Архива(основной контракт 4989,5т.р.+стр. кон 220,0тр и доп. работы 292,45тр)</t>
  </si>
  <si>
    <t>невостребованные БА по перераспределены на доп. Работы при реализации проектов</t>
  </si>
  <si>
    <t>120т.р.погибшие объекты; - 927122 р невостребованные БА обеспечению мероприятий инициативному бюджетированию (соф. и доп. работы) перераспределены на реализацию проектов</t>
  </si>
  <si>
    <t xml:space="preserve">2,0 млн. решения суда, надзорных органов, административные штрафы (-832,5 тыс рублей перераспределены ) </t>
  </si>
  <si>
    <t>ИБ - проведение сетей водопровода и канализации, установка санитарной комнаты ФОКОТ; 160,1 т.р. Софинансирование</t>
  </si>
  <si>
    <t>школьный автобус 11450,0т.р</t>
  </si>
  <si>
    <t>В проект бюджета внесен новый ГРБС -997 Муниципальный Совет ТМО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</si>
</sst>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00"/>
    <numFmt numFmtId="165" formatCode="#,##0.00;[Red]#,##0.00"/>
    <numFmt numFmtId="166" formatCode="#,##0.00_ ;\-#,##0.00\ "/>
    <numFmt numFmtId="167" formatCode="#\ ##0.00"/>
    <numFmt numFmtId="168" formatCode="0.0%"/>
    <numFmt numFmtId="169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</cellStyleXfs>
  <cellXfs count="340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vertical="distributed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distributed" wrapText="1"/>
    </xf>
    <xf numFmtId="0" fontId="6" fillId="0" borderId="0" xfId="0" applyFont="1"/>
    <xf numFmtId="3" fontId="4" fillId="4" borderId="1" xfId="0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vertical="top" wrapText="1"/>
    </xf>
    <xf numFmtId="4" fontId="10" fillId="4" borderId="1" xfId="0" applyNumberFormat="1" applyFont="1" applyFill="1" applyBorder="1" applyAlignment="1">
      <alignment vertical="distributed" wrapText="1"/>
    </xf>
    <xf numFmtId="4" fontId="11" fillId="4" borderId="1" xfId="0" applyNumberFormat="1" applyFont="1" applyFill="1" applyBorder="1" applyAlignment="1">
      <alignment vertical="distributed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 readingOrder="1"/>
    </xf>
    <xf numFmtId="4" fontId="13" fillId="0" borderId="0" xfId="0" applyNumberFormat="1" applyFont="1" applyAlignment="1">
      <alignment horizontal="center" vertical="center" wrapText="1" readingOrder="1"/>
    </xf>
    <xf numFmtId="0" fontId="13" fillId="0" borderId="0" xfId="0" applyFont="1" applyAlignment="1">
      <alignment horizontal="justify" vertical="top" wrapText="1" readingOrder="1"/>
    </xf>
    <xf numFmtId="4" fontId="12" fillId="0" borderId="7" xfId="0" applyNumberFormat="1" applyFont="1" applyBorder="1" applyAlignment="1">
      <alignment horizontal="center" vertical="center" wrapText="1" readingOrder="1"/>
    </xf>
    <xf numFmtId="4" fontId="16" fillId="0" borderId="1" xfId="0" applyNumberFormat="1" applyFont="1" applyBorder="1" applyAlignment="1">
      <alignment horizontal="center" vertical="center" wrapText="1" readingOrder="1"/>
    </xf>
    <xf numFmtId="4" fontId="14" fillId="0" borderId="1" xfId="0" applyNumberFormat="1" applyFont="1" applyBorder="1" applyAlignment="1">
      <alignment horizontal="center" vertical="center" wrapText="1" readingOrder="1"/>
    </xf>
    <xf numFmtId="4" fontId="14" fillId="0" borderId="4" xfId="0" applyNumberFormat="1" applyFont="1" applyBorder="1" applyAlignment="1">
      <alignment horizontal="center" vertical="center" wrapText="1" readingOrder="1"/>
    </xf>
    <xf numFmtId="4" fontId="16" fillId="4" borderId="1" xfId="0" applyNumberFormat="1" applyFont="1" applyFill="1" applyBorder="1" applyAlignment="1">
      <alignment horizontal="center" vertical="center" wrapText="1" readingOrder="1"/>
    </xf>
    <xf numFmtId="4" fontId="17" fillId="7" borderId="1" xfId="0" applyNumberFormat="1" applyFont="1" applyFill="1" applyBorder="1" applyAlignment="1">
      <alignment horizontal="center" vertical="center" wrapText="1" readingOrder="1"/>
    </xf>
    <xf numFmtId="4" fontId="17" fillId="7" borderId="4" xfId="0" applyNumberFormat="1" applyFont="1" applyFill="1" applyBorder="1" applyAlignment="1">
      <alignment horizontal="center" vertical="center" wrapText="1" readingOrder="1"/>
    </xf>
    <xf numFmtId="4" fontId="16" fillId="0" borderId="6" xfId="0" applyNumberFormat="1" applyFont="1" applyBorder="1" applyAlignment="1">
      <alignment horizontal="center" vertical="center" wrapText="1" readingOrder="1"/>
    </xf>
    <xf numFmtId="4" fontId="16" fillId="0" borderId="17" xfId="0" applyNumberFormat="1" applyFont="1" applyBorder="1" applyAlignment="1">
      <alignment horizontal="center" vertical="center" wrapText="1" readingOrder="1"/>
    </xf>
    <xf numFmtId="4" fontId="12" fillId="12" borderId="12" xfId="0" applyNumberFormat="1" applyFont="1" applyFill="1" applyBorder="1" applyAlignment="1">
      <alignment horizontal="center" vertical="center" wrapText="1" readingOrder="1"/>
    </xf>
    <xf numFmtId="4" fontId="12" fillId="12" borderId="3" xfId="0" applyNumberFormat="1" applyFont="1" applyFill="1" applyBorder="1" applyAlignment="1">
      <alignment horizontal="center" vertical="center" wrapText="1" readingOrder="1"/>
    </xf>
    <xf numFmtId="4" fontId="16" fillId="0" borderId="0" xfId="0" applyNumberFormat="1" applyFont="1" applyAlignment="1">
      <alignment horizontal="center" vertical="center" wrapText="1" readingOrder="1"/>
    </xf>
    <xf numFmtId="4" fontId="13" fillId="0" borderId="1" xfId="0" applyNumberFormat="1" applyFont="1" applyBorder="1" applyAlignment="1">
      <alignment horizontal="center" vertical="center" wrapText="1" readingOrder="1"/>
    </xf>
    <xf numFmtId="4" fontId="19" fillId="0" borderId="0" xfId="0" applyNumberFormat="1" applyFont="1" applyAlignment="1">
      <alignment horizontal="center" vertical="center" wrapText="1" readingOrder="1"/>
    </xf>
    <xf numFmtId="4" fontId="18" fillId="0" borderId="0" xfId="0" applyNumberFormat="1" applyFont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justify" vertical="top" wrapText="1" readingOrder="1"/>
    </xf>
    <xf numFmtId="0" fontId="14" fillId="0" borderId="0" xfId="0" applyFont="1" applyAlignment="1">
      <alignment wrapText="1"/>
    </xf>
    <xf numFmtId="0" fontId="20" fillId="0" borderId="1" xfId="0" applyFont="1" applyBorder="1"/>
    <xf numFmtId="4" fontId="16" fillId="4" borderId="6" xfId="0" applyNumberFormat="1" applyFont="1" applyFill="1" applyBorder="1" applyAlignment="1">
      <alignment horizontal="center" vertical="center" wrapText="1" readingOrder="1"/>
    </xf>
    <xf numFmtId="4" fontId="14" fillId="4" borderId="1" xfId="0" applyNumberFormat="1" applyFont="1" applyFill="1" applyBorder="1" applyAlignment="1">
      <alignment horizontal="center" vertical="center" wrapText="1" readingOrder="1"/>
    </xf>
    <xf numFmtId="4" fontId="14" fillId="0" borderId="6" xfId="0" applyNumberFormat="1" applyFont="1" applyBorder="1" applyAlignment="1">
      <alignment horizontal="center" vertical="center" wrapText="1" readingOrder="1"/>
    </xf>
    <xf numFmtId="4" fontId="14" fillId="4" borderId="6" xfId="0" applyNumberFormat="1" applyFont="1" applyFill="1" applyBorder="1" applyAlignment="1">
      <alignment horizontal="center" vertical="center" wrapText="1" readingOrder="1"/>
    </xf>
    <xf numFmtId="4" fontId="13" fillId="13" borderId="1" xfId="0" applyNumberFormat="1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readingOrder="1"/>
    </xf>
    <xf numFmtId="4" fontId="14" fillId="4" borderId="4" xfId="0" applyNumberFormat="1" applyFont="1" applyFill="1" applyBorder="1" applyAlignment="1">
      <alignment horizontal="center" vertical="center" wrapText="1" readingOrder="1"/>
    </xf>
    <xf numFmtId="4" fontId="13" fillId="14" borderId="1" xfId="0" applyNumberFormat="1" applyFont="1" applyFill="1" applyBorder="1" applyAlignment="1">
      <alignment horizontal="center" vertical="center" wrapText="1" readingOrder="1"/>
    </xf>
    <xf numFmtId="4" fontId="12" fillId="9" borderId="12" xfId="0" applyNumberFormat="1" applyFont="1" applyFill="1" applyBorder="1" applyAlignment="1">
      <alignment horizontal="center" vertical="center" wrapText="1" readingOrder="1"/>
    </xf>
    <xf numFmtId="4" fontId="15" fillId="7" borderId="4" xfId="0" applyNumberFormat="1" applyFont="1" applyFill="1" applyBorder="1" applyAlignment="1">
      <alignment horizontal="center" vertical="center" wrapText="1" readingOrder="1"/>
    </xf>
    <xf numFmtId="4" fontId="15" fillId="7" borderId="1" xfId="0" applyNumberFormat="1" applyFont="1" applyFill="1" applyBorder="1" applyAlignment="1">
      <alignment horizontal="center" vertical="center" wrapText="1" readingOrder="1"/>
    </xf>
    <xf numFmtId="4" fontId="12" fillId="9" borderId="3" xfId="0" applyNumberFormat="1" applyFont="1" applyFill="1" applyBorder="1" applyAlignment="1">
      <alignment horizontal="center" vertical="center" wrapText="1" readingOrder="1"/>
    </xf>
    <xf numFmtId="4" fontId="12" fillId="7" borderId="4" xfId="0" applyNumberFormat="1" applyFont="1" applyFill="1" applyBorder="1" applyAlignment="1">
      <alignment horizontal="center" vertical="center" wrapText="1" readingOrder="1"/>
    </xf>
    <xf numFmtId="4" fontId="15" fillId="9" borderId="12" xfId="0" applyNumberFormat="1" applyFont="1" applyFill="1" applyBorder="1" applyAlignment="1">
      <alignment horizontal="center" vertical="center" wrapText="1" readingOrder="1"/>
    </xf>
    <xf numFmtId="4" fontId="15" fillId="9" borderId="3" xfId="0" applyNumberFormat="1" applyFont="1" applyFill="1" applyBorder="1" applyAlignment="1">
      <alignment horizontal="center" vertical="center" wrapText="1" readingOrder="1"/>
    </xf>
    <xf numFmtId="4" fontId="12" fillId="7" borderId="1" xfId="0" applyNumberFormat="1" applyFont="1" applyFill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left" vertical="top" wrapText="1" readingOrder="1"/>
    </xf>
    <xf numFmtId="0" fontId="13" fillId="0" borderId="4" xfId="0" applyFont="1" applyBorder="1" applyAlignment="1">
      <alignment horizontal="center" vertical="center" wrapText="1" readingOrder="1"/>
    </xf>
    <xf numFmtId="4" fontId="13" fillId="0" borderId="4" xfId="0" applyNumberFormat="1" applyFont="1" applyBorder="1" applyAlignment="1">
      <alignment horizontal="center" vertical="center" wrapText="1" readingOrder="1"/>
    </xf>
    <xf numFmtId="49" fontId="13" fillId="0" borderId="4" xfId="0" applyNumberFormat="1" applyFont="1" applyBorder="1" applyAlignment="1">
      <alignment horizontal="center" vertical="center" wrapText="1" readingOrder="1"/>
    </xf>
    <xf numFmtId="4" fontId="12" fillId="0" borderId="24" xfId="0" applyNumberFormat="1" applyFont="1" applyBorder="1" applyAlignment="1">
      <alignment horizontal="center" vertical="center" wrapText="1" readingOrder="1"/>
    </xf>
    <xf numFmtId="4" fontId="15" fillId="7" borderId="26" xfId="0" applyNumberFormat="1" applyFont="1" applyFill="1" applyBorder="1" applyAlignment="1">
      <alignment horizontal="center" vertical="center" wrapText="1" readingOrder="1"/>
    </xf>
    <xf numFmtId="4" fontId="14" fillId="0" borderId="5" xfId="0" applyNumberFormat="1" applyFont="1" applyBorder="1" applyAlignment="1">
      <alignment horizontal="center" vertical="center" wrapText="1" readingOrder="1"/>
    </xf>
    <xf numFmtId="4" fontId="16" fillId="0" borderId="5" xfId="0" applyNumberFormat="1" applyFont="1" applyBorder="1" applyAlignment="1">
      <alignment horizontal="center" vertical="center" wrapText="1" readingOrder="1"/>
    </xf>
    <xf numFmtId="4" fontId="17" fillId="7" borderId="5" xfId="0" applyNumberFormat="1" applyFont="1" applyFill="1" applyBorder="1" applyAlignment="1">
      <alignment horizontal="center" vertical="center" wrapText="1" readingOrder="1"/>
    </xf>
    <xf numFmtId="4" fontId="15" fillId="7" borderId="5" xfId="0" applyNumberFormat="1" applyFont="1" applyFill="1" applyBorder="1" applyAlignment="1">
      <alignment horizontal="center" vertical="center" wrapText="1" readingOrder="1"/>
    </xf>
    <xf numFmtId="4" fontId="14" fillId="4" borderId="5" xfId="0" applyNumberFormat="1" applyFont="1" applyFill="1" applyBorder="1" applyAlignment="1">
      <alignment horizontal="center" vertical="center" wrapText="1" readingOrder="1"/>
    </xf>
    <xf numFmtId="4" fontId="12" fillId="7" borderId="26" xfId="0" applyNumberFormat="1" applyFont="1" applyFill="1" applyBorder="1" applyAlignment="1">
      <alignment horizontal="center" vertical="center" wrapText="1" readingOrder="1"/>
    </xf>
    <xf numFmtId="4" fontId="14" fillId="0" borderId="15" xfId="0" applyNumberFormat="1" applyFont="1" applyBorder="1" applyAlignment="1">
      <alignment horizontal="center" vertical="center" wrapText="1" readingOrder="1"/>
    </xf>
    <xf numFmtId="4" fontId="16" fillId="0" borderId="15" xfId="0" applyNumberFormat="1" applyFont="1" applyBorder="1" applyAlignment="1">
      <alignment horizontal="center" vertical="center" wrapText="1" readingOrder="1"/>
    </xf>
    <xf numFmtId="4" fontId="12" fillId="7" borderId="5" xfId="0" applyNumberFormat="1" applyFont="1" applyFill="1" applyBorder="1" applyAlignment="1">
      <alignment horizontal="center" vertical="center" wrapText="1" readingOrder="1"/>
    </xf>
    <xf numFmtId="4" fontId="15" fillId="2" borderId="5" xfId="0" applyNumberFormat="1" applyFont="1" applyFill="1" applyBorder="1" applyAlignment="1">
      <alignment horizontal="center" vertical="center" wrapText="1" readingOrder="1"/>
    </xf>
    <xf numFmtId="4" fontId="17" fillId="7" borderId="26" xfId="0" applyNumberFormat="1" applyFont="1" applyFill="1" applyBorder="1" applyAlignment="1">
      <alignment horizontal="center" vertical="center" wrapText="1" readingOrder="1"/>
    </xf>
    <xf numFmtId="4" fontId="16" fillId="0" borderId="27" xfId="0" applyNumberFormat="1" applyFont="1" applyBorder="1" applyAlignment="1">
      <alignment horizontal="center" vertical="center" wrapText="1" readingOrder="1"/>
    </xf>
    <xf numFmtId="4" fontId="12" fillId="6" borderId="7" xfId="0" applyNumberFormat="1" applyFont="1" applyFill="1" applyBorder="1" applyAlignment="1">
      <alignment horizontal="center" vertical="center" wrapText="1" readingOrder="1"/>
    </xf>
    <xf numFmtId="4" fontId="12" fillId="6" borderId="25" xfId="0" applyNumberFormat="1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4" fontId="19" fillId="0" borderId="1" xfId="0" applyNumberFormat="1" applyFont="1" applyBorder="1" applyAlignment="1">
      <alignment horizontal="center" vertical="center" wrapText="1" readingOrder="1"/>
    </xf>
    <xf numFmtId="4" fontId="14" fillId="0" borderId="26" xfId="0" applyNumberFormat="1" applyFont="1" applyBorder="1" applyAlignment="1">
      <alignment horizontal="center" vertical="center" wrapText="1" readingOrder="1"/>
    </xf>
    <xf numFmtId="4" fontId="12" fillId="0" borderId="28" xfId="0" applyNumberFormat="1" applyFont="1" applyBorder="1" applyAlignment="1">
      <alignment horizontal="center" vertical="center" wrapText="1" readingOrder="1"/>
    </xf>
    <xf numFmtId="0" fontId="12" fillId="0" borderId="25" xfId="0" applyFont="1" applyBorder="1" applyAlignment="1">
      <alignment horizontal="center" vertical="center" wrapText="1" readingOrder="1"/>
    </xf>
    <xf numFmtId="4" fontId="12" fillId="9" borderId="2" xfId="0" applyNumberFormat="1" applyFont="1" applyFill="1" applyBorder="1" applyAlignment="1">
      <alignment horizontal="center" vertical="center" wrapText="1" readingOrder="1"/>
    </xf>
    <xf numFmtId="10" fontId="12" fillId="9" borderId="3" xfId="0" applyNumberFormat="1" applyFont="1" applyFill="1" applyBorder="1" applyAlignment="1">
      <alignment horizontal="center" vertical="center" wrapText="1" readingOrder="1"/>
    </xf>
    <xf numFmtId="4" fontId="15" fillId="7" borderId="9" xfId="0" applyNumberFormat="1" applyFont="1" applyFill="1" applyBorder="1" applyAlignment="1">
      <alignment horizontal="center" vertical="center" wrapText="1" readingOrder="1"/>
    </xf>
    <xf numFmtId="10" fontId="15" fillId="7" borderId="26" xfId="0" applyNumberFormat="1" applyFont="1" applyFill="1" applyBorder="1" applyAlignment="1">
      <alignment horizontal="center" vertical="center" wrapText="1" readingOrder="1"/>
    </xf>
    <xf numFmtId="4" fontId="14" fillId="0" borderId="10" xfId="0" applyNumberFormat="1" applyFont="1" applyBorder="1" applyAlignment="1">
      <alignment horizontal="center" vertical="center" wrapText="1" readingOrder="1"/>
    </xf>
    <xf numFmtId="10" fontId="14" fillId="0" borderId="5" xfId="0" applyNumberFormat="1" applyFont="1" applyBorder="1" applyAlignment="1">
      <alignment horizontal="center" vertical="center" wrapText="1" readingOrder="1"/>
    </xf>
    <xf numFmtId="4" fontId="16" fillId="0" borderId="10" xfId="0" applyNumberFormat="1" applyFont="1" applyBorder="1" applyAlignment="1">
      <alignment horizontal="center" vertical="center" wrapText="1" readingOrder="1"/>
    </xf>
    <xf numFmtId="10" fontId="16" fillId="0" borderId="5" xfId="0" applyNumberFormat="1" applyFont="1" applyBorder="1" applyAlignment="1">
      <alignment horizontal="center" vertical="center" wrapText="1" readingOrder="1"/>
    </xf>
    <xf numFmtId="4" fontId="17" fillId="7" borderId="10" xfId="0" applyNumberFormat="1" applyFont="1" applyFill="1" applyBorder="1" applyAlignment="1">
      <alignment horizontal="center" vertical="center" wrapText="1" readingOrder="1"/>
    </xf>
    <xf numFmtId="4" fontId="15" fillId="7" borderId="10" xfId="0" applyNumberFormat="1" applyFont="1" applyFill="1" applyBorder="1" applyAlignment="1">
      <alignment horizontal="center" vertical="center" wrapText="1" readingOrder="1"/>
    </xf>
    <xf numFmtId="10" fontId="15" fillId="7" borderId="5" xfId="0" applyNumberFormat="1" applyFont="1" applyFill="1" applyBorder="1" applyAlignment="1">
      <alignment horizontal="center" vertical="center" wrapText="1" readingOrder="1"/>
    </xf>
    <xf numFmtId="4" fontId="14" fillId="4" borderId="10" xfId="0" applyNumberFormat="1" applyFont="1" applyFill="1" applyBorder="1" applyAlignment="1">
      <alignment horizontal="center" vertical="center" wrapText="1" readingOrder="1"/>
    </xf>
    <xf numFmtId="10" fontId="14" fillId="4" borderId="5" xfId="0" applyNumberFormat="1" applyFont="1" applyFill="1" applyBorder="1" applyAlignment="1">
      <alignment horizontal="center" vertical="center" wrapText="1" readingOrder="1"/>
    </xf>
    <xf numFmtId="10" fontId="17" fillId="7" borderId="5" xfId="0" applyNumberFormat="1" applyFont="1" applyFill="1" applyBorder="1" applyAlignment="1">
      <alignment horizontal="center" vertical="center" wrapText="1" readingOrder="1"/>
    </xf>
    <xf numFmtId="4" fontId="12" fillId="7" borderId="9" xfId="0" applyNumberFormat="1" applyFont="1" applyFill="1" applyBorder="1" applyAlignment="1">
      <alignment horizontal="center" vertical="center" wrapText="1" readingOrder="1"/>
    </xf>
    <xf numFmtId="10" fontId="12" fillId="7" borderId="26" xfId="0" applyNumberFormat="1" applyFont="1" applyFill="1" applyBorder="1" applyAlignment="1">
      <alignment horizontal="center" vertical="center" wrapText="1" readingOrder="1"/>
    </xf>
    <xf numFmtId="168" fontId="16" fillId="0" borderId="5" xfId="0" applyNumberFormat="1" applyFont="1" applyBorder="1" applyAlignment="1">
      <alignment horizontal="center" vertical="center" wrapText="1" readingOrder="1"/>
    </xf>
    <xf numFmtId="4" fontId="14" fillId="0" borderId="14" xfId="0" applyNumberFormat="1" applyFont="1" applyBorder="1" applyAlignment="1">
      <alignment horizontal="center" vertical="center" wrapText="1" readingOrder="1"/>
    </xf>
    <xf numFmtId="10" fontId="14" fillId="0" borderId="15" xfId="0" applyNumberFormat="1" applyFont="1" applyBorder="1" applyAlignment="1">
      <alignment horizontal="center" vertical="center" wrapText="1" readingOrder="1"/>
    </xf>
    <xf numFmtId="4" fontId="15" fillId="9" borderId="2" xfId="0" applyNumberFormat="1" applyFont="1" applyFill="1" applyBorder="1" applyAlignment="1">
      <alignment horizontal="center" vertical="center" wrapText="1" readingOrder="1"/>
    </xf>
    <xf numFmtId="4" fontId="16" fillId="0" borderId="14" xfId="0" applyNumberFormat="1" applyFont="1" applyBorder="1" applyAlignment="1">
      <alignment horizontal="center" vertical="center" wrapText="1" readingOrder="1"/>
    </xf>
    <xf numFmtId="10" fontId="16" fillId="0" borderId="15" xfId="0" applyNumberFormat="1" applyFont="1" applyBorder="1" applyAlignment="1">
      <alignment horizontal="center" vertical="center" wrapText="1" readingOrder="1"/>
    </xf>
    <xf numFmtId="4" fontId="12" fillId="7" borderId="10" xfId="0" applyNumberFormat="1" applyFont="1" applyFill="1" applyBorder="1" applyAlignment="1">
      <alignment horizontal="center" vertical="center" wrapText="1" readingOrder="1"/>
    </xf>
    <xf numFmtId="10" fontId="12" fillId="7" borderId="5" xfId="0" applyNumberFormat="1" applyFont="1" applyFill="1" applyBorder="1" applyAlignment="1">
      <alignment horizontal="center" vertical="center" wrapText="1" readingOrder="1"/>
    </xf>
    <xf numFmtId="10" fontId="14" fillId="9" borderId="3" xfId="0" applyNumberFormat="1" applyFont="1" applyFill="1" applyBorder="1" applyAlignment="1">
      <alignment horizontal="center" vertical="center" wrapText="1" readingOrder="1"/>
    </xf>
    <xf numFmtId="4" fontId="17" fillId="7" borderId="9" xfId="0" applyNumberFormat="1" applyFont="1" applyFill="1" applyBorder="1" applyAlignment="1">
      <alignment horizontal="center" vertical="center" wrapText="1" readingOrder="1"/>
    </xf>
    <xf numFmtId="10" fontId="17" fillId="7" borderId="26" xfId="0" applyNumberFormat="1" applyFont="1" applyFill="1" applyBorder="1" applyAlignment="1">
      <alignment horizontal="center" vertical="center" wrapText="1" readingOrder="1"/>
    </xf>
    <xf numFmtId="4" fontId="16" fillId="0" borderId="19" xfId="0" applyNumberFormat="1" applyFont="1" applyBorder="1" applyAlignment="1">
      <alignment horizontal="center" vertical="center" wrapText="1" readingOrder="1"/>
    </xf>
    <xf numFmtId="10" fontId="16" fillId="0" borderId="27" xfId="0" applyNumberFormat="1" applyFont="1" applyBorder="1" applyAlignment="1">
      <alignment horizontal="center" vertical="center" wrapText="1" readingOrder="1"/>
    </xf>
    <xf numFmtId="168" fontId="14" fillId="0" borderId="5" xfId="0" applyNumberFormat="1" applyFont="1" applyBorder="1" applyAlignment="1">
      <alignment horizontal="center" vertical="center" wrapText="1" readingOrder="1"/>
    </xf>
    <xf numFmtId="4" fontId="12" fillId="12" borderId="2" xfId="0" applyNumberFormat="1" applyFont="1" applyFill="1" applyBorder="1" applyAlignment="1">
      <alignment horizontal="center" vertical="center" wrapText="1" readingOrder="1"/>
    </xf>
    <xf numFmtId="168" fontId="12" fillId="12" borderId="3" xfId="0" applyNumberFormat="1" applyFont="1" applyFill="1" applyBorder="1" applyAlignment="1">
      <alignment horizontal="center" vertical="center" wrapText="1" readingOrder="1"/>
    </xf>
    <xf numFmtId="4" fontId="14" fillId="0" borderId="9" xfId="0" applyNumberFormat="1" applyFont="1" applyBorder="1" applyAlignment="1">
      <alignment horizontal="center" vertical="center" wrapText="1" readingOrder="1"/>
    </xf>
    <xf numFmtId="168" fontId="14" fillId="0" borderId="26" xfId="0" applyNumberFormat="1" applyFont="1" applyBorder="1" applyAlignment="1">
      <alignment horizontal="center" vertical="center" wrapText="1" readingOrder="1"/>
    </xf>
    <xf numFmtId="168" fontId="16" fillId="0" borderId="15" xfId="0" applyNumberFormat="1" applyFont="1" applyBorder="1" applyAlignment="1">
      <alignment horizontal="center" vertical="center" wrapText="1" readingOrder="1"/>
    </xf>
    <xf numFmtId="4" fontId="12" fillId="6" borderId="28" xfId="0" applyNumberFormat="1" applyFont="1" applyFill="1" applyBorder="1" applyAlignment="1">
      <alignment horizontal="center" vertical="center" wrapText="1" readingOrder="1"/>
    </xf>
    <xf numFmtId="168" fontId="12" fillId="6" borderId="25" xfId="0" applyNumberFormat="1" applyFont="1" applyFill="1" applyBorder="1" applyAlignment="1">
      <alignment horizontal="center" vertical="center" wrapText="1" readingOrder="1"/>
    </xf>
    <xf numFmtId="4" fontId="16" fillId="4" borderId="10" xfId="0" applyNumberFormat="1" applyFont="1" applyFill="1" applyBorder="1" applyAlignment="1">
      <alignment horizontal="center" vertical="center" wrapText="1" readingOrder="1"/>
    </xf>
    <xf numFmtId="168" fontId="16" fillId="0" borderId="26" xfId="0" applyNumberFormat="1" applyFont="1" applyBorder="1" applyAlignment="1">
      <alignment horizontal="center" vertical="center" wrapText="1" readingOrder="1"/>
    </xf>
    <xf numFmtId="169" fontId="14" fillId="0" borderId="26" xfId="0" applyNumberFormat="1" applyFont="1" applyBorder="1" applyAlignment="1">
      <alignment horizontal="center" vertical="center" wrapText="1" readingOrder="1"/>
    </xf>
    <xf numFmtId="169" fontId="14" fillId="0" borderId="5" xfId="0" applyNumberFormat="1" applyFont="1" applyBorder="1" applyAlignment="1">
      <alignment horizontal="center" vertical="center" wrapText="1" readingOrder="1"/>
    </xf>
    <xf numFmtId="169" fontId="12" fillId="6" borderId="25" xfId="0" applyNumberFormat="1" applyFont="1" applyFill="1" applyBorder="1" applyAlignment="1">
      <alignment horizontal="center" vertical="center" wrapText="1" readingOrder="1"/>
    </xf>
    <xf numFmtId="4" fontId="12" fillId="9" borderId="21" xfId="0" applyNumberFormat="1" applyFont="1" applyFill="1" applyBorder="1" applyAlignment="1">
      <alignment horizontal="center" vertical="center" wrapText="1" readingOrder="1"/>
    </xf>
    <xf numFmtId="4" fontId="15" fillId="7" borderId="32" xfId="0" applyNumberFormat="1" applyFont="1" applyFill="1" applyBorder="1" applyAlignment="1">
      <alignment horizontal="center" vertical="center" wrapText="1" readingOrder="1"/>
    </xf>
    <xf numFmtId="4" fontId="14" fillId="0" borderId="33" xfId="0" applyNumberFormat="1" applyFont="1" applyBorder="1" applyAlignment="1">
      <alignment horizontal="center" vertical="center" wrapText="1" readingOrder="1"/>
    </xf>
    <xf numFmtId="4" fontId="16" fillId="0" borderId="33" xfId="0" applyNumberFormat="1" applyFont="1" applyBorder="1" applyAlignment="1">
      <alignment horizontal="center" vertical="center" wrapText="1" readingOrder="1"/>
    </xf>
    <xf numFmtId="4" fontId="14" fillId="4" borderId="33" xfId="0" applyNumberFormat="1" applyFont="1" applyFill="1" applyBorder="1" applyAlignment="1">
      <alignment horizontal="center" vertical="center" wrapText="1" readingOrder="1"/>
    </xf>
    <xf numFmtId="4" fontId="17" fillId="7" borderId="32" xfId="0" applyNumberFormat="1" applyFont="1" applyFill="1" applyBorder="1" applyAlignment="1">
      <alignment horizontal="center" vertical="center" wrapText="1" readingOrder="1"/>
    </xf>
    <xf numFmtId="4" fontId="16" fillId="0" borderId="32" xfId="0" applyNumberFormat="1" applyFont="1" applyBorder="1" applyAlignment="1">
      <alignment horizontal="center" vertical="center" wrapText="1" readingOrder="1"/>
    </xf>
    <xf numFmtId="4" fontId="16" fillId="0" borderId="34" xfId="0" applyNumberFormat="1" applyFont="1" applyBorder="1" applyAlignment="1">
      <alignment horizontal="center" vertical="center" wrapText="1" readingOrder="1"/>
    </xf>
    <xf numFmtId="4" fontId="15" fillId="7" borderId="33" xfId="0" applyNumberFormat="1" applyFont="1" applyFill="1" applyBorder="1" applyAlignment="1">
      <alignment horizontal="center" vertical="center" wrapText="1" readingOrder="1"/>
    </xf>
    <xf numFmtId="4" fontId="14" fillId="9" borderId="21" xfId="0" applyNumberFormat="1" applyFont="1" applyFill="1" applyBorder="1" applyAlignment="1">
      <alignment horizontal="center" vertical="center" wrapText="1" readingOrder="1"/>
    </xf>
    <xf numFmtId="4" fontId="14" fillId="0" borderId="32" xfId="0" applyNumberFormat="1" applyFont="1" applyBorder="1" applyAlignment="1">
      <alignment horizontal="center" vertical="center" wrapText="1" readingOrder="1"/>
    </xf>
    <xf numFmtId="4" fontId="12" fillId="12" borderId="21" xfId="0" applyNumberFormat="1" applyFont="1" applyFill="1" applyBorder="1" applyAlignment="1">
      <alignment horizontal="center" vertical="center" wrapText="1" readingOrder="1"/>
    </xf>
    <xf numFmtId="4" fontId="12" fillId="6" borderId="35" xfId="0" applyNumberFormat="1" applyFont="1" applyFill="1" applyBorder="1" applyAlignment="1">
      <alignment horizontal="center" vertical="center" wrapText="1" readingOrder="1"/>
    </xf>
    <xf numFmtId="4" fontId="12" fillId="0" borderId="29" xfId="0" applyNumberFormat="1" applyFont="1" applyBorder="1" applyAlignment="1">
      <alignment horizontal="center" vertical="center" wrapText="1" readingOrder="1"/>
    </xf>
    <xf numFmtId="49" fontId="12" fillId="9" borderId="21" xfId="0" applyNumberFormat="1" applyFont="1" applyFill="1" applyBorder="1" applyAlignment="1">
      <alignment horizontal="center" vertical="center" wrapText="1" readingOrder="1"/>
    </xf>
    <xf numFmtId="49" fontId="15" fillId="7" borderId="32" xfId="0" applyNumberFormat="1" applyFont="1" applyFill="1" applyBorder="1" applyAlignment="1">
      <alignment horizontal="center" vertical="center" wrapText="1" readingOrder="1"/>
    </xf>
    <xf numFmtId="49" fontId="16" fillId="0" borderId="33" xfId="0" applyNumberFormat="1" applyFont="1" applyBorder="1" applyAlignment="1">
      <alignment horizontal="center" vertical="center" wrapText="1" readingOrder="1"/>
    </xf>
    <xf numFmtId="49" fontId="14" fillId="0" borderId="33" xfId="0" applyNumberFormat="1" applyFont="1" applyBorder="1" applyAlignment="1">
      <alignment horizontal="center" vertical="center" wrapText="1" readingOrder="1"/>
    </xf>
    <xf numFmtId="49" fontId="17" fillId="7" borderId="33" xfId="0" applyNumberFormat="1" applyFont="1" applyFill="1" applyBorder="1" applyAlignment="1">
      <alignment horizontal="center" vertical="center" wrapText="1" readingOrder="1"/>
    </xf>
    <xf numFmtId="49" fontId="15" fillId="7" borderId="33" xfId="0" applyNumberFormat="1" applyFont="1" applyFill="1" applyBorder="1" applyAlignment="1">
      <alignment horizontal="center" vertical="center" wrapText="1" readingOrder="1"/>
    </xf>
    <xf numFmtId="49" fontId="14" fillId="4" borderId="33" xfId="0" applyNumberFormat="1" applyFont="1" applyFill="1" applyBorder="1" applyAlignment="1">
      <alignment horizontal="center" vertical="center" wrapText="1" readingOrder="1"/>
    </xf>
    <xf numFmtId="49" fontId="12" fillId="7" borderId="32" xfId="0" applyNumberFormat="1" applyFont="1" applyFill="1" applyBorder="1" applyAlignment="1">
      <alignment horizontal="center" vertical="center" wrapText="1" readingOrder="1"/>
    </xf>
    <xf numFmtId="49" fontId="14" fillId="0" borderId="34" xfId="0" applyNumberFormat="1" applyFont="1" applyBorder="1" applyAlignment="1">
      <alignment horizontal="center" vertical="center" wrapText="1" readingOrder="1"/>
    </xf>
    <xf numFmtId="49" fontId="15" fillId="8" borderId="32" xfId="0" applyNumberFormat="1" applyFont="1" applyFill="1" applyBorder="1" applyAlignment="1">
      <alignment horizontal="center" vertical="center" wrapText="1" readingOrder="1"/>
    </xf>
    <xf numFmtId="49" fontId="21" fillId="3" borderId="33" xfId="0" applyNumberFormat="1" applyFont="1" applyFill="1" applyBorder="1" applyAlignment="1">
      <alignment horizontal="center" vertical="center" wrapText="1" readingOrder="1"/>
    </xf>
    <xf numFmtId="49" fontId="15" fillId="8" borderId="33" xfId="0" applyNumberFormat="1" applyFont="1" applyFill="1" applyBorder="1" applyAlignment="1">
      <alignment horizontal="center" vertical="center" wrapText="1" readingOrder="1"/>
    </xf>
    <xf numFmtId="49" fontId="21" fillId="3" borderId="34" xfId="0" applyNumberFormat="1" applyFont="1" applyFill="1" applyBorder="1" applyAlignment="1">
      <alignment horizontal="center" vertical="center" wrapText="1" readingOrder="1"/>
    </xf>
    <xf numFmtId="49" fontId="16" fillId="3" borderId="33" xfId="0" applyNumberFormat="1" applyFont="1" applyFill="1" applyBorder="1" applyAlignment="1">
      <alignment horizontal="center" vertical="center" wrapText="1" readingOrder="1"/>
    </xf>
    <xf numFmtId="49" fontId="16" fillId="4" borderId="33" xfId="0" applyNumberFormat="1" applyFont="1" applyFill="1" applyBorder="1" applyAlignment="1">
      <alignment horizontal="center" vertical="center" wrapText="1" readingOrder="1"/>
    </xf>
    <xf numFmtId="49" fontId="16" fillId="4" borderId="33" xfId="0" applyNumberFormat="1" applyFont="1" applyFill="1" applyBorder="1" applyAlignment="1">
      <alignment vertical="center" wrapText="1" readingOrder="1"/>
    </xf>
    <xf numFmtId="49" fontId="16" fillId="4" borderId="34" xfId="0" applyNumberFormat="1" applyFont="1" applyFill="1" applyBorder="1" applyAlignment="1">
      <alignment vertical="center" wrapText="1" readingOrder="1"/>
    </xf>
    <xf numFmtId="49" fontId="16" fillId="4" borderId="32" xfId="0" applyNumberFormat="1" applyFont="1" applyFill="1" applyBorder="1" applyAlignment="1">
      <alignment vertical="center" wrapText="1" readingOrder="1"/>
    </xf>
    <xf numFmtId="164" fontId="12" fillId="10" borderId="21" xfId="0" applyNumberFormat="1" applyFont="1" applyFill="1" applyBorder="1" applyAlignment="1">
      <alignment horizontal="center" vertical="center" wrapText="1" readingOrder="1"/>
    </xf>
    <xf numFmtId="49" fontId="12" fillId="7" borderId="33" xfId="0" applyNumberFormat="1" applyFont="1" applyFill="1" applyBorder="1" applyAlignment="1">
      <alignment horizontal="center" vertical="center" wrapText="1" readingOrder="1"/>
    </xf>
    <xf numFmtId="49" fontId="16" fillId="0" borderId="34" xfId="0" applyNumberFormat="1" applyFont="1" applyBorder="1" applyAlignment="1">
      <alignment horizontal="center" vertical="center" wrapText="1" readingOrder="1"/>
    </xf>
    <xf numFmtId="49" fontId="17" fillId="7" borderId="32" xfId="0" applyNumberFormat="1" applyFont="1" applyFill="1" applyBorder="1" applyAlignment="1">
      <alignment horizontal="center" vertical="center" wrapText="1" readingOrder="1"/>
    </xf>
    <xf numFmtId="49" fontId="16" fillId="0" borderId="36" xfId="0" applyNumberFormat="1" applyFont="1" applyBorder="1" applyAlignment="1">
      <alignment horizontal="center" vertical="center" wrapText="1" readingOrder="1"/>
    </xf>
    <xf numFmtId="49" fontId="12" fillId="12" borderId="21" xfId="0" applyNumberFormat="1" applyFont="1" applyFill="1" applyBorder="1" applyAlignment="1">
      <alignment horizontal="center" vertical="center" wrapText="1" readingOrder="1"/>
    </xf>
    <xf numFmtId="49" fontId="16" fillId="0" borderId="32" xfId="0" applyNumberFormat="1" applyFont="1" applyBorder="1" applyAlignment="1">
      <alignment horizontal="center" vertical="center" wrapText="1" readingOrder="1"/>
    </xf>
    <xf numFmtId="49" fontId="14" fillId="0" borderId="32" xfId="0" applyNumberFormat="1" applyFont="1" applyBorder="1" applyAlignment="1">
      <alignment horizontal="center" vertical="center" wrapText="1" readingOrder="1"/>
    </xf>
    <xf numFmtId="0" fontId="12" fillId="9" borderId="21" xfId="0" applyFont="1" applyFill="1" applyBorder="1" applyAlignment="1">
      <alignment horizontal="left" vertical="center" wrapText="1" readingOrder="1"/>
    </xf>
    <xf numFmtId="0" fontId="15" fillId="7" borderId="32" xfId="0" applyFont="1" applyFill="1" applyBorder="1" applyAlignment="1">
      <alignment horizontal="left" vertical="center" wrapText="1" readingOrder="1"/>
    </xf>
    <xf numFmtId="0" fontId="14" fillId="0" borderId="33" xfId="0" applyFont="1" applyBorder="1" applyAlignment="1">
      <alignment horizontal="left" vertical="center" wrapText="1" readingOrder="1"/>
    </xf>
    <xf numFmtId="0" fontId="15" fillId="7" borderId="33" xfId="0" applyFont="1" applyFill="1" applyBorder="1" applyAlignment="1">
      <alignment horizontal="left" vertical="center" wrapText="1" readingOrder="1"/>
    </xf>
    <xf numFmtId="0" fontId="14" fillId="0" borderId="33" xfId="0" applyFont="1" applyBorder="1" applyAlignment="1">
      <alignment vertical="center" wrapText="1" readingOrder="1"/>
    </xf>
    <xf numFmtId="0" fontId="12" fillId="7" borderId="32" xfId="0" applyFont="1" applyFill="1" applyBorder="1" applyAlignment="1">
      <alignment horizontal="left" vertical="center" wrapText="1" readingOrder="1"/>
    </xf>
    <xf numFmtId="0" fontId="14" fillId="0" borderId="34" xfId="0" applyFont="1" applyBorder="1" applyAlignment="1">
      <alignment horizontal="left" vertical="center" wrapText="1" readingOrder="1"/>
    </xf>
    <xf numFmtId="0" fontId="15" fillId="7" borderId="33" xfId="0" applyFont="1" applyFill="1" applyBorder="1" applyAlignment="1">
      <alignment vertical="top" wrapText="1"/>
    </xf>
    <xf numFmtId="0" fontId="14" fillId="0" borderId="33" xfId="0" applyFont="1" applyBorder="1" applyAlignment="1">
      <alignment wrapText="1"/>
    </xf>
    <xf numFmtId="0" fontId="15" fillId="7" borderId="33" xfId="0" applyFont="1" applyFill="1" applyBorder="1" applyAlignment="1">
      <alignment wrapText="1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4" borderId="33" xfId="0" applyFont="1" applyFill="1" applyBorder="1" applyAlignment="1">
      <alignment wrapText="1"/>
    </xf>
    <xf numFmtId="167" fontId="14" fillId="0" borderId="33" xfId="4" applyNumberFormat="1" applyFont="1" applyBorder="1" applyAlignment="1">
      <alignment vertical="center" wrapText="1"/>
    </xf>
    <xf numFmtId="0" fontId="14" fillId="4" borderId="32" xfId="0" applyFont="1" applyFill="1" applyBorder="1" applyAlignment="1">
      <alignment wrapText="1"/>
    </xf>
    <xf numFmtId="0" fontId="12" fillId="7" borderId="33" xfId="0" applyFont="1" applyFill="1" applyBorder="1" applyAlignment="1">
      <alignment horizontal="left" vertical="center" wrapText="1" readingOrder="1"/>
    </xf>
    <xf numFmtId="0" fontId="14" fillId="3" borderId="33" xfId="1" applyFont="1" applyFill="1" applyBorder="1" applyAlignment="1">
      <alignment horizontal="left" vertical="center" wrapText="1" readingOrder="1"/>
    </xf>
    <xf numFmtId="0" fontId="14" fillId="0" borderId="34" xfId="0" applyFont="1" applyBorder="1" applyAlignment="1">
      <alignment wrapText="1"/>
    </xf>
    <xf numFmtId="0" fontId="15" fillId="8" borderId="32" xfId="0" applyFont="1" applyFill="1" applyBorder="1" applyAlignment="1">
      <alignment horizontal="left" vertical="center" wrapText="1" readingOrder="1"/>
    </xf>
    <xf numFmtId="0" fontId="14" fillId="5" borderId="33" xfId="0" applyFont="1" applyFill="1" applyBorder="1" applyAlignment="1">
      <alignment horizontal="left" vertical="center" wrapText="1" readingOrder="1"/>
    </xf>
    <xf numFmtId="0" fontId="14" fillId="5" borderId="33" xfId="0" applyFont="1" applyFill="1" applyBorder="1" applyAlignment="1">
      <alignment wrapText="1"/>
    </xf>
    <xf numFmtId="0" fontId="14" fillId="5" borderId="36" xfId="0" applyFont="1" applyFill="1" applyBorder="1" applyAlignment="1">
      <alignment horizontal="left" vertical="center" wrapText="1" readingOrder="1"/>
    </xf>
    <xf numFmtId="0" fontId="14" fillId="3" borderId="33" xfId="1" applyFont="1" applyFill="1" applyBorder="1" applyAlignment="1">
      <alignment wrapText="1"/>
    </xf>
    <xf numFmtId="0" fontId="14" fillId="3" borderId="34" xfId="1" applyFont="1" applyFill="1" applyBorder="1" applyAlignment="1">
      <alignment wrapText="1"/>
    </xf>
    <xf numFmtId="0" fontId="12" fillId="9" borderId="21" xfId="0" applyFont="1" applyFill="1" applyBorder="1" applyAlignment="1">
      <alignment vertical="center" wrapText="1"/>
    </xf>
    <xf numFmtId="0" fontId="15" fillId="8" borderId="32" xfId="1" applyFont="1" applyFill="1" applyBorder="1" applyAlignment="1">
      <alignment wrapText="1"/>
    </xf>
    <xf numFmtId="167" fontId="14" fillId="4" borderId="33" xfId="4" applyNumberFormat="1" applyFont="1" applyFill="1" applyBorder="1" applyAlignment="1">
      <alignment vertical="center" wrapText="1"/>
    </xf>
    <xf numFmtId="0" fontId="12" fillId="11" borderId="21" xfId="0" applyFont="1" applyFill="1" applyBorder="1" applyAlignment="1">
      <alignment horizontal="left" vertical="center" wrapText="1" readingOrder="1"/>
    </xf>
    <xf numFmtId="0" fontId="12" fillId="12" borderId="21" xfId="0" applyFont="1" applyFill="1" applyBorder="1" applyAlignment="1">
      <alignment horizontal="left" vertical="center" wrapText="1" readingOrder="1"/>
    </xf>
    <xf numFmtId="0" fontId="14" fillId="0" borderId="32" xfId="0" applyFont="1" applyBorder="1" applyAlignment="1">
      <alignment horizontal="left" vertical="center" wrapText="1" readingOrder="1"/>
    </xf>
    <xf numFmtId="0" fontId="14" fillId="12" borderId="21" xfId="0" applyFont="1" applyFill="1" applyBorder="1" applyAlignment="1">
      <alignment horizontal="left" vertical="center" wrapText="1" readingOrder="1"/>
    </xf>
    <xf numFmtId="4" fontId="12" fillId="6" borderId="35" xfId="0" applyNumberFormat="1" applyFont="1" applyFill="1" applyBorder="1" applyAlignment="1">
      <alignment horizontal="left" vertical="center" wrapText="1" readingOrder="1"/>
    </xf>
    <xf numFmtId="10" fontId="14" fillId="0" borderId="26" xfId="0" applyNumberFormat="1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top" wrapText="1" readingOrder="1"/>
    </xf>
    <xf numFmtId="0" fontId="14" fillId="0" borderId="11" xfId="0" applyFont="1" applyBorder="1" applyAlignment="1">
      <alignment horizontal="left" vertical="top" wrapText="1" readingOrder="1"/>
    </xf>
    <xf numFmtId="4" fontId="14" fillId="0" borderId="13" xfId="0" applyNumberFormat="1" applyFont="1" applyBorder="1" applyAlignment="1">
      <alignment horizontal="left" vertical="top" wrapText="1" readingOrder="1"/>
    </xf>
    <xf numFmtId="0" fontId="14" fillId="0" borderId="20" xfId="0" applyFont="1" applyBorder="1" applyAlignment="1">
      <alignment horizontal="left" vertical="top" wrapText="1" readingOrder="1"/>
    </xf>
    <xf numFmtId="0" fontId="14" fillId="0" borderId="13" xfId="0" applyFont="1" applyBorder="1" applyAlignment="1">
      <alignment horizontal="left" wrapText="1"/>
    </xf>
    <xf numFmtId="168" fontId="14" fillId="0" borderId="15" xfId="0" applyNumberFormat="1" applyFont="1" applyBorder="1" applyAlignment="1">
      <alignment horizontal="center" vertical="center" wrapText="1" readingOrder="1"/>
    </xf>
    <xf numFmtId="4" fontId="12" fillId="6" borderId="37" xfId="0" applyNumberFormat="1" applyFont="1" applyFill="1" applyBorder="1" applyAlignment="1">
      <alignment horizontal="left" vertical="top" wrapText="1" readingOrder="1"/>
    </xf>
    <xf numFmtId="4" fontId="22" fillId="0" borderId="0" xfId="0" applyNumberFormat="1" applyFont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4" fillId="0" borderId="18" xfId="3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2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2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4" fontId="15" fillId="7" borderId="1" xfId="2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4" fontId="14" fillId="4" borderId="1" xfId="2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14" fontId="16" fillId="7" borderId="1" xfId="0" applyNumberFormat="1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12" fillId="7" borderId="1" xfId="0" applyFont="1" applyFill="1" applyBorder="1" applyAlignment="1">
      <alignment horizontal="left" vertical="center" wrapText="1"/>
    </xf>
    <xf numFmtId="4" fontId="12" fillId="7" borderId="1" xfId="2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0" fillId="4" borderId="0" xfId="0" applyFont="1" applyFill="1"/>
    <xf numFmtId="0" fontId="16" fillId="4" borderId="1" xfId="0" applyFont="1" applyFill="1" applyBorder="1" applyAlignment="1">
      <alignment horizontal="left" vertical="center" wrapText="1"/>
    </xf>
    <xf numFmtId="4" fontId="16" fillId="4" borderId="1" xfId="2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/>
    </xf>
    <xf numFmtId="166" fontId="24" fillId="4" borderId="1" xfId="2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/>
    </xf>
    <xf numFmtId="166" fontId="14" fillId="4" borderId="1" xfId="2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16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  <xf numFmtId="4" fontId="16" fillId="0" borderId="1" xfId="2" applyNumberFormat="1" applyFont="1" applyBorder="1" applyAlignment="1">
      <alignment horizontal="center" vertical="center" wrapText="1"/>
    </xf>
    <xf numFmtId="166" fontId="16" fillId="0" borderId="1" xfId="2" applyNumberFormat="1" applyFont="1" applyBorder="1" applyAlignment="1">
      <alignment horizontal="center" vertical="center" wrapText="1"/>
    </xf>
    <xf numFmtId="165" fontId="16" fillId="0" borderId="1" xfId="2" applyNumberFormat="1" applyFont="1" applyBorder="1" applyAlignment="1">
      <alignment horizontal="center" vertical="center" wrapText="1"/>
    </xf>
    <xf numFmtId="165" fontId="17" fillId="4" borderId="1" xfId="2" applyNumberFormat="1" applyFont="1" applyFill="1" applyBorder="1" applyAlignment="1">
      <alignment vertical="center" wrapText="1"/>
    </xf>
    <xf numFmtId="3" fontId="14" fillId="4" borderId="1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3" fontId="14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4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2" fillId="7" borderId="1" xfId="0" applyFont="1" applyFill="1" applyBorder="1" applyAlignment="1">
      <alignment vertical="center" wrapText="1"/>
    </xf>
    <xf numFmtId="166" fontId="12" fillId="7" borderId="1" xfId="2" applyNumberFormat="1" applyFont="1" applyFill="1" applyBorder="1" applyAlignment="1">
      <alignment horizontal="center" vertical="center" wrapText="1"/>
    </xf>
    <xf numFmtId="14" fontId="17" fillId="7" borderId="1" xfId="0" applyNumberFormat="1" applyFont="1" applyFill="1" applyBorder="1" applyAlignment="1">
      <alignment vertical="center" wrapText="1"/>
    </xf>
    <xf numFmtId="166" fontId="15" fillId="7" borderId="1" xfId="2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vertical="center" wrapText="1"/>
    </xf>
    <xf numFmtId="165" fontId="14" fillId="4" borderId="1" xfId="2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165" fontId="14" fillId="0" borderId="1" xfId="2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vertical="center" wrapText="1"/>
    </xf>
    <xf numFmtId="165" fontId="16" fillId="4" borderId="1" xfId="2" applyNumberFormat="1" applyFont="1" applyFill="1" applyBorder="1" applyAlignment="1">
      <alignment horizontal="center" vertical="center" wrapText="1"/>
    </xf>
    <xf numFmtId="0" fontId="14" fillId="0" borderId="18" xfId="3" applyFont="1" applyBorder="1" applyAlignment="1" applyProtection="1">
      <alignment vertical="center" wrapText="1"/>
      <protection hidden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165" fontId="15" fillId="0" borderId="1" xfId="2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3" fillId="4" borderId="13" xfId="0" applyFont="1" applyFill="1" applyBorder="1" applyAlignment="1">
      <alignment horizontal="left" vertical="top" wrapText="1" readingOrder="1"/>
    </xf>
    <xf numFmtId="0" fontId="14" fillId="4" borderId="13" xfId="0" applyFont="1" applyFill="1" applyBorder="1" applyAlignment="1">
      <alignment horizontal="left" vertical="top" wrapText="1" readingOrder="1"/>
    </xf>
    <xf numFmtId="0" fontId="14" fillId="0" borderId="0" xfId="0" applyFont="1" applyAlignment="1">
      <alignment horizontal="left" vertical="center" wrapText="1"/>
    </xf>
    <xf numFmtId="0" fontId="16" fillId="0" borderId="13" xfId="0" applyFont="1" applyBorder="1" applyAlignment="1">
      <alignment horizontal="left" vertical="top" wrapText="1" readingOrder="1"/>
    </xf>
    <xf numFmtId="4" fontId="14" fillId="0" borderId="0" xfId="0" applyNumberFormat="1" applyFont="1" applyAlignment="1">
      <alignment horizontal="justify" vertical="top" wrapText="1" readingOrder="1"/>
    </xf>
    <xf numFmtId="4" fontId="13" fillId="0" borderId="0" xfId="0" applyNumberFormat="1" applyFont="1" applyAlignment="1">
      <alignment horizontal="justify" vertical="top" wrapText="1" readingOrder="1"/>
    </xf>
    <xf numFmtId="0" fontId="14" fillId="0" borderId="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2" fillId="0" borderId="29" xfId="0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center" vertical="center" wrapText="1" readingOrder="1"/>
    </xf>
    <xf numFmtId="0" fontId="12" fillId="0" borderId="24" xfId="0" applyFont="1" applyBorder="1" applyAlignment="1">
      <alignment horizontal="center" vertical="center" wrapText="1" readingOrder="1"/>
    </xf>
    <xf numFmtId="0" fontId="12" fillId="0" borderId="22" xfId="0" applyFont="1" applyBorder="1" applyAlignment="1">
      <alignment horizontal="center" vertical="center" wrapText="1" readingOrder="1"/>
    </xf>
    <xf numFmtId="0" fontId="12" fillId="0" borderId="23" xfId="0" applyFont="1" applyBorder="1" applyAlignment="1">
      <alignment horizontal="center" vertical="center" wrapText="1" readingOrder="1"/>
    </xf>
    <xf numFmtId="0" fontId="12" fillId="3" borderId="30" xfId="0" applyFont="1" applyFill="1" applyBorder="1" applyAlignment="1">
      <alignment horizontal="center" vertical="center" wrapText="1" readingOrder="1"/>
    </xf>
    <xf numFmtId="0" fontId="12" fillId="3" borderId="31" xfId="0" applyFont="1" applyFill="1" applyBorder="1" applyAlignment="1">
      <alignment horizontal="center" vertical="center" wrapText="1" readingOrder="1"/>
    </xf>
    <xf numFmtId="4" fontId="12" fillId="0" borderId="30" xfId="0" applyNumberFormat="1" applyFont="1" applyBorder="1" applyAlignment="1">
      <alignment horizontal="center" vertical="center" wrapText="1" readingOrder="1"/>
    </xf>
    <xf numFmtId="4" fontId="12" fillId="0" borderId="31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4" fontId="10" fillId="4" borderId="1" xfId="0" applyNumberFormat="1" applyFont="1" applyFill="1" applyBorder="1" applyAlignment="1">
      <alignment vertical="distributed" wrapText="1"/>
    </xf>
    <xf numFmtId="4" fontId="10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3"/>
  <sheetViews>
    <sheetView topLeftCell="B25" workbookViewId="0">
      <selection activeCell="A4" sqref="A4:G4"/>
    </sheetView>
  </sheetViews>
  <sheetFormatPr defaultRowHeight="14.4" x14ac:dyDescent="0.3"/>
  <cols>
    <col min="1" max="1" width="5.6640625" style="222" hidden="1" customWidth="1"/>
    <col min="2" max="2" width="58.5546875" style="222" customWidth="1"/>
    <col min="3" max="3" width="20.109375" style="299" customWidth="1"/>
    <col min="4" max="4" width="15.88671875" style="222" customWidth="1"/>
    <col min="5" max="5" width="15.44140625" style="222" customWidth="1"/>
    <col min="6" max="6" width="15.33203125" style="222" customWidth="1"/>
    <col min="7" max="7" width="28.44140625" style="222" customWidth="1"/>
    <col min="8" max="8" width="15" style="222" bestFit="1" customWidth="1"/>
    <col min="9" max="16384" width="8.88671875" style="222"/>
  </cols>
  <sheetData>
    <row r="1" spans="1:7" ht="72.75" customHeight="1" x14ac:dyDescent="0.3">
      <c r="A1" s="316" t="s">
        <v>518</v>
      </c>
      <c r="B1" s="316"/>
      <c r="C1" s="316"/>
      <c r="D1" s="316"/>
      <c r="E1" s="316"/>
      <c r="F1" s="316"/>
      <c r="G1" s="316"/>
    </row>
    <row r="2" spans="1:7" ht="79.8" customHeight="1" x14ac:dyDescent="0.3">
      <c r="A2" s="317" t="s">
        <v>156</v>
      </c>
      <c r="B2" s="317"/>
      <c r="C2" s="317"/>
      <c r="D2" s="317"/>
      <c r="E2" s="317"/>
      <c r="F2" s="317"/>
      <c r="G2" s="317"/>
    </row>
    <row r="3" spans="1:7" ht="30" customHeight="1" x14ac:dyDescent="0.3">
      <c r="A3" s="302"/>
      <c r="B3" s="317" t="s">
        <v>593</v>
      </c>
      <c r="C3" s="317"/>
      <c r="D3" s="317"/>
      <c r="E3" s="317"/>
      <c r="F3" s="317"/>
      <c r="G3" s="317"/>
    </row>
    <row r="4" spans="1:7" ht="34.200000000000003" customHeight="1" x14ac:dyDescent="0.3">
      <c r="A4" s="318" t="s">
        <v>157</v>
      </c>
      <c r="B4" s="318"/>
      <c r="C4" s="318"/>
      <c r="D4" s="318"/>
      <c r="E4" s="318"/>
      <c r="F4" s="318"/>
      <c r="G4" s="319"/>
    </row>
    <row r="5" spans="1:7" x14ac:dyDescent="0.3">
      <c r="A5" s="320" t="s">
        <v>158</v>
      </c>
      <c r="B5" s="322" t="s">
        <v>159</v>
      </c>
      <c r="C5" s="200"/>
      <c r="D5" s="223">
        <v>2025</v>
      </c>
      <c r="E5" s="223">
        <v>2026</v>
      </c>
      <c r="F5" s="223">
        <v>2027</v>
      </c>
      <c r="G5" s="320" t="s">
        <v>160</v>
      </c>
    </row>
    <row r="6" spans="1:7" ht="55.2" x14ac:dyDescent="0.3">
      <c r="A6" s="321"/>
      <c r="B6" s="323"/>
      <c r="C6" s="201"/>
      <c r="D6" s="221" t="s">
        <v>108</v>
      </c>
      <c r="E6" s="221" t="s">
        <v>108</v>
      </c>
      <c r="F6" s="221" t="s">
        <v>108</v>
      </c>
      <c r="G6" s="321"/>
    </row>
    <row r="7" spans="1:7" x14ac:dyDescent="0.3">
      <c r="A7" s="224"/>
      <c r="B7" s="225" t="s">
        <v>161</v>
      </c>
      <c r="C7" s="202"/>
      <c r="D7" s="226">
        <f>D9+D16</f>
        <v>38910000</v>
      </c>
      <c r="E7" s="226">
        <f t="shared" ref="E7:F7" si="0">E9+E16</f>
        <v>0</v>
      </c>
      <c r="F7" s="226">
        <f t="shared" si="0"/>
        <v>0</v>
      </c>
      <c r="G7" s="227"/>
    </row>
    <row r="8" spans="1:7" x14ac:dyDescent="0.3">
      <c r="A8" s="228"/>
      <c r="B8" s="229" t="s">
        <v>162</v>
      </c>
      <c r="C8" s="203"/>
      <c r="D8" s="230"/>
      <c r="E8" s="231"/>
      <c r="F8" s="231"/>
      <c r="G8" s="228"/>
    </row>
    <row r="9" spans="1:7" x14ac:dyDescent="0.3">
      <c r="A9" s="232"/>
      <c r="B9" s="233" t="s">
        <v>163</v>
      </c>
      <c r="C9" s="204"/>
      <c r="D9" s="234">
        <f>D11+D14</f>
        <v>17900000</v>
      </c>
      <c r="E9" s="234">
        <f t="shared" ref="E9:F9" si="1">E15</f>
        <v>0</v>
      </c>
      <c r="F9" s="234">
        <f t="shared" si="1"/>
        <v>0</v>
      </c>
      <c r="G9" s="235"/>
    </row>
    <row r="10" spans="1:7" ht="27.6" hidden="1" x14ac:dyDescent="0.3">
      <c r="A10" s="232"/>
      <c r="B10" s="236" t="s">
        <v>164</v>
      </c>
      <c r="C10" s="205" t="s">
        <v>165</v>
      </c>
      <c r="D10" s="237"/>
      <c r="E10" s="237"/>
      <c r="F10" s="237"/>
      <c r="G10" s="312" t="s">
        <v>313</v>
      </c>
    </row>
    <row r="11" spans="1:7" ht="27.6" x14ac:dyDescent="0.3">
      <c r="A11" s="232"/>
      <c r="B11" s="236" t="s">
        <v>166</v>
      </c>
      <c r="C11" s="205" t="s">
        <v>167</v>
      </c>
      <c r="D11" s="237">
        <v>200000</v>
      </c>
      <c r="E11" s="238"/>
      <c r="F11" s="238"/>
      <c r="G11" s="313"/>
    </row>
    <row r="12" spans="1:7" ht="27.6" hidden="1" x14ac:dyDescent="0.3">
      <c r="A12" s="228"/>
      <c r="B12" s="229" t="s">
        <v>168</v>
      </c>
      <c r="C12" s="203" t="s">
        <v>169</v>
      </c>
      <c r="D12" s="230"/>
      <c r="E12" s="231"/>
      <c r="F12" s="231"/>
      <c r="G12" s="313"/>
    </row>
    <row r="13" spans="1:7" ht="27.6" hidden="1" x14ac:dyDescent="0.3">
      <c r="A13" s="228"/>
      <c r="B13" s="229" t="s">
        <v>170</v>
      </c>
      <c r="C13" s="203" t="s">
        <v>171</v>
      </c>
      <c r="D13" s="230"/>
      <c r="E13" s="231"/>
      <c r="F13" s="231"/>
      <c r="G13" s="313"/>
    </row>
    <row r="14" spans="1:7" ht="27.6" x14ac:dyDescent="0.3">
      <c r="A14" s="228"/>
      <c r="B14" s="229" t="s">
        <v>513</v>
      </c>
      <c r="C14" s="203" t="s">
        <v>514</v>
      </c>
      <c r="D14" s="230">
        <v>17700000</v>
      </c>
      <c r="E14" s="231"/>
      <c r="F14" s="231"/>
      <c r="G14" s="313"/>
    </row>
    <row r="15" spans="1:7" hidden="1" x14ac:dyDescent="0.3">
      <c r="A15" s="228"/>
      <c r="B15" s="229"/>
      <c r="C15" s="203"/>
      <c r="D15" s="237"/>
      <c r="E15" s="231"/>
      <c r="F15" s="239"/>
      <c r="G15" s="326"/>
    </row>
    <row r="16" spans="1:7" ht="19.5" customHeight="1" x14ac:dyDescent="0.3">
      <c r="A16" s="240"/>
      <c r="B16" s="233" t="s">
        <v>172</v>
      </c>
      <c r="C16" s="204"/>
      <c r="D16" s="234">
        <f>D18+D19+D20+D21+D22+D23+D24+D25+D26</f>
        <v>21010000</v>
      </c>
      <c r="E16" s="234">
        <f>E18+E19+E20+E22+E23+E24+E26</f>
        <v>0</v>
      </c>
      <c r="F16" s="234">
        <f>F18+F19+F20+F22+F23+F24+F26</f>
        <v>0</v>
      </c>
      <c r="G16" s="232"/>
    </row>
    <row r="17" spans="1:7" ht="0.75" hidden="1" customHeight="1" x14ac:dyDescent="0.3">
      <c r="A17" s="240"/>
      <c r="B17" s="236" t="s">
        <v>173</v>
      </c>
      <c r="C17" s="205" t="s">
        <v>174</v>
      </c>
      <c r="D17" s="237"/>
      <c r="E17" s="237"/>
      <c r="F17" s="237"/>
      <c r="G17" s="241"/>
    </row>
    <row r="18" spans="1:7" ht="40.5" hidden="1" customHeight="1" x14ac:dyDescent="0.3">
      <c r="A18" s="228"/>
      <c r="B18" s="229" t="s">
        <v>175</v>
      </c>
      <c r="C18" s="203" t="s">
        <v>479</v>
      </c>
      <c r="D18" s="230">
        <v>0</v>
      </c>
      <c r="E18" s="242">
        <v>0</v>
      </c>
      <c r="F18" s="242">
        <v>0</v>
      </c>
      <c r="G18" s="312" t="s">
        <v>325</v>
      </c>
    </row>
    <row r="19" spans="1:7" ht="27.6" x14ac:dyDescent="0.3">
      <c r="A19" s="228"/>
      <c r="B19" s="229" t="s">
        <v>176</v>
      </c>
      <c r="C19" s="203" t="s">
        <v>480</v>
      </c>
      <c r="D19" s="230">
        <v>1000000</v>
      </c>
      <c r="E19" s="242">
        <v>0</v>
      </c>
      <c r="F19" s="242">
        <v>0</v>
      </c>
      <c r="G19" s="326"/>
    </row>
    <row r="20" spans="1:7" ht="27.6" x14ac:dyDescent="0.3">
      <c r="A20" s="228"/>
      <c r="B20" s="229" t="s">
        <v>177</v>
      </c>
      <c r="C20" s="203" t="s">
        <v>178</v>
      </c>
      <c r="D20" s="230">
        <v>691000</v>
      </c>
      <c r="E20" s="242"/>
      <c r="F20" s="242"/>
      <c r="G20" s="203" t="s">
        <v>537</v>
      </c>
    </row>
    <row r="21" spans="1:7" ht="43.5" customHeight="1" x14ac:dyDescent="0.3">
      <c r="A21" s="228"/>
      <c r="B21" s="229" t="s">
        <v>520</v>
      </c>
      <c r="C21" s="206" t="s">
        <v>522</v>
      </c>
      <c r="D21" s="230">
        <v>1354000</v>
      </c>
      <c r="E21" s="242"/>
      <c r="F21" s="242"/>
      <c r="G21" s="203" t="s">
        <v>325</v>
      </c>
    </row>
    <row r="22" spans="1:7" ht="27.6" x14ac:dyDescent="0.3">
      <c r="A22" s="228"/>
      <c r="B22" s="229" t="s">
        <v>515</v>
      </c>
      <c r="C22" s="203" t="s">
        <v>521</v>
      </c>
      <c r="D22" s="237">
        <v>2000000</v>
      </c>
      <c r="E22" s="242"/>
      <c r="F22" s="242"/>
      <c r="G22" s="203" t="s">
        <v>325</v>
      </c>
    </row>
    <row r="23" spans="1:7" ht="138" x14ac:dyDescent="0.3">
      <c r="A23" s="228"/>
      <c r="B23" s="229" t="s">
        <v>179</v>
      </c>
      <c r="C23" s="203" t="s">
        <v>481</v>
      </c>
      <c r="D23" s="230">
        <v>5653000</v>
      </c>
      <c r="E23" s="242">
        <v>0</v>
      </c>
      <c r="F23" s="242">
        <v>0</v>
      </c>
      <c r="G23" s="203" t="s">
        <v>539</v>
      </c>
    </row>
    <row r="24" spans="1:7" ht="83.4" x14ac:dyDescent="0.3">
      <c r="A24" s="228"/>
      <c r="B24" s="229" t="s">
        <v>180</v>
      </c>
      <c r="C24" s="206" t="s">
        <v>389</v>
      </c>
      <c r="D24" s="230">
        <v>-3310000</v>
      </c>
      <c r="E24" s="242">
        <v>0</v>
      </c>
      <c r="F24" s="242">
        <v>0</v>
      </c>
      <c r="G24" s="243" t="s">
        <v>538</v>
      </c>
    </row>
    <row r="25" spans="1:7" ht="83.4" x14ac:dyDescent="0.3">
      <c r="A25" s="228"/>
      <c r="B25" s="229" t="s">
        <v>180</v>
      </c>
      <c r="C25" s="206" t="s">
        <v>519</v>
      </c>
      <c r="D25" s="230">
        <v>3310000</v>
      </c>
      <c r="E25" s="242">
        <v>0</v>
      </c>
      <c r="F25" s="242">
        <v>0</v>
      </c>
      <c r="G25" s="243" t="s">
        <v>538</v>
      </c>
    </row>
    <row r="26" spans="1:7" ht="36" customHeight="1" x14ac:dyDescent="0.3">
      <c r="A26" s="228"/>
      <c r="B26" s="229" t="s">
        <v>516</v>
      </c>
      <c r="C26" s="203" t="s">
        <v>517</v>
      </c>
      <c r="D26" s="230">
        <v>10312000</v>
      </c>
      <c r="E26" s="242">
        <v>0</v>
      </c>
      <c r="F26" s="242">
        <v>0</v>
      </c>
      <c r="G26" s="203" t="s">
        <v>537</v>
      </c>
    </row>
    <row r="27" spans="1:7" x14ac:dyDescent="0.3">
      <c r="A27" s="224"/>
      <c r="B27" s="225" t="s">
        <v>181</v>
      </c>
      <c r="C27" s="202"/>
      <c r="D27" s="226">
        <f>D28</f>
        <v>112253799.75</v>
      </c>
      <c r="E27" s="226">
        <f>E28+E123</f>
        <v>97336039</v>
      </c>
      <c r="F27" s="226">
        <f>F28+F123</f>
        <v>6292000</v>
      </c>
      <c r="G27" s="227"/>
    </row>
    <row r="28" spans="1:7" ht="27.6" x14ac:dyDescent="0.3">
      <c r="A28" s="224"/>
      <c r="B28" s="225" t="s">
        <v>182</v>
      </c>
      <c r="C28" s="202"/>
      <c r="D28" s="226">
        <f>D29+D37+D66+D93</f>
        <v>112253799.75</v>
      </c>
      <c r="E28" s="226">
        <f>E29+E37+E66+E93</f>
        <v>97336039</v>
      </c>
      <c r="F28" s="226">
        <f>F29+F37+F66+F93</f>
        <v>6292000</v>
      </c>
      <c r="G28" s="227"/>
    </row>
    <row r="29" spans="1:7" ht="27.6" x14ac:dyDescent="0.3">
      <c r="A29" s="224"/>
      <c r="B29" s="244" t="s">
        <v>183</v>
      </c>
      <c r="C29" s="207"/>
      <c r="D29" s="245">
        <f>D30+D35+D36</f>
        <v>19282400</v>
      </c>
      <c r="E29" s="245">
        <f>E30+E35+E36</f>
        <v>0</v>
      </c>
      <c r="F29" s="245">
        <f>F30+F35+F36</f>
        <v>0</v>
      </c>
      <c r="G29" s="246"/>
    </row>
    <row r="30" spans="1:7" s="249" customFormat="1" ht="41.4" x14ac:dyDescent="0.3">
      <c r="A30" s="247"/>
      <c r="B30" s="248" t="s">
        <v>184</v>
      </c>
      <c r="C30" s="208" t="s">
        <v>185</v>
      </c>
      <c r="D30" s="237">
        <f>19192400+90000</f>
        <v>19282400</v>
      </c>
      <c r="E30" s="237"/>
      <c r="F30" s="237"/>
      <c r="G30" s="312" t="s">
        <v>193</v>
      </c>
    </row>
    <row r="31" spans="1:7" s="249" customFormat="1" ht="38.25" hidden="1" customHeight="1" x14ac:dyDescent="0.3">
      <c r="A31" s="247"/>
      <c r="B31" s="250" t="s">
        <v>434</v>
      </c>
      <c r="C31" s="209" t="s">
        <v>435</v>
      </c>
      <c r="D31" s="251"/>
      <c r="E31" s="251"/>
      <c r="F31" s="251"/>
      <c r="G31" s="313"/>
    </row>
    <row r="32" spans="1:7" s="249" customFormat="1" ht="25.5" hidden="1" customHeight="1" x14ac:dyDescent="0.3">
      <c r="A32" s="247"/>
      <c r="B32" s="250" t="s">
        <v>436</v>
      </c>
      <c r="C32" s="209" t="s">
        <v>437</v>
      </c>
      <c r="D32" s="251"/>
      <c r="E32" s="251"/>
      <c r="F32" s="251"/>
      <c r="G32" s="313"/>
    </row>
    <row r="33" spans="1:8" s="249" customFormat="1" ht="38.25" hidden="1" customHeight="1" x14ac:dyDescent="0.3">
      <c r="A33" s="247"/>
      <c r="B33" s="250" t="s">
        <v>186</v>
      </c>
      <c r="C33" s="209" t="s">
        <v>187</v>
      </c>
      <c r="D33" s="252"/>
      <c r="E33" s="253"/>
      <c r="F33" s="253"/>
      <c r="G33" s="313"/>
    </row>
    <row r="34" spans="1:8" s="249" customFormat="1" ht="38.25" hidden="1" customHeight="1" x14ac:dyDescent="0.3">
      <c r="A34" s="247"/>
      <c r="B34" s="250" t="s">
        <v>188</v>
      </c>
      <c r="C34" s="209" t="s">
        <v>189</v>
      </c>
      <c r="D34" s="252"/>
      <c r="E34" s="253"/>
      <c r="F34" s="253"/>
      <c r="G34" s="313"/>
    </row>
    <row r="35" spans="1:8" s="249" customFormat="1" ht="55.2" hidden="1" x14ac:dyDescent="0.3">
      <c r="A35" s="247"/>
      <c r="B35" s="248" t="s">
        <v>452</v>
      </c>
      <c r="C35" s="208" t="s">
        <v>453</v>
      </c>
      <c r="D35" s="254"/>
      <c r="E35" s="237"/>
      <c r="F35" s="237"/>
      <c r="G35" s="307"/>
    </row>
    <row r="36" spans="1:8" ht="41.4" hidden="1" x14ac:dyDescent="0.3">
      <c r="A36" s="224"/>
      <c r="B36" s="248" t="s">
        <v>275</v>
      </c>
      <c r="C36" s="208" t="s">
        <v>274</v>
      </c>
      <c r="D36" s="254"/>
      <c r="E36" s="255"/>
      <c r="F36" s="255"/>
      <c r="G36" s="308"/>
    </row>
    <row r="37" spans="1:8" ht="28.8" x14ac:dyDescent="0.3">
      <c r="A37" s="232"/>
      <c r="B37" s="233" t="s">
        <v>190</v>
      </c>
      <c r="C37" s="204"/>
      <c r="D37" s="234">
        <f>SUM(D38:D59)</f>
        <v>13026741.42</v>
      </c>
      <c r="E37" s="234">
        <f>E38+E39+E40+E42+E46+E49+E53+E56+E57+E58+E60+E61+E62+E43+E44+E48+E41</f>
        <v>0</v>
      </c>
      <c r="F37" s="234">
        <f>F38+F39+F40+F42+F46+F49+F53+F56+F57+F58+F60+F61+F62+F43+F44+F48+F41</f>
        <v>0</v>
      </c>
      <c r="G37" s="235"/>
      <c r="H37" s="256"/>
    </row>
    <row r="38" spans="1:8" ht="21" hidden="1" customHeight="1" x14ac:dyDescent="0.3">
      <c r="A38" s="232"/>
      <c r="B38" s="236" t="s">
        <v>276</v>
      </c>
      <c r="C38" s="205" t="s">
        <v>191</v>
      </c>
      <c r="D38" s="237"/>
      <c r="E38" s="237"/>
      <c r="F38" s="237"/>
      <c r="G38" s="257"/>
      <c r="H38" s="256"/>
    </row>
    <row r="39" spans="1:8" ht="24" hidden="1" customHeight="1" x14ac:dyDescent="0.3">
      <c r="A39" s="232"/>
      <c r="B39" s="258" t="s">
        <v>366</v>
      </c>
      <c r="C39" s="210" t="s">
        <v>191</v>
      </c>
      <c r="D39" s="251"/>
      <c r="E39" s="251"/>
      <c r="F39" s="251"/>
      <c r="G39" s="259"/>
      <c r="H39" s="256"/>
    </row>
    <row r="40" spans="1:8" ht="22.5" hidden="1" customHeight="1" x14ac:dyDescent="0.3">
      <c r="A40" s="232"/>
      <c r="B40" s="258" t="s">
        <v>357</v>
      </c>
      <c r="C40" s="210" t="s">
        <v>356</v>
      </c>
      <c r="D40" s="251"/>
      <c r="E40" s="251"/>
      <c r="F40" s="251"/>
      <c r="G40" s="312" t="s">
        <v>193</v>
      </c>
    </row>
    <row r="41" spans="1:8" ht="41.4" hidden="1" x14ac:dyDescent="0.3">
      <c r="A41" s="232"/>
      <c r="B41" s="236" t="s">
        <v>444</v>
      </c>
      <c r="C41" s="205" t="s">
        <v>445</v>
      </c>
      <c r="D41" s="237"/>
      <c r="E41" s="237"/>
      <c r="F41" s="237"/>
      <c r="G41" s="313"/>
    </row>
    <row r="42" spans="1:8" ht="69" hidden="1" x14ac:dyDescent="0.3">
      <c r="A42" s="232"/>
      <c r="B42" s="258" t="s">
        <v>278</v>
      </c>
      <c r="C42" s="210" t="s">
        <v>277</v>
      </c>
      <c r="D42" s="251"/>
      <c r="E42" s="251"/>
      <c r="F42" s="251"/>
      <c r="G42" s="313"/>
    </row>
    <row r="43" spans="1:8" ht="41.4" hidden="1" x14ac:dyDescent="0.3">
      <c r="A43" s="232"/>
      <c r="B43" s="236" t="s">
        <v>449</v>
      </c>
      <c r="C43" s="205" t="s">
        <v>450</v>
      </c>
      <c r="D43" s="237"/>
      <c r="E43" s="237"/>
      <c r="F43" s="237"/>
      <c r="G43" s="313"/>
    </row>
    <row r="44" spans="1:8" ht="69" hidden="1" x14ac:dyDescent="0.3">
      <c r="A44" s="232"/>
      <c r="B44" s="236" t="s">
        <v>456</v>
      </c>
      <c r="C44" s="205" t="s">
        <v>457</v>
      </c>
      <c r="D44" s="237"/>
      <c r="E44" s="237"/>
      <c r="F44" s="237"/>
      <c r="G44" s="313"/>
    </row>
    <row r="45" spans="1:8" ht="59.4" customHeight="1" x14ac:dyDescent="0.3">
      <c r="A45" s="232"/>
      <c r="B45" s="236" t="s">
        <v>192</v>
      </c>
      <c r="C45" s="205" t="s">
        <v>443</v>
      </c>
      <c r="D45" s="237">
        <f>250939.63+678466.37</f>
        <v>929406</v>
      </c>
      <c r="E45" s="34"/>
      <c r="F45" s="34"/>
      <c r="G45" s="313"/>
    </row>
    <row r="46" spans="1:8" ht="41.4" hidden="1" x14ac:dyDescent="0.3">
      <c r="A46" s="232"/>
      <c r="B46" s="236" t="s">
        <v>194</v>
      </c>
      <c r="C46" s="205" t="s">
        <v>438</v>
      </c>
      <c r="D46" s="237"/>
      <c r="E46" s="237"/>
      <c r="F46" s="237"/>
      <c r="G46" s="313"/>
    </row>
    <row r="47" spans="1:8" ht="27.6" x14ac:dyDescent="0.3">
      <c r="A47" s="232"/>
      <c r="B47" s="236" t="s">
        <v>490</v>
      </c>
      <c r="C47" s="205" t="s">
        <v>489</v>
      </c>
      <c r="D47" s="237">
        <f>68917.42+1654018</f>
        <v>1722935.42</v>
      </c>
      <c r="E47" s="237"/>
      <c r="F47" s="237"/>
      <c r="G47" s="313"/>
    </row>
    <row r="48" spans="1:8" ht="27.6" hidden="1" x14ac:dyDescent="0.3">
      <c r="A48" s="232"/>
      <c r="B48" s="236" t="s">
        <v>280</v>
      </c>
      <c r="C48" s="205" t="s">
        <v>279</v>
      </c>
      <c r="D48" s="237"/>
      <c r="E48" s="237"/>
      <c r="F48" s="237"/>
      <c r="G48" s="313"/>
    </row>
    <row r="49" spans="1:7" ht="26.25" hidden="1" customHeight="1" x14ac:dyDescent="0.3">
      <c r="A49" s="232"/>
      <c r="B49" s="258" t="s">
        <v>288</v>
      </c>
      <c r="C49" s="210" t="s">
        <v>287</v>
      </c>
      <c r="D49" s="251"/>
      <c r="E49" s="251"/>
      <c r="F49" s="251"/>
      <c r="G49" s="313"/>
    </row>
    <row r="50" spans="1:7" ht="15.75" hidden="1" customHeight="1" x14ac:dyDescent="0.3">
      <c r="A50" s="232"/>
      <c r="B50" s="258" t="s">
        <v>195</v>
      </c>
      <c r="C50" s="210" t="s">
        <v>283</v>
      </c>
      <c r="D50" s="251"/>
      <c r="E50" s="251"/>
      <c r="F50" s="251"/>
      <c r="G50" s="313"/>
    </row>
    <row r="51" spans="1:7" ht="27.75" customHeight="1" x14ac:dyDescent="0.3">
      <c r="A51" s="232"/>
      <c r="B51" s="236" t="s">
        <v>196</v>
      </c>
      <c r="C51" s="205" t="s">
        <v>282</v>
      </c>
      <c r="D51" s="237">
        <v>2201766</v>
      </c>
      <c r="E51" s="237"/>
      <c r="F51" s="237"/>
      <c r="G51" s="313"/>
    </row>
    <row r="52" spans="1:7" ht="33" hidden="1" customHeight="1" x14ac:dyDescent="0.3">
      <c r="A52" s="232"/>
      <c r="B52" s="258" t="s">
        <v>288</v>
      </c>
      <c r="C52" s="210" t="s">
        <v>287</v>
      </c>
      <c r="D52" s="251"/>
      <c r="E52" s="251"/>
      <c r="F52" s="251"/>
      <c r="G52" s="313"/>
    </row>
    <row r="53" spans="1:7" ht="6.6" hidden="1" customHeight="1" x14ac:dyDescent="0.3">
      <c r="A53" s="232"/>
      <c r="B53" s="236" t="s">
        <v>197</v>
      </c>
      <c r="C53" s="205" t="s">
        <v>281</v>
      </c>
      <c r="D53" s="237"/>
      <c r="E53" s="237"/>
      <c r="F53" s="237"/>
      <c r="G53" s="313"/>
    </row>
    <row r="54" spans="1:7" ht="32.4" customHeight="1" x14ac:dyDescent="0.3">
      <c r="A54" s="232"/>
      <c r="B54" s="236" t="s">
        <v>198</v>
      </c>
      <c r="C54" s="205" t="s">
        <v>199</v>
      </c>
      <c r="D54" s="237">
        <v>7300000</v>
      </c>
      <c r="E54" s="237"/>
      <c r="F54" s="237"/>
      <c r="G54" s="313"/>
    </row>
    <row r="55" spans="1:7" ht="26.25" hidden="1" customHeight="1" x14ac:dyDescent="0.3">
      <c r="A55" s="232"/>
      <c r="B55" s="258" t="s">
        <v>200</v>
      </c>
      <c r="C55" s="210" t="s">
        <v>201</v>
      </c>
      <c r="D55" s="251"/>
      <c r="E55" s="251"/>
      <c r="F55" s="251"/>
      <c r="G55" s="313"/>
    </row>
    <row r="56" spans="1:7" ht="27.6" hidden="1" x14ac:dyDescent="0.3">
      <c r="A56" s="232"/>
      <c r="B56" s="236" t="s">
        <v>202</v>
      </c>
      <c r="C56" s="205" t="s">
        <v>442</v>
      </c>
      <c r="D56" s="237"/>
      <c r="E56" s="237"/>
      <c r="F56" s="237"/>
      <c r="G56" s="313"/>
    </row>
    <row r="57" spans="1:7" ht="27.6" hidden="1" x14ac:dyDescent="0.3">
      <c r="A57" s="232"/>
      <c r="B57" s="236" t="s">
        <v>203</v>
      </c>
      <c r="C57" s="205" t="s">
        <v>284</v>
      </c>
      <c r="D57" s="237"/>
      <c r="E57" s="237"/>
      <c r="F57" s="237"/>
      <c r="G57" s="313"/>
    </row>
    <row r="58" spans="1:7" ht="10.8" hidden="1" customHeight="1" x14ac:dyDescent="0.3">
      <c r="A58" s="232"/>
      <c r="B58" s="236" t="s">
        <v>204</v>
      </c>
      <c r="C58" s="205" t="s">
        <v>451</v>
      </c>
      <c r="D58" s="237"/>
      <c r="E58" s="237"/>
      <c r="F58" s="237"/>
      <c r="G58" s="313"/>
    </row>
    <row r="59" spans="1:7" ht="27.6" x14ac:dyDescent="0.3">
      <c r="A59" s="232"/>
      <c r="B59" s="236" t="s">
        <v>488</v>
      </c>
      <c r="C59" s="205" t="s">
        <v>487</v>
      </c>
      <c r="D59" s="237">
        <v>872634</v>
      </c>
      <c r="E59" s="237"/>
      <c r="F59" s="237"/>
      <c r="G59" s="313"/>
    </row>
    <row r="60" spans="1:7" ht="19.5" hidden="1" customHeight="1" x14ac:dyDescent="0.3">
      <c r="A60" s="232"/>
      <c r="B60" s="258" t="s">
        <v>286</v>
      </c>
      <c r="C60" s="210" t="s">
        <v>285</v>
      </c>
      <c r="D60" s="251"/>
      <c r="E60" s="251"/>
      <c r="F60" s="251"/>
      <c r="G60" s="326"/>
    </row>
    <row r="61" spans="1:7" ht="41.4" hidden="1" x14ac:dyDescent="0.3">
      <c r="A61" s="232"/>
      <c r="B61" s="236" t="s">
        <v>360</v>
      </c>
      <c r="C61" s="205" t="s">
        <v>359</v>
      </c>
      <c r="D61" s="237"/>
      <c r="E61" s="237"/>
      <c r="F61" s="237"/>
      <c r="G61" s="257"/>
    </row>
    <row r="62" spans="1:7" ht="18.75" hidden="1" customHeight="1" x14ac:dyDescent="0.3">
      <c r="A62" s="228"/>
      <c r="B62" s="228" t="s">
        <v>353</v>
      </c>
      <c r="C62" s="211" t="s">
        <v>352</v>
      </c>
      <c r="D62" s="260">
        <v>0</v>
      </c>
      <c r="E62" s="261">
        <v>0</v>
      </c>
      <c r="F62" s="262">
        <v>0</v>
      </c>
      <c r="G62" s="258"/>
    </row>
    <row r="63" spans="1:7" ht="22.5" hidden="1" customHeight="1" x14ac:dyDescent="0.3">
      <c r="A63" s="228"/>
      <c r="B63" s="228"/>
      <c r="C63" s="211"/>
      <c r="D63" s="260"/>
      <c r="E63" s="261"/>
      <c r="F63" s="262"/>
      <c r="G63" s="258"/>
    </row>
    <row r="64" spans="1:7" ht="19.5" hidden="1" customHeight="1" x14ac:dyDescent="0.3">
      <c r="A64" s="228"/>
      <c r="B64" s="228"/>
      <c r="C64" s="211"/>
      <c r="D64" s="260"/>
      <c r="E64" s="261"/>
      <c r="F64" s="262"/>
      <c r="G64" s="258"/>
    </row>
    <row r="65" spans="1:7" ht="25.5" hidden="1" customHeight="1" x14ac:dyDescent="0.3">
      <c r="A65" s="258"/>
      <c r="B65" s="228"/>
      <c r="C65" s="211"/>
      <c r="D65" s="251"/>
      <c r="E65" s="263"/>
      <c r="F65" s="263"/>
      <c r="G65" s="258"/>
    </row>
    <row r="66" spans="1:7" ht="34.799999999999997" customHeight="1" x14ac:dyDescent="0.3">
      <c r="A66" s="232"/>
      <c r="B66" s="233" t="s">
        <v>205</v>
      </c>
      <c r="C66" s="212"/>
      <c r="D66" s="234">
        <f>D67+D68+D69+D70+D71+D72+D73+D74+D75+D76+D77+D78+D79+D80+D81+D82+D83+D84+D85+D86+D87+D88+D89+D90+D92</f>
        <v>1816725</v>
      </c>
      <c r="E66" s="234">
        <f>E67+E68+E69+E70+E71+E72+E73+E74+E75+E76+E77+E78+E79+E80+E81+E82+E83+E84+E85+E86+E87+E88+E89+E90+E92</f>
        <v>6292000</v>
      </c>
      <c r="F66" s="234">
        <f>F67+F68+F69+F70+F71+F72+F73+F74+F75+F76+F77+F78+F79+F80+F81+F82+F83+F84+F85+F86+F87+F88+F89+F90+F92</f>
        <v>6292000</v>
      </c>
      <c r="G66" s="235"/>
    </row>
    <row r="67" spans="1:7" ht="41.4" hidden="1" x14ac:dyDescent="0.3">
      <c r="A67" s="232"/>
      <c r="B67" s="236" t="s">
        <v>206</v>
      </c>
      <c r="C67" s="205" t="s">
        <v>207</v>
      </c>
      <c r="D67" s="264"/>
      <c r="E67" s="255"/>
      <c r="F67" s="255"/>
      <c r="G67" s="306" t="s">
        <v>193</v>
      </c>
    </row>
    <row r="68" spans="1:7" ht="41.4" hidden="1" x14ac:dyDescent="0.3">
      <c r="A68" s="232"/>
      <c r="B68" s="236" t="s">
        <v>289</v>
      </c>
      <c r="C68" s="205" t="s">
        <v>390</v>
      </c>
      <c r="D68" s="264"/>
      <c r="E68" s="255"/>
      <c r="F68" s="255"/>
      <c r="G68" s="307"/>
    </row>
    <row r="69" spans="1:7" ht="55.2" hidden="1" x14ac:dyDescent="0.3">
      <c r="A69" s="232"/>
      <c r="B69" s="236" t="s">
        <v>208</v>
      </c>
      <c r="C69" s="205" t="s">
        <v>290</v>
      </c>
      <c r="D69" s="237"/>
      <c r="E69" s="237"/>
      <c r="F69" s="237"/>
      <c r="G69" s="307"/>
    </row>
    <row r="70" spans="1:7" ht="27.6" hidden="1" x14ac:dyDescent="0.3">
      <c r="A70" s="232"/>
      <c r="B70" s="236" t="s">
        <v>209</v>
      </c>
      <c r="C70" s="205" t="s">
        <v>361</v>
      </c>
      <c r="D70" s="237"/>
      <c r="E70" s="237"/>
      <c r="F70" s="237"/>
      <c r="G70" s="307"/>
    </row>
    <row r="71" spans="1:7" ht="55.2" x14ac:dyDescent="0.3">
      <c r="A71" s="232"/>
      <c r="B71" s="236" t="s">
        <v>210</v>
      </c>
      <c r="C71" s="205" t="s">
        <v>291</v>
      </c>
      <c r="D71" s="237">
        <f>207288-1675187</f>
        <v>-1467899</v>
      </c>
      <c r="E71" s="237"/>
      <c r="F71" s="237"/>
      <c r="G71" s="307"/>
    </row>
    <row r="72" spans="1:7" ht="27.6" hidden="1" x14ac:dyDescent="0.3">
      <c r="A72" s="232"/>
      <c r="B72" s="236" t="s">
        <v>211</v>
      </c>
      <c r="C72" s="205" t="s">
        <v>292</v>
      </c>
      <c r="D72" s="237"/>
      <c r="E72" s="237"/>
      <c r="F72" s="237"/>
      <c r="G72" s="307"/>
    </row>
    <row r="73" spans="1:7" ht="27.6" hidden="1" x14ac:dyDescent="0.3">
      <c r="A73" s="232"/>
      <c r="B73" s="236" t="s">
        <v>293</v>
      </c>
      <c r="C73" s="205" t="s">
        <v>294</v>
      </c>
      <c r="D73" s="237"/>
      <c r="E73" s="255"/>
      <c r="F73" s="255"/>
      <c r="G73" s="307"/>
    </row>
    <row r="74" spans="1:7" ht="27.6" x14ac:dyDescent="0.3">
      <c r="A74" s="232"/>
      <c r="B74" s="236" t="s">
        <v>212</v>
      </c>
      <c r="C74" s="205" t="s">
        <v>296</v>
      </c>
      <c r="D74" s="237">
        <v>-3002624</v>
      </c>
      <c r="E74" s="255"/>
      <c r="F74" s="255"/>
      <c r="G74" s="307"/>
    </row>
    <row r="75" spans="1:7" ht="41.4" hidden="1" x14ac:dyDescent="0.3">
      <c r="A75" s="232"/>
      <c r="B75" s="236" t="s">
        <v>213</v>
      </c>
      <c r="C75" s="205" t="s">
        <v>295</v>
      </c>
      <c r="D75" s="264"/>
      <c r="E75" s="264"/>
      <c r="F75" s="264"/>
      <c r="G75" s="307"/>
    </row>
    <row r="76" spans="1:7" ht="69" hidden="1" x14ac:dyDescent="0.3">
      <c r="A76" s="232"/>
      <c r="B76" s="236" t="s">
        <v>214</v>
      </c>
      <c r="C76" s="205" t="s">
        <v>215</v>
      </c>
      <c r="D76" s="237"/>
      <c r="E76" s="255"/>
      <c r="F76" s="255"/>
      <c r="G76" s="307"/>
    </row>
    <row r="77" spans="1:7" ht="27.6" hidden="1" x14ac:dyDescent="0.3">
      <c r="A77" s="232"/>
      <c r="B77" s="236" t="s">
        <v>216</v>
      </c>
      <c r="C77" s="205" t="s">
        <v>311</v>
      </c>
      <c r="D77" s="237"/>
      <c r="E77" s="237"/>
      <c r="F77" s="237"/>
      <c r="G77" s="307"/>
    </row>
    <row r="78" spans="1:7" ht="27.6" x14ac:dyDescent="0.3">
      <c r="A78" s="228"/>
      <c r="B78" s="265" t="s">
        <v>217</v>
      </c>
      <c r="C78" s="203" t="s">
        <v>218</v>
      </c>
      <c r="D78" s="254">
        <v>-4752</v>
      </c>
      <c r="E78" s="266"/>
      <c r="F78" s="266"/>
      <c r="G78" s="307"/>
    </row>
    <row r="79" spans="1:7" ht="41.4" hidden="1" x14ac:dyDescent="0.3">
      <c r="A79" s="228"/>
      <c r="B79" s="265" t="s">
        <v>358</v>
      </c>
      <c r="C79" s="203" t="s">
        <v>448</v>
      </c>
      <c r="D79" s="267"/>
      <c r="E79" s="267"/>
      <c r="F79" s="267"/>
      <c r="G79" s="307"/>
    </row>
    <row r="80" spans="1:7" ht="27.6" hidden="1" x14ac:dyDescent="0.3">
      <c r="A80" s="228"/>
      <c r="B80" s="265" t="s">
        <v>219</v>
      </c>
      <c r="C80" s="203" t="s">
        <v>220</v>
      </c>
      <c r="D80" s="267"/>
      <c r="E80" s="267"/>
      <c r="F80" s="267"/>
      <c r="G80" s="307"/>
    </row>
    <row r="81" spans="1:7" ht="27.6" hidden="1" x14ac:dyDescent="0.3">
      <c r="A81" s="228"/>
      <c r="B81" s="265" t="s">
        <v>221</v>
      </c>
      <c r="C81" s="203" t="s">
        <v>441</v>
      </c>
      <c r="D81" s="267"/>
      <c r="E81" s="267"/>
      <c r="F81" s="267"/>
      <c r="G81" s="307"/>
    </row>
    <row r="82" spans="1:7" ht="27.6" hidden="1" x14ac:dyDescent="0.3">
      <c r="A82" s="228"/>
      <c r="B82" s="265" t="s">
        <v>222</v>
      </c>
      <c r="C82" s="203" t="s">
        <v>447</v>
      </c>
      <c r="D82" s="267"/>
      <c r="E82" s="267"/>
      <c r="F82" s="267"/>
      <c r="G82" s="307"/>
    </row>
    <row r="83" spans="1:7" ht="27.6" hidden="1" x14ac:dyDescent="0.3">
      <c r="A83" s="228"/>
      <c r="B83" s="265" t="s">
        <v>223</v>
      </c>
      <c r="C83" s="203" t="s">
        <v>391</v>
      </c>
      <c r="D83" s="267"/>
      <c r="E83" s="267"/>
      <c r="F83" s="267"/>
      <c r="G83" s="307"/>
    </row>
    <row r="84" spans="1:7" ht="41.4" hidden="1" x14ac:dyDescent="0.3">
      <c r="A84" s="228"/>
      <c r="B84" s="265" t="s">
        <v>224</v>
      </c>
      <c r="C84" s="203" t="s">
        <v>446</v>
      </c>
      <c r="D84" s="267"/>
      <c r="E84" s="268"/>
      <c r="F84" s="268"/>
      <c r="G84" s="307"/>
    </row>
    <row r="85" spans="1:7" ht="55.2" hidden="1" x14ac:dyDescent="0.3">
      <c r="A85" s="228"/>
      <c r="B85" s="265" t="s">
        <v>298</v>
      </c>
      <c r="C85" s="203" t="s">
        <v>297</v>
      </c>
      <c r="D85" s="267"/>
      <c r="E85" s="266"/>
      <c r="F85" s="266"/>
      <c r="G85" s="307"/>
    </row>
    <row r="86" spans="1:7" ht="69" hidden="1" x14ac:dyDescent="0.3">
      <c r="A86" s="228"/>
      <c r="B86" s="265" t="s">
        <v>355</v>
      </c>
      <c r="C86" s="203" t="s">
        <v>354</v>
      </c>
      <c r="D86" s="267"/>
      <c r="E86" s="266"/>
      <c r="F86" s="266"/>
      <c r="G86" s="307"/>
    </row>
    <row r="87" spans="1:7" ht="73.5" hidden="1" customHeight="1" x14ac:dyDescent="0.3">
      <c r="A87" s="228"/>
      <c r="B87" s="229" t="s">
        <v>299</v>
      </c>
      <c r="C87" s="213" t="s">
        <v>300</v>
      </c>
      <c r="D87" s="267"/>
      <c r="E87" s="230"/>
      <c r="F87" s="230"/>
      <c r="G87" s="307"/>
    </row>
    <row r="88" spans="1:7" ht="55.2" hidden="1" x14ac:dyDescent="0.3">
      <c r="A88" s="228"/>
      <c r="B88" s="229" t="s">
        <v>225</v>
      </c>
      <c r="C88" s="213" t="s">
        <v>301</v>
      </c>
      <c r="D88" s="267"/>
      <c r="E88" s="230"/>
      <c r="F88" s="230"/>
      <c r="G88" s="307"/>
    </row>
    <row r="89" spans="1:7" ht="41.4" hidden="1" x14ac:dyDescent="0.3">
      <c r="A89" s="228"/>
      <c r="B89" s="265" t="s">
        <v>226</v>
      </c>
      <c r="C89" s="203" t="s">
        <v>227</v>
      </c>
      <c r="D89" s="267"/>
      <c r="E89" s="266"/>
      <c r="F89" s="266"/>
      <c r="G89" s="307"/>
    </row>
    <row r="90" spans="1:7" ht="27.6" hidden="1" x14ac:dyDescent="0.3">
      <c r="A90" s="228"/>
      <c r="B90" s="265" t="s">
        <v>228</v>
      </c>
      <c r="C90" s="203" t="s">
        <v>229</v>
      </c>
      <c r="D90" s="267"/>
      <c r="E90" s="230"/>
      <c r="F90" s="230"/>
      <c r="G90" s="307"/>
    </row>
    <row r="91" spans="1:7" ht="55.2" hidden="1" x14ac:dyDescent="0.3">
      <c r="A91" s="228"/>
      <c r="B91" s="269" t="s">
        <v>439</v>
      </c>
      <c r="C91" s="214" t="s">
        <v>440</v>
      </c>
      <c r="D91" s="267"/>
      <c r="E91" s="230"/>
      <c r="F91" s="230"/>
      <c r="G91" s="307"/>
    </row>
    <row r="92" spans="1:7" ht="41.4" x14ac:dyDescent="0.3">
      <c r="A92" s="228"/>
      <c r="B92" s="269" t="s">
        <v>492</v>
      </c>
      <c r="C92" s="214" t="s">
        <v>491</v>
      </c>
      <c r="D92" s="270">
        <f>251680+6040320</f>
        <v>6292000</v>
      </c>
      <c r="E92" s="271">
        <v>6292000</v>
      </c>
      <c r="F92" s="271">
        <v>6292000</v>
      </c>
      <c r="G92" s="308"/>
    </row>
    <row r="93" spans="1:7" ht="23.4" customHeight="1" x14ac:dyDescent="0.3">
      <c r="A93" s="246"/>
      <c r="B93" s="272" t="s">
        <v>230</v>
      </c>
      <c r="C93" s="207"/>
      <c r="D93" s="273">
        <f>D94+D121+D122</f>
        <v>78127933.329999998</v>
      </c>
      <c r="E93" s="273">
        <f t="shared" ref="E93:F93" si="2">E94+E119+E120+E122</f>
        <v>91044039</v>
      </c>
      <c r="F93" s="273">
        <f t="shared" si="2"/>
        <v>0</v>
      </c>
      <c r="G93" s="235"/>
    </row>
    <row r="94" spans="1:7" ht="43.2" x14ac:dyDescent="0.3">
      <c r="A94" s="274"/>
      <c r="B94" s="233" t="s">
        <v>231</v>
      </c>
      <c r="C94" s="204"/>
      <c r="D94" s="275">
        <f>D95+D96+D97+D98+D99+D100+D101+D102+D103+D104+D105+D106+D107+D108+D109+D110+D111+D112+D113+D114+D115+D116+D117+D118</f>
        <v>76194947</v>
      </c>
      <c r="E94" s="275">
        <f t="shared" ref="E94:F94" si="3">E95+E96+E97+E98+E99+E100+E101+E102+E103+E104+E105+E106+E107+E108+E109+E110+E111+E112+E113+E114+E115+E116+E117+E118</f>
        <v>91044039</v>
      </c>
      <c r="F94" s="275">
        <f t="shared" si="3"/>
        <v>0</v>
      </c>
      <c r="G94" s="235"/>
    </row>
    <row r="95" spans="1:7" ht="27.6" x14ac:dyDescent="0.3">
      <c r="A95" s="274"/>
      <c r="B95" s="276" t="s">
        <v>232</v>
      </c>
      <c r="C95" s="215" t="s">
        <v>233</v>
      </c>
      <c r="D95" s="255">
        <f>3624313+13180+3</f>
        <v>3637496</v>
      </c>
      <c r="E95" s="277"/>
      <c r="F95" s="277"/>
      <c r="G95" s="306" t="s">
        <v>312</v>
      </c>
    </row>
    <row r="96" spans="1:7" ht="41.4" x14ac:dyDescent="0.3">
      <c r="A96" s="278"/>
      <c r="B96" s="279" t="s">
        <v>234</v>
      </c>
      <c r="C96" s="216" t="s">
        <v>375</v>
      </c>
      <c r="D96" s="237">
        <f>274528+315554</f>
        <v>590082</v>
      </c>
      <c r="E96" s="277"/>
      <c r="F96" s="280"/>
      <c r="G96" s="309"/>
    </row>
    <row r="97" spans="1:7" ht="38.25" hidden="1" customHeight="1" x14ac:dyDescent="0.3">
      <c r="A97" s="274"/>
      <c r="B97" s="281" t="s">
        <v>235</v>
      </c>
      <c r="C97" s="217" t="s">
        <v>236</v>
      </c>
      <c r="D97" s="251"/>
      <c r="E97" s="282"/>
      <c r="F97" s="282"/>
      <c r="G97" s="309"/>
    </row>
    <row r="98" spans="1:7" ht="27.6" x14ac:dyDescent="0.3">
      <c r="A98" s="274"/>
      <c r="B98" s="276" t="s">
        <v>237</v>
      </c>
      <c r="C98" s="215" t="s">
        <v>238</v>
      </c>
      <c r="D98" s="237"/>
      <c r="E98" s="237">
        <f>60000000-6666667+6666667</f>
        <v>60000000</v>
      </c>
      <c r="F98" s="277"/>
      <c r="G98" s="309"/>
    </row>
    <row r="99" spans="1:7" ht="41.4" x14ac:dyDescent="0.3">
      <c r="A99" s="274"/>
      <c r="B99" s="276" t="s">
        <v>239</v>
      </c>
      <c r="C99" s="215" t="s">
        <v>240</v>
      </c>
      <c r="D99" s="237">
        <v>-20000</v>
      </c>
      <c r="E99" s="277"/>
      <c r="F99" s="277"/>
      <c r="G99" s="309"/>
    </row>
    <row r="100" spans="1:7" ht="27.6" x14ac:dyDescent="0.3">
      <c r="A100" s="228"/>
      <c r="B100" s="283" t="s">
        <v>241</v>
      </c>
      <c r="C100" s="218" t="s">
        <v>242</v>
      </c>
      <c r="D100" s="254">
        <f>-1000000+2476000</f>
        <v>1476000</v>
      </c>
      <c r="E100" s="277"/>
      <c r="F100" s="266"/>
      <c r="G100" s="309"/>
    </row>
    <row r="101" spans="1:7" ht="27.6" hidden="1" x14ac:dyDescent="0.3">
      <c r="A101" s="228"/>
      <c r="B101" s="283" t="s">
        <v>243</v>
      </c>
      <c r="C101" s="218" t="s">
        <v>244</v>
      </c>
      <c r="D101" s="254"/>
      <c r="E101" s="237"/>
      <c r="F101" s="266"/>
      <c r="G101" s="309"/>
    </row>
    <row r="102" spans="1:7" ht="41.4" hidden="1" x14ac:dyDescent="0.3">
      <c r="A102" s="228"/>
      <c r="B102" s="283" t="s">
        <v>245</v>
      </c>
      <c r="C102" s="218" t="s">
        <v>246</v>
      </c>
      <c r="D102" s="254"/>
      <c r="E102" s="237"/>
      <c r="F102" s="266"/>
      <c r="G102" s="309"/>
    </row>
    <row r="103" spans="1:7" ht="41.4" x14ac:dyDescent="0.3">
      <c r="A103" s="228"/>
      <c r="B103" s="283" t="s">
        <v>247</v>
      </c>
      <c r="C103" s="218" t="s">
        <v>392</v>
      </c>
      <c r="D103" s="254">
        <f>300000+190000</f>
        <v>490000</v>
      </c>
      <c r="E103" s="277"/>
      <c r="F103" s="277"/>
      <c r="G103" s="309"/>
    </row>
    <row r="104" spans="1:7" ht="41.4" hidden="1" x14ac:dyDescent="0.3">
      <c r="A104" s="228"/>
      <c r="B104" s="265" t="s">
        <v>248</v>
      </c>
      <c r="C104" s="203" t="s">
        <v>393</v>
      </c>
      <c r="D104" s="254"/>
      <c r="E104" s="277"/>
      <c r="F104" s="266"/>
      <c r="G104" s="309"/>
    </row>
    <row r="105" spans="1:7" ht="27.6" x14ac:dyDescent="0.3">
      <c r="A105" s="228"/>
      <c r="B105" s="265" t="s">
        <v>249</v>
      </c>
      <c r="C105" s="203" t="s">
        <v>250</v>
      </c>
      <c r="D105" s="254">
        <f>200000+1247000+1957574+500000+2500000+2000000-1788000</f>
        <v>6616574</v>
      </c>
      <c r="E105" s="277"/>
      <c r="F105" s="266"/>
      <c r="G105" s="309"/>
    </row>
    <row r="106" spans="1:7" ht="27.6" x14ac:dyDescent="0.3">
      <c r="A106" s="228"/>
      <c r="B106" s="265" t="s">
        <v>251</v>
      </c>
      <c r="C106" s="203" t="s">
        <v>252</v>
      </c>
      <c r="D106" s="254">
        <f>-1400000-600000+36350944+101163+1129550-1600000-603000</f>
        <v>33378657</v>
      </c>
      <c r="E106" s="277">
        <f>26296464+4510196+237379</f>
        <v>31044039</v>
      </c>
      <c r="F106" s="266"/>
      <c r="G106" s="309"/>
    </row>
    <row r="107" spans="1:7" ht="27.6" x14ac:dyDescent="0.3">
      <c r="A107" s="228"/>
      <c r="B107" s="265" t="s">
        <v>253</v>
      </c>
      <c r="C107" s="203" t="s">
        <v>254</v>
      </c>
      <c r="D107" s="254">
        <f>104000-55000</f>
        <v>49000</v>
      </c>
      <c r="E107" s="277"/>
      <c r="F107" s="266"/>
      <c r="G107" s="309"/>
    </row>
    <row r="108" spans="1:7" ht="63.75" hidden="1" customHeight="1" x14ac:dyDescent="0.3">
      <c r="A108" s="228"/>
      <c r="B108" s="284" t="s">
        <v>374</v>
      </c>
      <c r="C108" s="211" t="s">
        <v>373</v>
      </c>
      <c r="D108" s="252"/>
      <c r="E108" s="282"/>
      <c r="F108" s="262"/>
      <c r="G108" s="309"/>
    </row>
    <row r="109" spans="1:7" ht="55.2" hidden="1" x14ac:dyDescent="0.3">
      <c r="A109" s="228"/>
      <c r="B109" s="265" t="s">
        <v>255</v>
      </c>
      <c r="C109" s="203" t="s">
        <v>256</v>
      </c>
      <c r="D109" s="254"/>
      <c r="E109" s="277"/>
      <c r="F109" s="266"/>
      <c r="G109" s="309"/>
    </row>
    <row r="110" spans="1:7" ht="27.6" x14ac:dyDescent="0.3">
      <c r="A110" s="228"/>
      <c r="B110" s="265" t="s">
        <v>257</v>
      </c>
      <c r="C110" s="203" t="s">
        <v>394</v>
      </c>
      <c r="D110" s="254">
        <v>180000</v>
      </c>
      <c r="E110" s="277"/>
      <c r="F110" s="266"/>
      <c r="G110" s="309"/>
    </row>
    <row r="111" spans="1:7" ht="41.4" hidden="1" x14ac:dyDescent="0.3">
      <c r="A111" s="228"/>
      <c r="B111" s="265" t="s">
        <v>302</v>
      </c>
      <c r="C111" s="203" t="s">
        <v>258</v>
      </c>
      <c r="D111" s="254"/>
      <c r="E111" s="277"/>
      <c r="F111" s="266"/>
      <c r="G111" s="309"/>
    </row>
    <row r="112" spans="1:7" ht="27.6" hidden="1" x14ac:dyDescent="0.3">
      <c r="A112" s="228"/>
      <c r="B112" s="265" t="s">
        <v>259</v>
      </c>
      <c r="C112" s="203" t="s">
        <v>395</v>
      </c>
      <c r="D112" s="254"/>
      <c r="E112" s="277"/>
      <c r="F112" s="266"/>
      <c r="G112" s="309"/>
    </row>
    <row r="113" spans="1:7" ht="41.4" hidden="1" x14ac:dyDescent="0.3">
      <c r="A113" s="228"/>
      <c r="B113" s="265" t="s">
        <v>260</v>
      </c>
      <c r="C113" s="203" t="s">
        <v>261</v>
      </c>
      <c r="D113" s="254"/>
      <c r="E113" s="277"/>
      <c r="F113" s="266"/>
      <c r="G113" s="309"/>
    </row>
    <row r="114" spans="1:7" ht="51" hidden="1" customHeight="1" x14ac:dyDescent="0.3">
      <c r="A114" s="228"/>
      <c r="B114" s="284" t="s">
        <v>262</v>
      </c>
      <c r="C114" s="211" t="s">
        <v>263</v>
      </c>
      <c r="D114" s="252"/>
      <c r="E114" s="282"/>
      <c r="F114" s="262"/>
      <c r="G114" s="309"/>
    </row>
    <row r="115" spans="1:7" ht="41.4" x14ac:dyDescent="0.3">
      <c r="A115" s="228"/>
      <c r="B115" s="265" t="s">
        <v>264</v>
      </c>
      <c r="C115" s="203" t="s">
        <v>265</v>
      </c>
      <c r="D115" s="254">
        <f>30167138-450000</f>
        <v>29717138</v>
      </c>
      <c r="E115" s="277"/>
      <c r="F115" s="266"/>
      <c r="G115" s="309"/>
    </row>
    <row r="116" spans="1:7" ht="38.25" hidden="1" customHeight="1" x14ac:dyDescent="0.3">
      <c r="A116" s="228"/>
      <c r="B116" s="284" t="s">
        <v>370</v>
      </c>
      <c r="C116" s="211" t="s">
        <v>367</v>
      </c>
      <c r="D116" s="285"/>
      <c r="E116" s="262"/>
      <c r="F116" s="262"/>
      <c r="G116" s="310"/>
    </row>
    <row r="117" spans="1:7" ht="27.6" x14ac:dyDescent="0.3">
      <c r="A117" s="228"/>
      <c r="B117" s="265" t="s">
        <v>371</v>
      </c>
      <c r="C117" s="203" t="s">
        <v>368</v>
      </c>
      <c r="D117" s="267">
        <v>80000</v>
      </c>
      <c r="E117" s="266"/>
      <c r="F117" s="266"/>
      <c r="G117" s="310"/>
    </row>
    <row r="118" spans="1:7" ht="24.75" hidden="1" customHeight="1" x14ac:dyDescent="0.3">
      <c r="A118" s="228"/>
      <c r="B118" s="265" t="s">
        <v>372</v>
      </c>
      <c r="C118" s="203" t="s">
        <v>369</v>
      </c>
      <c r="D118" s="267"/>
      <c r="E118" s="266"/>
      <c r="F118" s="266"/>
      <c r="G118" s="311"/>
    </row>
    <row r="119" spans="1:7" ht="36" hidden="1" customHeight="1" x14ac:dyDescent="0.3">
      <c r="A119" s="228"/>
      <c r="B119" s="286" t="s">
        <v>305</v>
      </c>
      <c r="C119" s="219" t="s">
        <v>303</v>
      </c>
      <c r="D119" s="287"/>
      <c r="E119" s="288"/>
      <c r="F119" s="288"/>
      <c r="G119" s="324" t="s">
        <v>193</v>
      </c>
    </row>
    <row r="120" spans="1:7" ht="38.25" hidden="1" customHeight="1" x14ac:dyDescent="0.3">
      <c r="A120" s="228"/>
      <c r="B120" s="286" t="s">
        <v>306</v>
      </c>
      <c r="C120" s="219" t="s">
        <v>304</v>
      </c>
      <c r="D120" s="287"/>
      <c r="E120" s="288"/>
      <c r="F120" s="288"/>
      <c r="G120" s="325"/>
    </row>
    <row r="121" spans="1:7" ht="72" x14ac:dyDescent="0.3">
      <c r="A121" s="228"/>
      <c r="B121" s="289" t="s">
        <v>486</v>
      </c>
      <c r="C121" s="220" t="s">
        <v>485</v>
      </c>
      <c r="D121" s="290">
        <f>36986.33+100000</f>
        <v>136986.33000000002</v>
      </c>
      <c r="E121" s="291"/>
      <c r="F121" s="291"/>
      <c r="G121" s="292"/>
    </row>
    <row r="122" spans="1:7" ht="27.6" x14ac:dyDescent="0.3">
      <c r="A122" s="228"/>
      <c r="B122" s="293" t="s">
        <v>266</v>
      </c>
      <c r="C122" s="221" t="s">
        <v>267</v>
      </c>
      <c r="D122" s="294">
        <f>D123+D124+D125+D126+D127+D128+D129+D130</f>
        <v>1796000</v>
      </c>
      <c r="E122" s="294">
        <f>E123+E124+E125+E126+E127+E128+E129+E130</f>
        <v>0</v>
      </c>
      <c r="F122" s="294">
        <f>F123+F124+F125+F126+F127+F128+F129+F130</f>
        <v>0</v>
      </c>
      <c r="G122" s="258"/>
    </row>
    <row r="123" spans="1:7" ht="69" x14ac:dyDescent="0.3">
      <c r="A123" s="228"/>
      <c r="B123" s="265" t="s">
        <v>268</v>
      </c>
      <c r="C123" s="203" t="s">
        <v>269</v>
      </c>
      <c r="D123" s="254">
        <v>296000</v>
      </c>
      <c r="E123" s="266"/>
      <c r="F123" s="266"/>
      <c r="G123" s="236" t="s">
        <v>193</v>
      </c>
    </row>
    <row r="124" spans="1:7" ht="41.4" x14ac:dyDescent="0.3">
      <c r="A124" s="228"/>
      <c r="B124" s="265" t="s">
        <v>309</v>
      </c>
      <c r="C124" s="203" t="s">
        <v>307</v>
      </c>
      <c r="D124" s="254">
        <v>1500000</v>
      </c>
      <c r="E124" s="266"/>
      <c r="F124" s="266"/>
      <c r="G124" s="312" t="s">
        <v>193</v>
      </c>
    </row>
    <row r="125" spans="1:7" ht="25.5" hidden="1" customHeight="1" x14ac:dyDescent="0.3">
      <c r="A125" s="228"/>
      <c r="B125" s="284" t="s">
        <v>270</v>
      </c>
      <c r="C125" s="211" t="s">
        <v>271</v>
      </c>
      <c r="D125" s="285"/>
      <c r="E125" s="262"/>
      <c r="F125" s="262"/>
      <c r="G125" s="313"/>
    </row>
    <row r="126" spans="1:7" ht="55.2" hidden="1" x14ac:dyDescent="0.3">
      <c r="A126" s="228"/>
      <c r="B126" s="265" t="s">
        <v>272</v>
      </c>
      <c r="C126" s="203" t="s">
        <v>396</v>
      </c>
      <c r="D126" s="267"/>
      <c r="E126" s="267"/>
      <c r="F126" s="267"/>
      <c r="G126" s="313"/>
    </row>
    <row r="127" spans="1:7" ht="27.6" hidden="1" x14ac:dyDescent="0.3">
      <c r="A127" s="228"/>
      <c r="B127" s="265" t="s">
        <v>310</v>
      </c>
      <c r="C127" s="203" t="s">
        <v>308</v>
      </c>
      <c r="D127" s="267"/>
      <c r="E127" s="267"/>
      <c r="F127" s="267"/>
      <c r="G127" s="313"/>
    </row>
    <row r="128" spans="1:7" ht="27.6" hidden="1" x14ac:dyDescent="0.3">
      <c r="A128" s="228"/>
      <c r="B128" s="265" t="s">
        <v>363</v>
      </c>
      <c r="C128" s="203" t="s">
        <v>362</v>
      </c>
      <c r="D128" s="267"/>
      <c r="E128" s="266"/>
      <c r="F128" s="266"/>
      <c r="G128" s="314"/>
    </row>
    <row r="129" spans="1:7" ht="41.4" hidden="1" x14ac:dyDescent="0.3">
      <c r="A129" s="228"/>
      <c r="B129" s="265" t="s">
        <v>365</v>
      </c>
      <c r="C129" s="203" t="s">
        <v>364</v>
      </c>
      <c r="D129" s="267"/>
      <c r="E129" s="266"/>
      <c r="F129" s="266"/>
      <c r="G129" s="314"/>
    </row>
    <row r="130" spans="1:7" ht="54" hidden="1" customHeight="1" x14ac:dyDescent="0.3">
      <c r="A130" s="228"/>
      <c r="B130" s="269" t="s">
        <v>454</v>
      </c>
      <c r="C130" s="214" t="s">
        <v>455</v>
      </c>
      <c r="D130" s="267"/>
      <c r="E130" s="267"/>
      <c r="F130" s="267"/>
      <c r="G130" s="314"/>
    </row>
    <row r="131" spans="1:7" x14ac:dyDescent="0.3">
      <c r="A131" s="295"/>
      <c r="B131" s="296" t="s">
        <v>273</v>
      </c>
      <c r="C131" s="297"/>
      <c r="D131" s="298">
        <f>D7+D27</f>
        <v>151163799.75</v>
      </c>
      <c r="E131" s="298">
        <f>E7+E27</f>
        <v>97336039</v>
      </c>
      <c r="F131" s="298">
        <f>F7+F27</f>
        <v>6292000</v>
      </c>
      <c r="G131" s="315"/>
    </row>
    <row r="133" spans="1:7" x14ac:dyDescent="0.3">
      <c r="D133" s="256"/>
    </row>
  </sheetData>
  <mergeCells count="15">
    <mergeCell ref="G67:G92"/>
    <mergeCell ref="G95:G118"/>
    <mergeCell ref="G30:G36"/>
    <mergeCell ref="G124:G131"/>
    <mergeCell ref="A1:G1"/>
    <mergeCell ref="A2:G2"/>
    <mergeCell ref="A4:G4"/>
    <mergeCell ref="A5:A6"/>
    <mergeCell ref="B5:B6"/>
    <mergeCell ref="G5:G6"/>
    <mergeCell ref="G119:G120"/>
    <mergeCell ref="G10:G15"/>
    <mergeCell ref="G40:G60"/>
    <mergeCell ref="G18:G19"/>
    <mergeCell ref="B3:G3"/>
  </mergeCells>
  <pageMargins left="0.31496062992125984" right="0.11811023622047245" top="0.35433070866141736" bottom="0.35433070866141736" header="0" footer="0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55"/>
  <sheetViews>
    <sheetView tabSelected="1" zoomScale="71" zoomScaleNormal="71" workbookViewId="0">
      <selection activeCell="J206" sqref="J206"/>
    </sheetView>
  </sheetViews>
  <sheetFormatPr defaultColWidth="9.109375" defaultRowHeight="13.8" x14ac:dyDescent="0.25"/>
  <cols>
    <col min="1" max="1" width="83.109375" style="40" customWidth="1"/>
    <col min="2" max="2" width="9.6640625" style="13" customWidth="1"/>
    <col min="3" max="3" width="16.5546875" style="14" customWidth="1"/>
    <col min="4" max="4" width="18.33203125" style="14" customWidth="1"/>
    <col min="5" max="5" width="15.6640625" style="13" customWidth="1"/>
    <col min="6" max="6" width="19.6640625" style="14" customWidth="1"/>
    <col min="7" max="7" width="15.88671875" style="14" customWidth="1"/>
    <col min="8" max="8" width="19.6640625" style="13" customWidth="1"/>
    <col min="9" max="9" width="14.6640625" style="14" customWidth="1"/>
    <col min="10" max="10" width="16.6640625" style="14" customWidth="1"/>
    <col min="11" max="11" width="12.6640625" style="13" customWidth="1"/>
    <col min="12" max="12" width="17.109375" style="14" customWidth="1"/>
    <col min="13" max="13" width="14.88671875" style="14" customWidth="1"/>
    <col min="14" max="14" width="17.44140625" style="14" customWidth="1"/>
    <col min="15" max="15" width="60.6640625" style="191" hidden="1" customWidth="1"/>
    <col min="16" max="16" width="13.77734375" style="15" hidden="1" customWidth="1"/>
    <col min="17" max="16384" width="9.109375" style="12"/>
  </cols>
  <sheetData>
    <row r="1" spans="1:17" ht="15.6" x14ac:dyDescent="0.3">
      <c r="A1" s="327" t="s">
        <v>512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</row>
    <row r="2" spans="1:17" ht="8.4" customHeight="1" thickBot="1" x14ac:dyDescent="0.3"/>
    <row r="3" spans="1:17" x14ac:dyDescent="0.25">
      <c r="A3" s="333" t="s">
        <v>564</v>
      </c>
      <c r="B3" s="333" t="s">
        <v>103</v>
      </c>
      <c r="C3" s="328" t="s">
        <v>105</v>
      </c>
      <c r="D3" s="329"/>
      <c r="E3" s="330"/>
      <c r="F3" s="328" t="s">
        <v>104</v>
      </c>
      <c r="G3" s="329"/>
      <c r="H3" s="330"/>
      <c r="I3" s="328" t="s">
        <v>106</v>
      </c>
      <c r="J3" s="329"/>
      <c r="K3" s="330"/>
      <c r="L3" s="335" t="s">
        <v>315</v>
      </c>
      <c r="M3" s="131" t="s">
        <v>400</v>
      </c>
      <c r="N3" s="55" t="s">
        <v>401</v>
      </c>
      <c r="O3" s="331" t="s">
        <v>109</v>
      </c>
    </row>
    <row r="4" spans="1:17" ht="28.2" thickBot="1" x14ac:dyDescent="0.3">
      <c r="A4" s="334"/>
      <c r="B4" s="334"/>
      <c r="C4" s="74" t="s">
        <v>110</v>
      </c>
      <c r="D4" s="16" t="s">
        <v>111</v>
      </c>
      <c r="E4" s="75" t="s">
        <v>107</v>
      </c>
      <c r="F4" s="74" t="s">
        <v>110</v>
      </c>
      <c r="G4" s="16" t="s">
        <v>112</v>
      </c>
      <c r="H4" s="75" t="s">
        <v>107</v>
      </c>
      <c r="I4" s="74" t="s">
        <v>110</v>
      </c>
      <c r="J4" s="16" t="s">
        <v>111</v>
      </c>
      <c r="K4" s="75" t="s">
        <v>107</v>
      </c>
      <c r="L4" s="336"/>
      <c r="M4" s="16" t="s">
        <v>112</v>
      </c>
      <c r="N4" s="16" t="s">
        <v>112</v>
      </c>
      <c r="O4" s="332"/>
    </row>
    <row r="5" spans="1:17" ht="28.2" thickBot="1" x14ac:dyDescent="0.3">
      <c r="A5" s="158" t="s">
        <v>1</v>
      </c>
      <c r="B5" s="76" t="s">
        <v>0</v>
      </c>
      <c r="C5" s="76">
        <f>C6+C14+C17</f>
        <v>0</v>
      </c>
      <c r="D5" s="43">
        <f>D6+D14+D17</f>
        <v>10674542.33</v>
      </c>
      <c r="E5" s="77">
        <v>1</v>
      </c>
      <c r="F5" s="76">
        <f>F6+F14+F17</f>
        <v>18867579</v>
      </c>
      <c r="G5" s="43">
        <f>G6+G14+G17</f>
        <v>3975141.1</v>
      </c>
      <c r="H5" s="77">
        <f>G5/F5</f>
        <v>0.21068633659888214</v>
      </c>
      <c r="I5" s="76">
        <f>I6+I14+I17</f>
        <v>479800</v>
      </c>
      <c r="J5" s="43">
        <f>J6+J14+J17</f>
        <v>570000</v>
      </c>
      <c r="K5" s="77">
        <v>1</v>
      </c>
      <c r="L5" s="118">
        <f>D5+G5+J5</f>
        <v>15219683.43</v>
      </c>
      <c r="M5" s="76">
        <f>M6+M14+M17</f>
        <v>0</v>
      </c>
      <c r="N5" s="46">
        <f>N6+N14+N17</f>
        <v>0</v>
      </c>
      <c r="O5" s="192"/>
    </row>
    <row r="6" spans="1:17" ht="19.2" customHeight="1" x14ac:dyDescent="0.25">
      <c r="A6" s="159" t="s">
        <v>3</v>
      </c>
      <c r="B6" s="133" t="s">
        <v>2</v>
      </c>
      <c r="C6" s="78">
        <f>SUM(C8:C12)</f>
        <v>0</v>
      </c>
      <c r="D6" s="44">
        <f>SUM(D7:D13)</f>
        <v>2991766</v>
      </c>
      <c r="E6" s="79">
        <v>1</v>
      </c>
      <c r="F6" s="78">
        <f>SUM(F8:F13)</f>
        <v>9477945</v>
      </c>
      <c r="G6" s="44">
        <f>SUM(G8:G13)</f>
        <v>15000</v>
      </c>
      <c r="H6" s="79">
        <f>G6/F6</f>
        <v>1.5826215492915395E-3</v>
      </c>
      <c r="I6" s="78">
        <f>SUM(I8:I12)</f>
        <v>0</v>
      </c>
      <c r="J6" s="44">
        <f>SUM(J8:J12)</f>
        <v>0</v>
      </c>
      <c r="K6" s="79">
        <v>0</v>
      </c>
      <c r="L6" s="119">
        <f>D6+G6+J6</f>
        <v>3006766</v>
      </c>
      <c r="M6" s="78">
        <f>SUM(M8:M12)</f>
        <v>0</v>
      </c>
      <c r="N6" s="56">
        <f>SUM(N8:N12)</f>
        <v>0</v>
      </c>
      <c r="O6" s="51"/>
    </row>
    <row r="7" spans="1:17" ht="41.4" x14ac:dyDescent="0.25">
      <c r="A7" s="160" t="s">
        <v>505</v>
      </c>
      <c r="B7" s="134"/>
      <c r="C7" s="80">
        <v>0</v>
      </c>
      <c r="D7" s="36">
        <v>790000</v>
      </c>
      <c r="E7" s="81">
        <v>1</v>
      </c>
      <c r="F7" s="80">
        <v>0</v>
      </c>
      <c r="G7" s="18">
        <v>0</v>
      </c>
      <c r="H7" s="81">
        <v>0</v>
      </c>
      <c r="I7" s="80">
        <v>0</v>
      </c>
      <c r="J7" s="18">
        <v>0</v>
      </c>
      <c r="K7" s="81">
        <v>0</v>
      </c>
      <c r="L7" s="120">
        <f t="shared" ref="L7" si="0">D7+G7+J7</f>
        <v>790000</v>
      </c>
      <c r="M7" s="80">
        <v>0</v>
      </c>
      <c r="N7" s="57">
        <v>0</v>
      </c>
      <c r="O7" s="301" t="s">
        <v>565</v>
      </c>
    </row>
    <row r="8" spans="1:17" hidden="1" x14ac:dyDescent="0.25">
      <c r="A8" s="160" t="s">
        <v>377</v>
      </c>
      <c r="B8" s="134"/>
      <c r="C8" s="82">
        <v>0</v>
      </c>
      <c r="D8" s="17">
        <v>0</v>
      </c>
      <c r="E8" s="83">
        <v>0</v>
      </c>
      <c r="F8" s="82">
        <v>0</v>
      </c>
      <c r="G8" s="17"/>
      <c r="H8" s="81" t="e">
        <f t="shared" ref="H8:H13" si="1">G8/F8</f>
        <v>#DIV/0!</v>
      </c>
      <c r="I8" s="82"/>
      <c r="J8" s="17"/>
      <c r="K8" s="83">
        <v>0</v>
      </c>
      <c r="L8" s="121">
        <f>D8+G8+J8</f>
        <v>0</v>
      </c>
      <c r="M8" s="82"/>
      <c r="N8" s="58"/>
      <c r="O8" s="51"/>
    </row>
    <row r="9" spans="1:17" x14ac:dyDescent="0.25">
      <c r="A9" s="160" t="s">
        <v>566</v>
      </c>
      <c r="B9" s="135"/>
      <c r="C9" s="80">
        <v>0</v>
      </c>
      <c r="D9" s="18">
        <v>2201766</v>
      </c>
      <c r="E9" s="81">
        <v>1</v>
      </c>
      <c r="F9" s="80">
        <v>0</v>
      </c>
      <c r="G9" s="18">
        <v>-160000</v>
      </c>
      <c r="H9" s="81">
        <v>0</v>
      </c>
      <c r="I9" s="80">
        <v>0</v>
      </c>
      <c r="J9" s="18">
        <v>0</v>
      </c>
      <c r="K9" s="81">
        <v>0</v>
      </c>
      <c r="L9" s="120">
        <f t="shared" ref="L9" si="2">D9+G9+J9</f>
        <v>2041766</v>
      </c>
      <c r="M9" s="80">
        <v>0</v>
      </c>
      <c r="N9" s="57">
        <v>0</v>
      </c>
      <c r="O9" s="51" t="s">
        <v>578</v>
      </c>
    </row>
    <row r="10" spans="1:17" hidden="1" x14ac:dyDescent="0.25">
      <c r="A10" s="160" t="s">
        <v>475</v>
      </c>
      <c r="B10" s="134"/>
      <c r="C10" s="82">
        <v>0</v>
      </c>
      <c r="D10" s="17">
        <v>0</v>
      </c>
      <c r="E10" s="83">
        <v>1</v>
      </c>
      <c r="F10" s="82">
        <v>0</v>
      </c>
      <c r="G10" s="17"/>
      <c r="H10" s="81" t="e">
        <f t="shared" si="1"/>
        <v>#DIV/0!</v>
      </c>
      <c r="I10" s="82">
        <v>0</v>
      </c>
      <c r="J10" s="17">
        <v>0</v>
      </c>
      <c r="K10" s="83">
        <v>0</v>
      </c>
      <c r="L10" s="121">
        <f t="shared" ref="L10:L13" si="3">D10+G10+J10</f>
        <v>0</v>
      </c>
      <c r="M10" s="82">
        <v>0</v>
      </c>
      <c r="N10" s="58">
        <v>0</v>
      </c>
      <c r="O10" s="51"/>
    </row>
    <row r="11" spans="1:17" ht="27.6" hidden="1" x14ac:dyDescent="0.25">
      <c r="A11" s="160" t="s">
        <v>430</v>
      </c>
      <c r="B11" s="134"/>
      <c r="C11" s="82">
        <v>0</v>
      </c>
      <c r="D11" s="17">
        <v>0</v>
      </c>
      <c r="E11" s="83">
        <v>1</v>
      </c>
      <c r="F11" s="82">
        <v>0</v>
      </c>
      <c r="G11" s="17">
        <v>0</v>
      </c>
      <c r="H11" s="81" t="e">
        <f t="shared" si="1"/>
        <v>#DIV/0!</v>
      </c>
      <c r="I11" s="82">
        <v>0</v>
      </c>
      <c r="J11" s="17">
        <v>0</v>
      </c>
      <c r="K11" s="83">
        <v>0</v>
      </c>
      <c r="L11" s="121">
        <f t="shared" si="3"/>
        <v>0</v>
      </c>
      <c r="M11" s="82">
        <v>0</v>
      </c>
      <c r="N11" s="58">
        <v>0</v>
      </c>
      <c r="O11" s="51"/>
    </row>
    <row r="12" spans="1:17" x14ac:dyDescent="0.25">
      <c r="A12" s="160" t="s">
        <v>338</v>
      </c>
      <c r="B12" s="134"/>
      <c r="C12" s="80">
        <v>0</v>
      </c>
      <c r="D12" s="18">
        <v>0</v>
      </c>
      <c r="E12" s="81">
        <v>0</v>
      </c>
      <c r="F12" s="87">
        <v>0</v>
      </c>
      <c r="G12" s="18">
        <v>0</v>
      </c>
      <c r="H12" s="81">
        <v>0</v>
      </c>
      <c r="I12" s="80">
        <v>0</v>
      </c>
      <c r="J12" s="36">
        <v>0</v>
      </c>
      <c r="K12" s="81">
        <v>0</v>
      </c>
      <c r="L12" s="120">
        <f t="shared" si="3"/>
        <v>0</v>
      </c>
      <c r="M12" s="80">
        <v>0</v>
      </c>
      <c r="N12" s="57">
        <v>0</v>
      </c>
      <c r="O12" s="51"/>
    </row>
    <row r="13" spans="1:17" x14ac:dyDescent="0.25">
      <c r="A13" s="160" t="s">
        <v>379</v>
      </c>
      <c r="B13" s="134"/>
      <c r="C13" s="80">
        <v>0</v>
      </c>
      <c r="D13" s="18">
        <v>0</v>
      </c>
      <c r="E13" s="81">
        <v>0</v>
      </c>
      <c r="F13" s="87">
        <v>9477945</v>
      </c>
      <c r="G13" s="18">
        <f>175000</f>
        <v>175000</v>
      </c>
      <c r="H13" s="81">
        <f t="shared" si="1"/>
        <v>1.8463918075067962E-2</v>
      </c>
      <c r="I13" s="80">
        <v>0</v>
      </c>
      <c r="J13" s="18">
        <v>0</v>
      </c>
      <c r="K13" s="81">
        <v>0</v>
      </c>
      <c r="L13" s="120">
        <f t="shared" si="3"/>
        <v>175000</v>
      </c>
      <c r="M13" s="80">
        <v>0</v>
      </c>
      <c r="N13" s="57">
        <v>0</v>
      </c>
      <c r="O13" s="51" t="s">
        <v>579</v>
      </c>
    </row>
    <row r="14" spans="1:17" ht="43.2" x14ac:dyDescent="0.25">
      <c r="A14" s="161" t="s">
        <v>5</v>
      </c>
      <c r="B14" s="133" t="s">
        <v>4</v>
      </c>
      <c r="C14" s="85">
        <f>C15</f>
        <v>0</v>
      </c>
      <c r="D14" s="45">
        <f>D15+D16</f>
        <v>0</v>
      </c>
      <c r="E14" s="60">
        <f t="shared" ref="E14:N14" si="4">E15+E16</f>
        <v>0</v>
      </c>
      <c r="F14" s="85">
        <f t="shared" si="4"/>
        <v>0</v>
      </c>
      <c r="G14" s="45">
        <f t="shared" si="4"/>
        <v>75000</v>
      </c>
      <c r="H14" s="60">
        <f t="shared" si="4"/>
        <v>0</v>
      </c>
      <c r="I14" s="85">
        <f t="shared" si="4"/>
        <v>279800</v>
      </c>
      <c r="J14" s="45">
        <f t="shared" si="4"/>
        <v>80000</v>
      </c>
      <c r="K14" s="60">
        <f t="shared" si="4"/>
        <v>2</v>
      </c>
      <c r="L14" s="126">
        <f t="shared" si="4"/>
        <v>155000</v>
      </c>
      <c r="M14" s="85">
        <f t="shared" si="4"/>
        <v>0</v>
      </c>
      <c r="N14" s="60">
        <f t="shared" si="4"/>
        <v>0</v>
      </c>
      <c r="O14" s="51"/>
    </row>
    <row r="15" spans="1:17" hidden="1" x14ac:dyDescent="0.25">
      <c r="A15" s="160" t="s">
        <v>140</v>
      </c>
      <c r="B15" s="134"/>
      <c r="C15" s="82">
        <v>0</v>
      </c>
      <c r="D15" s="17">
        <v>0</v>
      </c>
      <c r="E15" s="83">
        <v>0</v>
      </c>
      <c r="F15" s="82">
        <v>0</v>
      </c>
      <c r="G15" s="17">
        <v>0</v>
      </c>
      <c r="H15" s="83">
        <v>0</v>
      </c>
      <c r="I15" s="82">
        <v>0</v>
      </c>
      <c r="J15" s="20"/>
      <c r="K15" s="83">
        <v>1</v>
      </c>
      <c r="L15" s="121">
        <f>D15+G15+J15</f>
        <v>0</v>
      </c>
      <c r="M15" s="82">
        <v>0</v>
      </c>
      <c r="N15" s="58">
        <v>0</v>
      </c>
      <c r="O15" s="51"/>
    </row>
    <row r="16" spans="1:17" s="33" customFormat="1" x14ac:dyDescent="0.25">
      <c r="A16" s="160" t="s">
        <v>482</v>
      </c>
      <c r="B16" s="135"/>
      <c r="C16" s="80">
        <v>0</v>
      </c>
      <c r="D16" s="18">
        <v>0</v>
      </c>
      <c r="E16" s="81">
        <v>0</v>
      </c>
      <c r="F16" s="80">
        <v>0</v>
      </c>
      <c r="G16" s="18">
        <v>75000</v>
      </c>
      <c r="H16" s="81">
        <v>0</v>
      </c>
      <c r="I16" s="80">
        <v>279800</v>
      </c>
      <c r="J16" s="36">
        <v>80000</v>
      </c>
      <c r="K16" s="81">
        <v>1</v>
      </c>
      <c r="L16" s="120">
        <f>D16+G16+J16</f>
        <v>155000</v>
      </c>
      <c r="M16" s="80">
        <v>0</v>
      </c>
      <c r="N16" s="57">
        <v>0</v>
      </c>
      <c r="O16" s="51" t="s">
        <v>580</v>
      </c>
      <c r="P16" s="304"/>
    </row>
    <row r="17" spans="1:16" ht="28.8" x14ac:dyDescent="0.25">
      <c r="A17" s="161" t="s">
        <v>7</v>
      </c>
      <c r="B17" s="133" t="s">
        <v>6</v>
      </c>
      <c r="C17" s="85">
        <f>SUM(C18:C30)</f>
        <v>0</v>
      </c>
      <c r="D17" s="45">
        <f>SUM(D18:D30)</f>
        <v>7682776.3300000001</v>
      </c>
      <c r="E17" s="86">
        <v>1</v>
      </c>
      <c r="F17" s="85">
        <f>SUM(F18:F30)</f>
        <v>9389634</v>
      </c>
      <c r="G17" s="45">
        <f>SUM(G18:G30)</f>
        <v>3885141.1</v>
      </c>
      <c r="H17" s="86">
        <f>G17/F17</f>
        <v>0.4137691735375415</v>
      </c>
      <c r="I17" s="85">
        <f>SUM(I18:I30)</f>
        <v>200000</v>
      </c>
      <c r="J17" s="45">
        <f>SUM(J18:J30)</f>
        <v>490000</v>
      </c>
      <c r="K17" s="86">
        <v>1</v>
      </c>
      <c r="L17" s="119">
        <f>D17+G17+J17</f>
        <v>12057917.43</v>
      </c>
      <c r="M17" s="85">
        <f>SUM(M18:M30)</f>
        <v>0</v>
      </c>
      <c r="N17" s="60">
        <f>SUM(N18:N30)</f>
        <v>0</v>
      </c>
      <c r="O17" s="303"/>
    </row>
    <row r="18" spans="1:16" ht="110.4" x14ac:dyDescent="0.25">
      <c r="A18" s="160" t="s">
        <v>351</v>
      </c>
      <c r="B18" s="135"/>
      <c r="C18" s="80">
        <v>0</v>
      </c>
      <c r="D18" s="36">
        <f>4000000+1000000+21750</f>
        <v>5021750</v>
      </c>
      <c r="E18" s="81">
        <v>1</v>
      </c>
      <c r="F18" s="80">
        <v>0</v>
      </c>
      <c r="G18" s="18">
        <v>0</v>
      </c>
      <c r="H18" s="81">
        <v>0</v>
      </c>
      <c r="I18" s="80">
        <v>0</v>
      </c>
      <c r="J18" s="18">
        <v>0</v>
      </c>
      <c r="K18" s="81">
        <v>0</v>
      </c>
      <c r="L18" s="120">
        <f t="shared" ref="L18:L30" si="5">D18+G18+J18</f>
        <v>5021750</v>
      </c>
      <c r="M18" s="80">
        <v>0</v>
      </c>
      <c r="N18" s="57">
        <v>0</v>
      </c>
      <c r="O18" s="301" t="s">
        <v>581</v>
      </c>
      <c r="P18" s="305">
        <f>L6+L14+L17</f>
        <v>15219683.43</v>
      </c>
    </row>
    <row r="19" spans="1:16" hidden="1" x14ac:dyDescent="0.25">
      <c r="A19" s="160" t="s">
        <v>476</v>
      </c>
      <c r="B19" s="134"/>
      <c r="C19" s="82">
        <v>0</v>
      </c>
      <c r="D19" s="17">
        <v>0</v>
      </c>
      <c r="E19" s="83">
        <v>0</v>
      </c>
      <c r="F19" s="82">
        <v>0</v>
      </c>
      <c r="G19" s="17"/>
      <c r="H19" s="83">
        <v>1</v>
      </c>
      <c r="I19" s="82">
        <v>0</v>
      </c>
      <c r="J19" s="17">
        <v>0</v>
      </c>
      <c r="K19" s="83">
        <v>0</v>
      </c>
      <c r="L19" s="121">
        <f t="shared" ref="L19" si="6">D19+G19+J19</f>
        <v>0</v>
      </c>
      <c r="M19" s="82">
        <v>0</v>
      </c>
      <c r="N19" s="58">
        <v>0</v>
      </c>
      <c r="O19" s="51"/>
    </row>
    <row r="20" spans="1:16" hidden="1" x14ac:dyDescent="0.25">
      <c r="A20" s="160" t="s">
        <v>385</v>
      </c>
      <c r="B20" s="134"/>
      <c r="C20" s="82">
        <v>0</v>
      </c>
      <c r="D20" s="17">
        <v>0</v>
      </c>
      <c r="E20" s="83">
        <v>1</v>
      </c>
      <c r="F20" s="82">
        <v>0</v>
      </c>
      <c r="G20" s="17"/>
      <c r="H20" s="83">
        <v>0</v>
      </c>
      <c r="I20" s="82">
        <v>0</v>
      </c>
      <c r="J20" s="17">
        <v>0</v>
      </c>
      <c r="K20" s="83">
        <v>0</v>
      </c>
      <c r="L20" s="121">
        <f t="shared" si="5"/>
        <v>0</v>
      </c>
      <c r="M20" s="82">
        <v>0</v>
      </c>
      <c r="N20" s="58">
        <v>0</v>
      </c>
      <c r="O20" s="51"/>
    </row>
    <row r="21" spans="1:16" hidden="1" x14ac:dyDescent="0.25">
      <c r="A21" s="160" t="s">
        <v>121</v>
      </c>
      <c r="B21" s="134"/>
      <c r="C21" s="82">
        <v>0</v>
      </c>
      <c r="D21" s="17">
        <v>0</v>
      </c>
      <c r="E21" s="83">
        <v>1</v>
      </c>
      <c r="F21" s="82">
        <v>0</v>
      </c>
      <c r="G21" s="17"/>
      <c r="H21" s="83">
        <v>0</v>
      </c>
      <c r="I21" s="82">
        <v>0</v>
      </c>
      <c r="J21" s="17">
        <v>0</v>
      </c>
      <c r="K21" s="83">
        <v>0</v>
      </c>
      <c r="L21" s="121">
        <f t="shared" si="5"/>
        <v>0</v>
      </c>
      <c r="M21" s="82">
        <v>0</v>
      </c>
      <c r="N21" s="58">
        <v>0</v>
      </c>
      <c r="O21" s="51"/>
    </row>
    <row r="22" spans="1:16" ht="27.6" x14ac:dyDescent="0.25">
      <c r="A22" s="160" t="s">
        <v>503</v>
      </c>
      <c r="B22" s="134"/>
      <c r="C22" s="80">
        <v>0</v>
      </c>
      <c r="D22" s="18">
        <v>872634</v>
      </c>
      <c r="E22" s="81">
        <v>1</v>
      </c>
      <c r="F22" s="80">
        <v>0</v>
      </c>
      <c r="G22" s="18">
        <f>1000000+165182.02</f>
        <v>1165182.02</v>
      </c>
      <c r="H22" s="81">
        <v>1</v>
      </c>
      <c r="I22" s="80">
        <v>0</v>
      </c>
      <c r="J22" s="18">
        <v>0</v>
      </c>
      <c r="K22" s="81">
        <v>0</v>
      </c>
      <c r="L22" s="120">
        <f t="shared" ref="L22" si="7">D22+G22+J22</f>
        <v>2037816.02</v>
      </c>
      <c r="M22" s="80">
        <v>0</v>
      </c>
      <c r="N22" s="57">
        <v>0</v>
      </c>
      <c r="O22" s="51" t="s">
        <v>575</v>
      </c>
    </row>
    <row r="23" spans="1:16" x14ac:dyDescent="0.25">
      <c r="A23" s="160" t="s">
        <v>502</v>
      </c>
      <c r="B23" s="134"/>
      <c r="C23" s="80">
        <v>0</v>
      </c>
      <c r="D23" s="18">
        <f>250939.63+678466.37</f>
        <v>929406</v>
      </c>
      <c r="E23" s="81">
        <v>1</v>
      </c>
      <c r="F23" s="80">
        <v>0</v>
      </c>
      <c r="G23" s="18">
        <v>0</v>
      </c>
      <c r="H23" s="81">
        <v>0</v>
      </c>
      <c r="I23" s="80">
        <v>0</v>
      </c>
      <c r="J23" s="18">
        <v>0</v>
      </c>
      <c r="K23" s="81">
        <v>0</v>
      </c>
      <c r="L23" s="120">
        <f t="shared" ref="L23" si="8">D23+G23+J23</f>
        <v>929406</v>
      </c>
      <c r="M23" s="80">
        <v>0</v>
      </c>
      <c r="N23" s="57">
        <v>0</v>
      </c>
      <c r="O23" s="51"/>
    </row>
    <row r="24" spans="1:16" x14ac:dyDescent="0.25">
      <c r="A24" s="160" t="s">
        <v>567</v>
      </c>
      <c r="B24" s="134"/>
      <c r="C24" s="80">
        <v>0</v>
      </c>
      <c r="D24" s="18">
        <f>136986.33</f>
        <v>136986.32999999999</v>
      </c>
      <c r="E24" s="81">
        <v>1</v>
      </c>
      <c r="F24" s="80">
        <v>0</v>
      </c>
      <c r="G24" s="18">
        <v>0</v>
      </c>
      <c r="H24" s="81">
        <v>0</v>
      </c>
      <c r="I24" s="80">
        <v>0</v>
      </c>
      <c r="J24" s="18">
        <v>0</v>
      </c>
      <c r="K24" s="81">
        <v>0</v>
      </c>
      <c r="L24" s="120">
        <f t="shared" ref="L24" si="9">D24+G24+J24</f>
        <v>136986.32999999999</v>
      </c>
      <c r="M24" s="80">
        <v>0</v>
      </c>
      <c r="N24" s="57">
        <v>0</v>
      </c>
      <c r="O24" s="51"/>
    </row>
    <row r="25" spans="1:16" ht="27.6" x14ac:dyDescent="0.25">
      <c r="A25" s="160" t="s">
        <v>540</v>
      </c>
      <c r="B25" s="135"/>
      <c r="C25" s="80">
        <v>0</v>
      </c>
      <c r="D25" s="18">
        <v>0</v>
      </c>
      <c r="E25" s="81">
        <v>0</v>
      </c>
      <c r="F25" s="80">
        <v>1970000</v>
      </c>
      <c r="G25" s="18">
        <f>165934+1150000+160000</f>
        <v>1475934</v>
      </c>
      <c r="H25" s="81">
        <f>G25/F25</f>
        <v>0.74920507614213194</v>
      </c>
      <c r="I25" s="80">
        <v>200000</v>
      </c>
      <c r="J25" s="36">
        <f>150000+150000+190000</f>
        <v>490000</v>
      </c>
      <c r="K25" s="81">
        <v>1</v>
      </c>
      <c r="L25" s="120">
        <f t="shared" si="5"/>
        <v>1965934</v>
      </c>
      <c r="M25" s="80">
        <v>0</v>
      </c>
      <c r="N25" s="57">
        <v>0</v>
      </c>
      <c r="O25" s="51" t="s">
        <v>577</v>
      </c>
    </row>
    <row r="26" spans="1:16" ht="69" x14ac:dyDescent="0.25">
      <c r="A26" s="160" t="s">
        <v>483</v>
      </c>
      <c r="B26" s="134"/>
      <c r="C26" s="80">
        <v>0</v>
      </c>
      <c r="D26" s="18">
        <v>0</v>
      </c>
      <c r="E26" s="81">
        <v>0</v>
      </c>
      <c r="F26" s="80">
        <v>1827499</v>
      </c>
      <c r="G26" s="18">
        <f>49934+45400+250000+453274+1000000-727400.9-165182.02</f>
        <v>906025.08000000007</v>
      </c>
      <c r="H26" s="81">
        <f t="shared" ref="H26:H28" si="10">G26/F26</f>
        <v>0.49577322887727987</v>
      </c>
      <c r="I26" s="80">
        <v>0</v>
      </c>
      <c r="J26" s="18">
        <v>0</v>
      </c>
      <c r="K26" s="81">
        <v>0</v>
      </c>
      <c r="L26" s="120">
        <f t="shared" si="5"/>
        <v>906025.08000000007</v>
      </c>
      <c r="M26" s="80">
        <v>0</v>
      </c>
      <c r="N26" s="57">
        <v>0</v>
      </c>
      <c r="O26" s="51" t="s">
        <v>576</v>
      </c>
    </row>
    <row r="27" spans="1:16" ht="35.4" hidden="1" customHeight="1" x14ac:dyDescent="0.25">
      <c r="A27" s="160" t="s">
        <v>139</v>
      </c>
      <c r="B27" s="134"/>
      <c r="C27" s="82">
        <v>0</v>
      </c>
      <c r="D27" s="17">
        <v>0</v>
      </c>
      <c r="E27" s="83">
        <v>0</v>
      </c>
      <c r="F27" s="82">
        <v>0</v>
      </c>
      <c r="G27" s="17"/>
      <c r="H27" s="81" t="e">
        <f t="shared" si="10"/>
        <v>#DIV/0!</v>
      </c>
      <c r="I27" s="82">
        <v>0</v>
      </c>
      <c r="J27" s="17">
        <v>0</v>
      </c>
      <c r="K27" s="83">
        <v>1</v>
      </c>
      <c r="L27" s="121">
        <f t="shared" si="5"/>
        <v>0</v>
      </c>
      <c r="M27" s="82">
        <v>0</v>
      </c>
      <c r="N27" s="58">
        <v>0</v>
      </c>
      <c r="O27" s="51"/>
    </row>
    <row r="28" spans="1:16" s="33" customFormat="1" ht="35.4" customHeight="1" x14ac:dyDescent="0.25">
      <c r="A28" s="160" t="s">
        <v>572</v>
      </c>
      <c r="B28" s="135"/>
      <c r="C28" s="80">
        <v>0</v>
      </c>
      <c r="D28" s="18">
        <v>0</v>
      </c>
      <c r="E28" s="81">
        <v>0</v>
      </c>
      <c r="F28" s="80">
        <v>5592135</v>
      </c>
      <c r="G28" s="18">
        <v>300000</v>
      </c>
      <c r="H28" s="81">
        <f t="shared" si="10"/>
        <v>5.3646773548921833E-2</v>
      </c>
      <c r="I28" s="80">
        <v>0</v>
      </c>
      <c r="J28" s="18">
        <v>0</v>
      </c>
      <c r="K28" s="81">
        <v>0</v>
      </c>
      <c r="L28" s="120">
        <f t="shared" si="5"/>
        <v>300000</v>
      </c>
      <c r="M28" s="80">
        <v>0</v>
      </c>
      <c r="N28" s="57">
        <v>0</v>
      </c>
      <c r="O28" s="51" t="s">
        <v>573</v>
      </c>
      <c r="P28" s="32"/>
    </row>
    <row r="29" spans="1:16" ht="14.4" thickBot="1" x14ac:dyDescent="0.3">
      <c r="A29" s="160" t="s">
        <v>383</v>
      </c>
      <c r="B29" s="135"/>
      <c r="C29" s="80">
        <v>0</v>
      </c>
      <c r="D29" s="36">
        <v>722000</v>
      </c>
      <c r="E29" s="81">
        <v>1</v>
      </c>
      <c r="F29" s="80">
        <v>0</v>
      </c>
      <c r="G29" s="18">
        <v>38000</v>
      </c>
      <c r="H29" s="81">
        <v>0</v>
      </c>
      <c r="I29" s="80">
        <v>0</v>
      </c>
      <c r="J29" s="18">
        <v>0</v>
      </c>
      <c r="K29" s="81">
        <v>0</v>
      </c>
      <c r="L29" s="120">
        <f t="shared" si="5"/>
        <v>760000</v>
      </c>
      <c r="M29" s="80">
        <v>0</v>
      </c>
      <c r="N29" s="57">
        <v>0</v>
      </c>
      <c r="O29" s="51" t="s">
        <v>543</v>
      </c>
    </row>
    <row r="30" spans="1:16" ht="14.4" hidden="1" thickBot="1" x14ac:dyDescent="0.3">
      <c r="A30" s="160" t="s">
        <v>464</v>
      </c>
      <c r="B30" s="134"/>
      <c r="C30" s="82">
        <v>0</v>
      </c>
      <c r="D30" s="17">
        <v>0</v>
      </c>
      <c r="E30" s="83">
        <v>0</v>
      </c>
      <c r="F30" s="82">
        <v>0</v>
      </c>
      <c r="G30" s="17"/>
      <c r="H30" s="83">
        <v>0</v>
      </c>
      <c r="I30" s="82">
        <v>0</v>
      </c>
      <c r="J30" s="20"/>
      <c r="K30" s="83">
        <v>1</v>
      </c>
      <c r="L30" s="121">
        <f t="shared" si="5"/>
        <v>0</v>
      </c>
      <c r="M30" s="82">
        <v>0</v>
      </c>
      <c r="N30" s="58">
        <v>0</v>
      </c>
      <c r="O30" s="51"/>
    </row>
    <row r="31" spans="1:16" ht="28.2" thickBot="1" x14ac:dyDescent="0.3">
      <c r="A31" s="158" t="s">
        <v>10</v>
      </c>
      <c r="B31" s="132" t="s">
        <v>9</v>
      </c>
      <c r="C31" s="76">
        <f>-C32+C58+C60+C66+C70</f>
        <v>-34009371</v>
      </c>
      <c r="D31" s="43">
        <f>D32+D58+D60+D66+D70</f>
        <v>4697477</v>
      </c>
      <c r="E31" s="77">
        <f>D31/C31</f>
        <v>-0.13812301909376684</v>
      </c>
      <c r="F31" s="76">
        <f>F32+F58+F60+F66+F70</f>
        <v>420002820</v>
      </c>
      <c r="G31" s="43">
        <f>G32+G58+G60+G66+G70</f>
        <v>20852004</v>
      </c>
      <c r="H31" s="77">
        <v>0</v>
      </c>
      <c r="I31" s="76">
        <f>-I32+I58+I60+I66+I70</f>
        <v>0</v>
      </c>
      <c r="J31" s="43">
        <f>-J32+J58+J60+J66+J70</f>
        <v>0</v>
      </c>
      <c r="K31" s="77">
        <v>0</v>
      </c>
      <c r="L31" s="118">
        <f>D31+G31+J31</f>
        <v>25549481</v>
      </c>
      <c r="M31" s="76">
        <f>-M32+M58+M60+M66+M70</f>
        <v>0</v>
      </c>
      <c r="N31" s="46">
        <f>-N32+N58+N60+N66+N70</f>
        <v>0</v>
      </c>
      <c r="O31" s="51"/>
    </row>
    <row r="32" spans="1:16" ht="28.8" x14ac:dyDescent="0.25">
      <c r="A32" s="159" t="s">
        <v>12</v>
      </c>
      <c r="B32" s="78" t="s">
        <v>11</v>
      </c>
      <c r="C32" s="78">
        <f>SUM(C33:C57)</f>
        <v>34009371</v>
      </c>
      <c r="D32" s="44">
        <f>SUM(D33:D57)</f>
        <v>1828477</v>
      </c>
      <c r="E32" s="79">
        <f>D32/C32</f>
        <v>5.3763917009814734E-2</v>
      </c>
      <c r="F32" s="78">
        <f>SUM(F33:F57)</f>
        <v>378620762</v>
      </c>
      <c r="G32" s="44">
        <f>SUM(G33:G57)</f>
        <v>21856401</v>
      </c>
      <c r="H32" s="79">
        <f>G32/F32</f>
        <v>5.7726366838805318E-2</v>
      </c>
      <c r="I32" s="78">
        <f>SUM(I33:I57)</f>
        <v>0</v>
      </c>
      <c r="J32" s="44">
        <f>SUM(J33:J57)</f>
        <v>0</v>
      </c>
      <c r="K32" s="79">
        <v>0</v>
      </c>
      <c r="L32" s="119">
        <f>D32+G32+J32</f>
        <v>23684878</v>
      </c>
      <c r="M32" s="78">
        <f>SUM(M33:M57)</f>
        <v>0</v>
      </c>
      <c r="N32" s="56">
        <f>SUM(N33:N57)</f>
        <v>0</v>
      </c>
      <c r="O32" s="303"/>
      <c r="P32" s="305"/>
    </row>
    <row r="33" spans="1:16" s="33" customFormat="1" ht="36" customHeight="1" x14ac:dyDescent="0.25">
      <c r="A33" s="160" t="s">
        <v>572</v>
      </c>
      <c r="B33" s="135"/>
      <c r="C33" s="80">
        <v>0</v>
      </c>
      <c r="D33" s="18">
        <v>0</v>
      </c>
      <c r="E33" s="81">
        <v>0</v>
      </c>
      <c r="F33" s="87">
        <v>6554402</v>
      </c>
      <c r="G33" s="18">
        <v>450000</v>
      </c>
      <c r="H33" s="81">
        <f>G33/F33</f>
        <v>6.8656148951498547E-2</v>
      </c>
      <c r="I33" s="80">
        <v>0</v>
      </c>
      <c r="J33" s="18">
        <v>0</v>
      </c>
      <c r="K33" s="81">
        <v>0</v>
      </c>
      <c r="L33" s="120">
        <f>D33+G33+J33</f>
        <v>450000</v>
      </c>
      <c r="M33" s="80">
        <v>0</v>
      </c>
      <c r="N33" s="57">
        <v>0</v>
      </c>
      <c r="O33" s="51" t="s">
        <v>574</v>
      </c>
      <c r="P33" s="32"/>
    </row>
    <row r="34" spans="1:16" ht="96.6" customHeight="1" x14ac:dyDescent="0.25">
      <c r="A34" s="160" t="s">
        <v>350</v>
      </c>
      <c r="B34" s="134"/>
      <c r="C34" s="80">
        <v>0</v>
      </c>
      <c r="D34" s="18">
        <v>0</v>
      </c>
      <c r="E34" s="81">
        <v>0</v>
      </c>
      <c r="F34" s="87">
        <v>105096937</v>
      </c>
      <c r="G34" s="36">
        <f>122627+30000+73770+1340000+151469+149064+1350000+257200+1300000+1000000-332398</f>
        <v>5441732</v>
      </c>
      <c r="H34" s="81">
        <f>G34/F34</f>
        <v>5.1778216904646804E-2</v>
      </c>
      <c r="I34" s="80">
        <v>0</v>
      </c>
      <c r="J34" s="18">
        <v>0</v>
      </c>
      <c r="K34" s="81">
        <v>0</v>
      </c>
      <c r="L34" s="120">
        <f t="shared" ref="L34" si="11">D34+G34+J34</f>
        <v>5441732</v>
      </c>
      <c r="M34" s="80">
        <v>0</v>
      </c>
      <c r="N34" s="57">
        <v>0</v>
      </c>
      <c r="O34" s="51" t="s">
        <v>546</v>
      </c>
    </row>
    <row r="35" spans="1:16" ht="38.4" customHeight="1" x14ac:dyDescent="0.25">
      <c r="A35" s="160" t="s">
        <v>326</v>
      </c>
      <c r="B35" s="134"/>
      <c r="C35" s="80">
        <v>0</v>
      </c>
      <c r="D35" s="18">
        <v>0</v>
      </c>
      <c r="E35" s="81">
        <v>0</v>
      </c>
      <c r="F35" s="87">
        <v>191626667</v>
      </c>
      <c r="G35" s="36">
        <f>20700+341250+149000</f>
        <v>510950</v>
      </c>
      <c r="H35" s="81">
        <f t="shared" ref="H35:H46" si="12">G35/F35</f>
        <v>2.6663825447634593E-3</v>
      </c>
      <c r="I35" s="80">
        <v>0</v>
      </c>
      <c r="J35" s="18">
        <v>0</v>
      </c>
      <c r="K35" s="81">
        <v>0</v>
      </c>
      <c r="L35" s="120">
        <f t="shared" ref="L35:L57" si="13">D35+G35+J35</f>
        <v>510950</v>
      </c>
      <c r="M35" s="80">
        <v>0</v>
      </c>
      <c r="N35" s="57">
        <v>0</v>
      </c>
      <c r="O35" s="51" t="s">
        <v>547</v>
      </c>
    </row>
    <row r="36" spans="1:16" ht="15" customHeight="1" x14ac:dyDescent="0.25">
      <c r="A36" s="160" t="s">
        <v>524</v>
      </c>
      <c r="B36" s="134"/>
      <c r="C36" s="80">
        <v>0</v>
      </c>
      <c r="D36" s="18">
        <v>0</v>
      </c>
      <c r="E36" s="81">
        <v>0</v>
      </c>
      <c r="F36" s="87">
        <v>19840000</v>
      </c>
      <c r="G36" s="36">
        <f>12400000-950000</f>
        <v>11450000</v>
      </c>
      <c r="H36" s="81">
        <f t="shared" si="12"/>
        <v>0.577116935483871</v>
      </c>
      <c r="I36" s="80">
        <v>0</v>
      </c>
      <c r="J36" s="18">
        <v>0</v>
      </c>
      <c r="K36" s="81">
        <v>0</v>
      </c>
      <c r="L36" s="120">
        <f t="shared" si="13"/>
        <v>11450000</v>
      </c>
      <c r="M36" s="80">
        <v>0</v>
      </c>
      <c r="N36" s="57">
        <v>0</v>
      </c>
      <c r="O36" s="51" t="s">
        <v>592</v>
      </c>
    </row>
    <row r="37" spans="1:16" s="33" customFormat="1" ht="27.6" x14ac:dyDescent="0.25">
      <c r="A37" s="160" t="s">
        <v>548</v>
      </c>
      <c r="B37" s="135"/>
      <c r="C37" s="80">
        <v>0</v>
      </c>
      <c r="D37" s="18">
        <v>0</v>
      </c>
      <c r="E37" s="81">
        <v>0</v>
      </c>
      <c r="F37" s="87">
        <v>52090759</v>
      </c>
      <c r="G37" s="36">
        <f>803000+332398+1000000</f>
        <v>2135398</v>
      </c>
      <c r="H37" s="81">
        <f t="shared" si="12"/>
        <v>4.0993796999579141E-2</v>
      </c>
      <c r="I37" s="80">
        <v>0</v>
      </c>
      <c r="J37" s="18">
        <v>0</v>
      </c>
      <c r="K37" s="81">
        <v>0</v>
      </c>
      <c r="L37" s="120">
        <f t="shared" ref="L37" si="14">D37+G37+J37</f>
        <v>2135398</v>
      </c>
      <c r="M37" s="80">
        <v>0</v>
      </c>
      <c r="N37" s="57">
        <v>0</v>
      </c>
      <c r="O37" s="51" t="s">
        <v>542</v>
      </c>
      <c r="P37" s="32"/>
    </row>
    <row r="38" spans="1:16" s="33" customFormat="1" x14ac:dyDescent="0.25">
      <c r="A38" s="160" t="s">
        <v>478</v>
      </c>
      <c r="B38" s="135"/>
      <c r="C38" s="80">
        <v>0</v>
      </c>
      <c r="D38" s="18">
        <v>0</v>
      </c>
      <c r="E38" s="81">
        <v>0</v>
      </c>
      <c r="F38" s="87">
        <v>3411997</v>
      </c>
      <c r="G38" s="36">
        <v>1354000</v>
      </c>
      <c r="H38" s="81">
        <f t="shared" si="12"/>
        <v>0.39683504997220104</v>
      </c>
      <c r="I38" s="80">
        <v>0</v>
      </c>
      <c r="J38" s="18">
        <v>0</v>
      </c>
      <c r="K38" s="81">
        <v>0</v>
      </c>
      <c r="L38" s="120">
        <f t="shared" ref="L38:L39" si="15">D38+G38+J38</f>
        <v>1354000</v>
      </c>
      <c r="M38" s="80">
        <v>0</v>
      </c>
      <c r="N38" s="57">
        <v>0</v>
      </c>
      <c r="O38" s="51" t="s">
        <v>527</v>
      </c>
      <c r="P38" s="32"/>
    </row>
    <row r="39" spans="1:16" ht="27.6" x14ac:dyDescent="0.25">
      <c r="A39" s="160" t="s">
        <v>383</v>
      </c>
      <c r="B39" s="135"/>
      <c r="C39" s="87">
        <v>0</v>
      </c>
      <c r="D39" s="36">
        <f>3899000</f>
        <v>3899000</v>
      </c>
      <c r="E39" s="81">
        <v>1</v>
      </c>
      <c r="F39" s="87">
        <v>0</v>
      </c>
      <c r="G39" s="36">
        <f>374596+638794+485232.66-34301.66-950000</f>
        <v>514321</v>
      </c>
      <c r="H39" s="81">
        <v>0</v>
      </c>
      <c r="I39" s="87">
        <v>0</v>
      </c>
      <c r="J39" s="36">
        <v>0</v>
      </c>
      <c r="K39" s="88">
        <v>0</v>
      </c>
      <c r="L39" s="122">
        <f t="shared" si="15"/>
        <v>4413321</v>
      </c>
      <c r="M39" s="87">
        <v>0</v>
      </c>
      <c r="N39" s="61">
        <v>0</v>
      </c>
      <c r="O39" s="300" t="s">
        <v>549</v>
      </c>
    </row>
    <row r="40" spans="1:16" ht="82.8" x14ac:dyDescent="0.25">
      <c r="A40" s="160" t="s">
        <v>508</v>
      </c>
      <c r="B40" s="135"/>
      <c r="C40" s="80">
        <v>0</v>
      </c>
      <c r="D40" s="36">
        <v>900000</v>
      </c>
      <c r="E40" s="81">
        <v>1</v>
      </c>
      <c r="F40" s="80">
        <v>0</v>
      </c>
      <c r="G40" s="18">
        <v>0</v>
      </c>
      <c r="H40" s="81">
        <v>0</v>
      </c>
      <c r="I40" s="80">
        <v>0</v>
      </c>
      <c r="J40" s="18">
        <v>0</v>
      </c>
      <c r="K40" s="81">
        <v>0</v>
      </c>
      <c r="L40" s="120">
        <f t="shared" ref="L40" si="16">D40+G40+J40</f>
        <v>900000</v>
      </c>
      <c r="M40" s="80">
        <v>0</v>
      </c>
      <c r="N40" s="57">
        <v>0</v>
      </c>
      <c r="O40" s="301" t="s">
        <v>550</v>
      </c>
    </row>
    <row r="41" spans="1:16" hidden="1" x14ac:dyDescent="0.25">
      <c r="A41" s="162" t="s">
        <v>504</v>
      </c>
      <c r="B41" s="134"/>
      <c r="C41" s="82">
        <v>0</v>
      </c>
      <c r="D41" s="20">
        <v>0</v>
      </c>
      <c r="E41" s="83" t="e">
        <f t="shared" ref="E41:E48" si="17">D41/C41</f>
        <v>#DIV/0!</v>
      </c>
      <c r="F41" s="82">
        <v>0</v>
      </c>
      <c r="G41" s="17">
        <v>0</v>
      </c>
      <c r="H41" s="83" t="e">
        <f t="shared" si="12"/>
        <v>#DIV/0!</v>
      </c>
      <c r="I41" s="82">
        <v>0</v>
      </c>
      <c r="J41" s="17">
        <v>0</v>
      </c>
      <c r="K41" s="83">
        <v>0</v>
      </c>
      <c r="L41" s="121">
        <f t="shared" si="13"/>
        <v>0</v>
      </c>
      <c r="M41" s="82">
        <v>0</v>
      </c>
      <c r="N41" s="58">
        <v>0</v>
      </c>
      <c r="O41" s="51"/>
    </row>
    <row r="42" spans="1:16" s="33" customFormat="1" x14ac:dyDescent="0.25">
      <c r="A42" s="160" t="s">
        <v>122</v>
      </c>
      <c r="B42" s="135"/>
      <c r="C42" s="80">
        <v>9851570</v>
      </c>
      <c r="D42" s="36">
        <v>-1675187</v>
      </c>
      <c r="E42" s="81">
        <f t="shared" si="17"/>
        <v>-0.17004264294929641</v>
      </c>
      <c r="F42" s="80">
        <v>0</v>
      </c>
      <c r="G42" s="18">
        <v>0</v>
      </c>
      <c r="H42" s="81">
        <v>0</v>
      </c>
      <c r="I42" s="80">
        <v>0</v>
      </c>
      <c r="J42" s="18">
        <v>0</v>
      </c>
      <c r="K42" s="81">
        <v>0</v>
      </c>
      <c r="L42" s="120">
        <f t="shared" si="13"/>
        <v>-1675187</v>
      </c>
      <c r="M42" s="80">
        <v>0</v>
      </c>
      <c r="N42" s="57">
        <v>0</v>
      </c>
      <c r="O42" s="193"/>
      <c r="P42" s="32"/>
    </row>
    <row r="43" spans="1:16" hidden="1" x14ac:dyDescent="0.25">
      <c r="A43" s="160" t="s">
        <v>385</v>
      </c>
      <c r="B43" s="134"/>
      <c r="C43" s="82">
        <v>0</v>
      </c>
      <c r="D43" s="20">
        <v>0</v>
      </c>
      <c r="E43" s="83" t="e">
        <f t="shared" si="17"/>
        <v>#DIV/0!</v>
      </c>
      <c r="F43" s="82">
        <v>0</v>
      </c>
      <c r="G43" s="17">
        <v>0</v>
      </c>
      <c r="H43" s="83" t="e">
        <f t="shared" si="12"/>
        <v>#DIV/0!</v>
      </c>
      <c r="I43" s="82">
        <v>0</v>
      </c>
      <c r="J43" s="17">
        <v>0</v>
      </c>
      <c r="K43" s="83">
        <v>0</v>
      </c>
      <c r="L43" s="121">
        <f t="shared" si="13"/>
        <v>0</v>
      </c>
      <c r="M43" s="82">
        <v>0</v>
      </c>
      <c r="N43" s="58">
        <v>0</v>
      </c>
      <c r="O43" s="51"/>
    </row>
    <row r="44" spans="1:16" s="33" customFormat="1" x14ac:dyDescent="0.25">
      <c r="A44" s="160" t="s">
        <v>124</v>
      </c>
      <c r="B44" s="135"/>
      <c r="C44" s="80">
        <v>22555973</v>
      </c>
      <c r="D44" s="36">
        <v>-3002624</v>
      </c>
      <c r="E44" s="81">
        <f t="shared" si="17"/>
        <v>-0.13311879740235547</v>
      </c>
      <c r="F44" s="80">
        <v>0</v>
      </c>
      <c r="G44" s="18">
        <v>0</v>
      </c>
      <c r="H44" s="81">
        <v>0</v>
      </c>
      <c r="I44" s="80">
        <v>0</v>
      </c>
      <c r="J44" s="18">
        <v>0</v>
      </c>
      <c r="K44" s="81">
        <v>0</v>
      </c>
      <c r="L44" s="120">
        <f t="shared" si="13"/>
        <v>-3002624</v>
      </c>
      <c r="M44" s="80">
        <v>0</v>
      </c>
      <c r="N44" s="57">
        <v>0</v>
      </c>
      <c r="O44" s="51"/>
      <c r="P44" s="32"/>
    </row>
    <row r="45" spans="1:16" hidden="1" x14ac:dyDescent="0.25">
      <c r="A45" s="160" t="s">
        <v>123</v>
      </c>
      <c r="B45" s="134"/>
      <c r="C45" s="82">
        <v>0</v>
      </c>
      <c r="D45" s="20">
        <v>0</v>
      </c>
      <c r="E45" s="83" t="e">
        <f t="shared" si="17"/>
        <v>#DIV/0!</v>
      </c>
      <c r="F45" s="82">
        <v>0</v>
      </c>
      <c r="G45" s="17">
        <v>0</v>
      </c>
      <c r="H45" s="83" t="e">
        <f t="shared" si="12"/>
        <v>#DIV/0!</v>
      </c>
      <c r="I45" s="82">
        <v>0</v>
      </c>
      <c r="J45" s="17">
        <v>0</v>
      </c>
      <c r="K45" s="83">
        <v>0</v>
      </c>
      <c r="L45" s="121">
        <f t="shared" si="13"/>
        <v>0</v>
      </c>
      <c r="M45" s="82">
        <v>0</v>
      </c>
      <c r="N45" s="58">
        <v>0</v>
      </c>
      <c r="O45" s="51"/>
    </row>
    <row r="46" spans="1:16" ht="19.95" hidden="1" customHeight="1" x14ac:dyDescent="0.25">
      <c r="A46" s="160" t="s">
        <v>332</v>
      </c>
      <c r="B46" s="134"/>
      <c r="C46" s="82">
        <v>0</v>
      </c>
      <c r="D46" s="20">
        <v>0</v>
      </c>
      <c r="E46" s="83" t="e">
        <f t="shared" si="17"/>
        <v>#DIV/0!</v>
      </c>
      <c r="F46" s="82">
        <v>0</v>
      </c>
      <c r="G46" s="17">
        <v>0</v>
      </c>
      <c r="H46" s="83" t="e">
        <f t="shared" si="12"/>
        <v>#DIV/0!</v>
      </c>
      <c r="I46" s="82">
        <v>0</v>
      </c>
      <c r="J46" s="17">
        <v>0</v>
      </c>
      <c r="K46" s="83">
        <v>0</v>
      </c>
      <c r="L46" s="121">
        <f t="shared" si="13"/>
        <v>0</v>
      </c>
      <c r="M46" s="82">
        <v>0</v>
      </c>
      <c r="N46" s="58">
        <v>0</v>
      </c>
      <c r="O46" s="51"/>
    </row>
    <row r="47" spans="1:16" ht="41.4" x14ac:dyDescent="0.25">
      <c r="A47" s="160" t="s">
        <v>528</v>
      </c>
      <c r="B47" s="138"/>
      <c r="C47" s="87">
        <v>0</v>
      </c>
      <c r="D47" s="36">
        <v>1500000</v>
      </c>
      <c r="E47" s="81">
        <v>1</v>
      </c>
      <c r="F47" s="87">
        <v>0</v>
      </c>
      <c r="G47" s="36">
        <v>0</v>
      </c>
      <c r="H47" s="81">
        <v>0</v>
      </c>
      <c r="I47" s="87">
        <v>0</v>
      </c>
      <c r="J47" s="36">
        <v>0</v>
      </c>
      <c r="K47" s="88">
        <v>0</v>
      </c>
      <c r="L47" s="122">
        <f t="shared" ref="L47" si="18">D47+G47+J47</f>
        <v>1500000</v>
      </c>
      <c r="M47" s="87">
        <v>0</v>
      </c>
      <c r="N47" s="61">
        <v>0</v>
      </c>
      <c r="O47" s="301" t="s">
        <v>545</v>
      </c>
      <c r="P47" s="305">
        <f>L32+L60+L66</f>
        <v>25549481</v>
      </c>
    </row>
    <row r="48" spans="1:16" s="33" customFormat="1" x14ac:dyDescent="0.25">
      <c r="A48" s="160" t="s">
        <v>316</v>
      </c>
      <c r="B48" s="135"/>
      <c r="C48" s="80">
        <v>1601828</v>
      </c>
      <c r="D48" s="36">
        <v>207288</v>
      </c>
      <c r="E48" s="81">
        <f t="shared" si="17"/>
        <v>0.12940715232846473</v>
      </c>
      <c r="F48" s="80">
        <v>0</v>
      </c>
      <c r="G48" s="18">
        <v>0</v>
      </c>
      <c r="H48" s="81">
        <v>0</v>
      </c>
      <c r="I48" s="80">
        <v>0</v>
      </c>
      <c r="J48" s="18">
        <v>0</v>
      </c>
      <c r="K48" s="81">
        <v>0</v>
      </c>
      <c r="L48" s="120">
        <f t="shared" si="13"/>
        <v>207288</v>
      </c>
      <c r="M48" s="80">
        <v>0</v>
      </c>
      <c r="N48" s="57">
        <v>0</v>
      </c>
      <c r="O48" s="51"/>
      <c r="P48" s="32"/>
    </row>
    <row r="49" spans="1:16" hidden="1" x14ac:dyDescent="0.25">
      <c r="A49" s="160" t="s">
        <v>330</v>
      </c>
      <c r="B49" s="134"/>
      <c r="C49" s="82">
        <v>0</v>
      </c>
      <c r="D49" s="20">
        <v>0</v>
      </c>
      <c r="E49" s="83">
        <v>1</v>
      </c>
      <c r="F49" s="82">
        <v>0</v>
      </c>
      <c r="G49" s="17">
        <v>0</v>
      </c>
      <c r="H49" s="83">
        <v>0</v>
      </c>
      <c r="I49" s="82">
        <v>0</v>
      </c>
      <c r="J49" s="17">
        <v>0</v>
      </c>
      <c r="K49" s="83">
        <v>0</v>
      </c>
      <c r="L49" s="121">
        <f t="shared" si="13"/>
        <v>0</v>
      </c>
      <c r="M49" s="82">
        <v>0</v>
      </c>
      <c r="N49" s="58">
        <v>0</v>
      </c>
      <c r="O49" s="51"/>
    </row>
    <row r="50" spans="1:16" hidden="1" x14ac:dyDescent="0.25">
      <c r="A50" s="160" t="s">
        <v>317</v>
      </c>
      <c r="B50" s="134"/>
      <c r="C50" s="82">
        <v>0</v>
      </c>
      <c r="D50" s="20">
        <v>0</v>
      </c>
      <c r="E50" s="83">
        <v>1</v>
      </c>
      <c r="F50" s="82">
        <v>0</v>
      </c>
      <c r="G50" s="17">
        <v>0</v>
      </c>
      <c r="H50" s="83">
        <v>0</v>
      </c>
      <c r="I50" s="82">
        <v>0</v>
      </c>
      <c r="J50" s="17">
        <v>0</v>
      </c>
      <c r="K50" s="83">
        <v>0</v>
      </c>
      <c r="L50" s="121">
        <f t="shared" si="13"/>
        <v>0</v>
      </c>
      <c r="M50" s="82">
        <v>0</v>
      </c>
      <c r="N50" s="58">
        <v>0</v>
      </c>
      <c r="O50" s="51"/>
    </row>
    <row r="51" spans="1:16" hidden="1" x14ac:dyDescent="0.25">
      <c r="A51" s="160" t="s">
        <v>125</v>
      </c>
      <c r="B51" s="134"/>
      <c r="C51" s="82">
        <v>0</v>
      </c>
      <c r="D51" s="20">
        <v>0</v>
      </c>
      <c r="E51" s="83">
        <v>1</v>
      </c>
      <c r="F51" s="82">
        <v>0</v>
      </c>
      <c r="G51" s="17">
        <v>0</v>
      </c>
      <c r="H51" s="83">
        <v>0</v>
      </c>
      <c r="I51" s="82">
        <v>0</v>
      </c>
      <c r="J51" s="17">
        <v>0</v>
      </c>
      <c r="K51" s="83">
        <v>0</v>
      </c>
      <c r="L51" s="121">
        <f t="shared" si="13"/>
        <v>0</v>
      </c>
      <c r="M51" s="82">
        <v>0</v>
      </c>
      <c r="N51" s="58">
        <v>0</v>
      </c>
      <c r="O51" s="51"/>
    </row>
    <row r="52" spans="1:16" hidden="1" x14ac:dyDescent="0.25">
      <c r="A52" s="160" t="s">
        <v>131</v>
      </c>
      <c r="B52" s="134"/>
      <c r="C52" s="82">
        <v>0</v>
      </c>
      <c r="D52" s="20">
        <v>0</v>
      </c>
      <c r="E52" s="83">
        <v>1</v>
      </c>
      <c r="F52" s="82">
        <v>0</v>
      </c>
      <c r="G52" s="17">
        <v>0</v>
      </c>
      <c r="H52" s="83">
        <v>0</v>
      </c>
      <c r="I52" s="82">
        <v>0</v>
      </c>
      <c r="J52" s="17">
        <v>0</v>
      </c>
      <c r="K52" s="83">
        <v>0</v>
      </c>
      <c r="L52" s="121">
        <f t="shared" ref="L52" si="19">D52+G52+J52</f>
        <v>0</v>
      </c>
      <c r="M52" s="82">
        <v>0</v>
      </c>
      <c r="N52" s="58">
        <v>0</v>
      </c>
      <c r="O52" s="51"/>
    </row>
    <row r="53" spans="1:16" hidden="1" x14ac:dyDescent="0.25">
      <c r="A53" s="160" t="s">
        <v>331</v>
      </c>
      <c r="B53" s="134"/>
      <c r="C53" s="82">
        <v>0</v>
      </c>
      <c r="D53" s="20">
        <v>0</v>
      </c>
      <c r="E53" s="83">
        <v>1</v>
      </c>
      <c r="F53" s="82">
        <v>0</v>
      </c>
      <c r="G53" s="17"/>
      <c r="H53" s="83">
        <v>1</v>
      </c>
      <c r="I53" s="82">
        <v>0</v>
      </c>
      <c r="J53" s="17">
        <v>0</v>
      </c>
      <c r="K53" s="83">
        <v>0</v>
      </c>
      <c r="L53" s="121">
        <f t="shared" si="13"/>
        <v>0</v>
      </c>
      <c r="M53" s="82">
        <v>0</v>
      </c>
      <c r="N53" s="58">
        <v>0</v>
      </c>
      <c r="O53" s="51"/>
    </row>
    <row r="54" spans="1:16" hidden="1" x14ac:dyDescent="0.25">
      <c r="A54" s="160" t="s">
        <v>320</v>
      </c>
      <c r="B54" s="134"/>
      <c r="C54" s="82">
        <v>0</v>
      </c>
      <c r="D54" s="20">
        <v>0</v>
      </c>
      <c r="E54" s="83">
        <v>1</v>
      </c>
      <c r="F54" s="82">
        <v>0</v>
      </c>
      <c r="G54" s="17">
        <v>0</v>
      </c>
      <c r="H54" s="83">
        <v>0</v>
      </c>
      <c r="I54" s="82">
        <v>0</v>
      </c>
      <c r="J54" s="17">
        <v>0</v>
      </c>
      <c r="K54" s="83">
        <v>0</v>
      </c>
      <c r="L54" s="121">
        <f t="shared" si="13"/>
        <v>0</v>
      </c>
      <c r="M54" s="82">
        <v>0</v>
      </c>
      <c r="N54" s="58">
        <v>0</v>
      </c>
      <c r="O54" s="51"/>
    </row>
    <row r="55" spans="1:16" ht="27.6" hidden="1" x14ac:dyDescent="0.25">
      <c r="A55" s="160" t="s">
        <v>132</v>
      </c>
      <c r="B55" s="134"/>
      <c r="C55" s="82">
        <v>0</v>
      </c>
      <c r="D55" s="20">
        <v>0</v>
      </c>
      <c r="E55" s="83">
        <v>1</v>
      </c>
      <c r="F55" s="82">
        <v>0</v>
      </c>
      <c r="G55" s="17">
        <v>0</v>
      </c>
      <c r="H55" s="83">
        <v>0</v>
      </c>
      <c r="I55" s="82">
        <v>0</v>
      </c>
      <c r="J55" s="17">
        <v>0</v>
      </c>
      <c r="K55" s="83">
        <v>0</v>
      </c>
      <c r="L55" s="121">
        <f t="shared" si="13"/>
        <v>0</v>
      </c>
      <c r="M55" s="82">
        <v>0</v>
      </c>
      <c r="N55" s="58">
        <v>0</v>
      </c>
      <c r="O55" s="51"/>
    </row>
    <row r="56" spans="1:16" ht="27.6" hidden="1" x14ac:dyDescent="0.25">
      <c r="A56" s="160" t="s">
        <v>133</v>
      </c>
      <c r="B56" s="134"/>
      <c r="C56" s="82">
        <v>0</v>
      </c>
      <c r="D56" s="20">
        <v>0</v>
      </c>
      <c r="E56" s="83">
        <v>1</v>
      </c>
      <c r="F56" s="82">
        <v>0</v>
      </c>
      <c r="G56" s="17">
        <v>0</v>
      </c>
      <c r="H56" s="83">
        <v>0</v>
      </c>
      <c r="I56" s="82">
        <v>0</v>
      </c>
      <c r="J56" s="17">
        <v>0</v>
      </c>
      <c r="K56" s="83">
        <v>0</v>
      </c>
      <c r="L56" s="121">
        <f t="shared" si="13"/>
        <v>0</v>
      </c>
      <c r="M56" s="82">
        <v>0</v>
      </c>
      <c r="N56" s="58">
        <v>0</v>
      </c>
      <c r="O56" s="51"/>
    </row>
    <row r="57" spans="1:16" hidden="1" x14ac:dyDescent="0.25">
      <c r="A57" s="160" t="s">
        <v>134</v>
      </c>
      <c r="B57" s="134"/>
      <c r="C57" s="82">
        <v>0</v>
      </c>
      <c r="D57" s="20">
        <v>0</v>
      </c>
      <c r="E57" s="83">
        <v>1</v>
      </c>
      <c r="F57" s="82">
        <v>0</v>
      </c>
      <c r="G57" s="17">
        <v>0</v>
      </c>
      <c r="H57" s="83">
        <v>0</v>
      </c>
      <c r="I57" s="82">
        <v>0</v>
      </c>
      <c r="J57" s="17">
        <v>0</v>
      </c>
      <c r="K57" s="83">
        <v>0</v>
      </c>
      <c r="L57" s="121">
        <f t="shared" si="13"/>
        <v>0</v>
      </c>
      <c r="M57" s="82">
        <v>0</v>
      </c>
      <c r="N57" s="58">
        <v>0</v>
      </c>
      <c r="O57" s="51"/>
    </row>
    <row r="58" spans="1:16" ht="28.8" hidden="1" x14ac:dyDescent="0.25">
      <c r="A58" s="161" t="s">
        <v>14</v>
      </c>
      <c r="B58" s="137" t="s">
        <v>13</v>
      </c>
      <c r="C58" s="85">
        <f>SUM(C59:C59)</f>
        <v>0</v>
      </c>
      <c r="D58" s="45">
        <f>SUM(D59:D59)</f>
        <v>0</v>
      </c>
      <c r="E58" s="86">
        <v>0</v>
      </c>
      <c r="F58" s="85">
        <f>SUM(F59:F59)</f>
        <v>0</v>
      </c>
      <c r="G58" s="45">
        <f>SUM(G59:G59)</f>
        <v>0</v>
      </c>
      <c r="H58" s="86">
        <v>0</v>
      </c>
      <c r="I58" s="85">
        <f>SUM(I59:I59)</f>
        <v>0</v>
      </c>
      <c r="J58" s="45">
        <f>SUM(J59:J59)</f>
        <v>0</v>
      </c>
      <c r="K58" s="86">
        <v>0</v>
      </c>
      <c r="L58" s="119">
        <f>D58+G58+J58</f>
        <v>0</v>
      </c>
      <c r="M58" s="85">
        <f>SUM(M59:M59)</f>
        <v>0</v>
      </c>
      <c r="N58" s="60">
        <f>SUM(N59:N59)</f>
        <v>0</v>
      </c>
      <c r="O58" s="51"/>
    </row>
    <row r="59" spans="1:16" ht="7.8" hidden="1" customHeight="1" x14ac:dyDescent="0.25">
      <c r="A59" s="160"/>
      <c r="B59" s="134"/>
      <c r="C59" s="82">
        <v>0</v>
      </c>
      <c r="D59" s="17">
        <v>0</v>
      </c>
      <c r="E59" s="83">
        <v>0</v>
      </c>
      <c r="F59" s="82">
        <v>0</v>
      </c>
      <c r="G59" s="17">
        <v>0</v>
      </c>
      <c r="H59" s="83">
        <v>0</v>
      </c>
      <c r="I59" s="82">
        <v>0</v>
      </c>
      <c r="J59" s="17">
        <v>0</v>
      </c>
      <c r="K59" s="83">
        <v>0</v>
      </c>
      <c r="L59" s="121">
        <v>0</v>
      </c>
      <c r="M59" s="82">
        <v>0</v>
      </c>
      <c r="N59" s="58">
        <v>0</v>
      </c>
      <c r="O59" s="51"/>
    </row>
    <row r="60" spans="1:16" ht="30.6" customHeight="1" x14ac:dyDescent="0.25">
      <c r="A60" s="161" t="s">
        <v>16</v>
      </c>
      <c r="B60" s="133" t="s">
        <v>15</v>
      </c>
      <c r="C60" s="85">
        <f>SUM(C61:C65)</f>
        <v>0</v>
      </c>
      <c r="D60" s="45">
        <f>SUM(D61:D65)</f>
        <v>2679000</v>
      </c>
      <c r="E60" s="86">
        <v>1</v>
      </c>
      <c r="F60" s="85">
        <f>SUM(F61:F65)</f>
        <v>9200000</v>
      </c>
      <c r="G60" s="45">
        <f>SUM(G61:G65)</f>
        <v>-339836</v>
      </c>
      <c r="H60" s="86">
        <f>G60/F60</f>
        <v>-3.6938695652173913E-2</v>
      </c>
      <c r="I60" s="85">
        <f>SUM(I61:I65)</f>
        <v>0</v>
      </c>
      <c r="J60" s="45">
        <f>SUM(J61:J65)</f>
        <v>0</v>
      </c>
      <c r="K60" s="86">
        <v>0</v>
      </c>
      <c r="L60" s="119">
        <f>D60+G60+J60</f>
        <v>2339164</v>
      </c>
      <c r="M60" s="85">
        <f>SUM(M61:M65)</f>
        <v>0</v>
      </c>
      <c r="N60" s="60">
        <f>SUM(N61:N65)</f>
        <v>0</v>
      </c>
      <c r="O60" s="51"/>
      <c r="P60" s="305"/>
    </row>
    <row r="61" spans="1:16" s="33" customFormat="1" x14ac:dyDescent="0.25">
      <c r="A61" s="160" t="s">
        <v>470</v>
      </c>
      <c r="B61" s="135"/>
      <c r="C61" s="80">
        <v>0</v>
      </c>
      <c r="D61" s="36">
        <v>0</v>
      </c>
      <c r="E61" s="81">
        <v>0</v>
      </c>
      <c r="F61" s="80">
        <v>0</v>
      </c>
      <c r="G61" s="18">
        <v>500000</v>
      </c>
      <c r="H61" s="81">
        <v>1</v>
      </c>
      <c r="I61" s="80">
        <v>0</v>
      </c>
      <c r="J61" s="18">
        <v>0</v>
      </c>
      <c r="K61" s="81">
        <v>0</v>
      </c>
      <c r="L61" s="120">
        <f>D61+G61+J61</f>
        <v>500000</v>
      </c>
      <c r="M61" s="80">
        <v>0</v>
      </c>
      <c r="N61" s="57">
        <v>0</v>
      </c>
      <c r="O61" s="51" t="s">
        <v>584</v>
      </c>
      <c r="P61" s="32"/>
    </row>
    <row r="62" spans="1:16" s="33" customFormat="1" hidden="1" x14ac:dyDescent="0.25">
      <c r="A62" s="160" t="s">
        <v>155</v>
      </c>
      <c r="B62" s="135"/>
      <c r="C62" s="80">
        <v>0</v>
      </c>
      <c r="D62" s="18">
        <v>0</v>
      </c>
      <c r="E62" s="81">
        <v>0</v>
      </c>
      <c r="F62" s="87">
        <v>0</v>
      </c>
      <c r="G62" s="18">
        <v>0</v>
      </c>
      <c r="H62" s="81">
        <v>1</v>
      </c>
      <c r="I62" s="80">
        <v>0</v>
      </c>
      <c r="J62" s="36"/>
      <c r="K62" s="81">
        <v>0</v>
      </c>
      <c r="L62" s="120">
        <f>D62+G62+J62</f>
        <v>0</v>
      </c>
      <c r="M62" s="80">
        <v>0</v>
      </c>
      <c r="N62" s="57">
        <v>0</v>
      </c>
      <c r="O62" s="51"/>
      <c r="P62" s="32"/>
    </row>
    <row r="63" spans="1:16" ht="27.6" x14ac:dyDescent="0.25">
      <c r="A63" s="160" t="s">
        <v>383</v>
      </c>
      <c r="B63" s="134"/>
      <c r="C63" s="80">
        <v>0</v>
      </c>
      <c r="D63" s="36">
        <v>2679000</v>
      </c>
      <c r="E63" s="81">
        <v>1</v>
      </c>
      <c r="F63" s="80">
        <v>0</v>
      </c>
      <c r="G63" s="18">
        <v>160164</v>
      </c>
      <c r="H63" s="81">
        <v>1</v>
      </c>
      <c r="I63" s="80">
        <v>0</v>
      </c>
      <c r="J63" s="18">
        <v>0</v>
      </c>
      <c r="K63" s="81">
        <v>0</v>
      </c>
      <c r="L63" s="120">
        <f t="shared" ref="L63" si="20">D63+G63+J63</f>
        <v>2839164</v>
      </c>
      <c r="M63" s="80">
        <v>0</v>
      </c>
      <c r="N63" s="57">
        <v>0</v>
      </c>
      <c r="O63" s="51" t="s">
        <v>591</v>
      </c>
    </row>
    <row r="64" spans="1:16" s="33" customFormat="1" x14ac:dyDescent="0.25">
      <c r="A64" s="160" t="s">
        <v>582</v>
      </c>
      <c r="B64" s="135"/>
      <c r="C64" s="80"/>
      <c r="D64" s="18"/>
      <c r="E64" s="81"/>
      <c r="F64" s="87">
        <v>9200000</v>
      </c>
      <c r="G64" s="18">
        <v>-1000000</v>
      </c>
      <c r="H64" s="81">
        <f>G64/F64</f>
        <v>-0.10869565217391304</v>
      </c>
      <c r="I64" s="80"/>
      <c r="J64" s="36"/>
      <c r="K64" s="81"/>
      <c r="L64" s="120"/>
      <c r="M64" s="80"/>
      <c r="N64" s="57"/>
      <c r="O64" s="51" t="s">
        <v>583</v>
      </c>
      <c r="P64" s="32"/>
    </row>
    <row r="65" spans="1:16" hidden="1" x14ac:dyDescent="0.25">
      <c r="A65" s="160" t="s">
        <v>469</v>
      </c>
      <c r="B65" s="134"/>
      <c r="C65" s="82">
        <v>0</v>
      </c>
      <c r="D65" s="17">
        <v>0</v>
      </c>
      <c r="E65" s="83">
        <v>0</v>
      </c>
      <c r="F65" s="113">
        <v>0</v>
      </c>
      <c r="G65" s="17"/>
      <c r="H65" s="83">
        <v>0</v>
      </c>
      <c r="I65" s="82">
        <v>0</v>
      </c>
      <c r="J65" s="20">
        <v>0</v>
      </c>
      <c r="K65" s="83">
        <v>1</v>
      </c>
      <c r="L65" s="121">
        <f>D65+G65+J65</f>
        <v>0</v>
      </c>
      <c r="M65" s="82">
        <v>0</v>
      </c>
      <c r="N65" s="58">
        <v>0</v>
      </c>
      <c r="O65" s="51"/>
    </row>
    <row r="66" spans="1:16" ht="28.8" x14ac:dyDescent="0.25">
      <c r="A66" s="161" t="s">
        <v>18</v>
      </c>
      <c r="B66" s="133" t="s">
        <v>17</v>
      </c>
      <c r="C66" s="85">
        <f>SUM(C67:C69)</f>
        <v>0</v>
      </c>
      <c r="D66" s="45">
        <f>SUM(D67:D69)</f>
        <v>190000</v>
      </c>
      <c r="E66" s="86">
        <v>1</v>
      </c>
      <c r="F66" s="85">
        <f>SUM(F67:F69)</f>
        <v>32182058</v>
      </c>
      <c r="G66" s="45">
        <f>SUM(G67:G69)</f>
        <v>-664561</v>
      </c>
      <c r="H66" s="86">
        <f>G66/F66</f>
        <v>-2.065004668129055E-2</v>
      </c>
      <c r="I66" s="85">
        <f>SUM(I67:I69)</f>
        <v>0</v>
      </c>
      <c r="J66" s="45">
        <f>SUM(J67:J69)</f>
        <v>0</v>
      </c>
      <c r="K66" s="86">
        <v>0</v>
      </c>
      <c r="L66" s="119">
        <f>D66+G66+J66</f>
        <v>-474561</v>
      </c>
      <c r="M66" s="85">
        <f>SUM(M67:M69)</f>
        <v>0</v>
      </c>
      <c r="N66" s="60">
        <f>SUM(N67:N69)</f>
        <v>0</v>
      </c>
      <c r="O66" s="51"/>
      <c r="P66" s="305"/>
    </row>
    <row r="67" spans="1:16" ht="27.6" x14ac:dyDescent="0.25">
      <c r="A67" s="160" t="s">
        <v>508</v>
      </c>
      <c r="B67" s="134"/>
      <c r="C67" s="80">
        <v>0</v>
      </c>
      <c r="D67" s="36">
        <v>190000</v>
      </c>
      <c r="E67" s="81">
        <v>1</v>
      </c>
      <c r="F67" s="80">
        <v>0</v>
      </c>
      <c r="G67" s="18">
        <v>0</v>
      </c>
      <c r="H67" s="81">
        <v>0</v>
      </c>
      <c r="I67" s="80">
        <v>0</v>
      </c>
      <c r="J67" s="18">
        <v>0</v>
      </c>
      <c r="K67" s="81">
        <v>0</v>
      </c>
      <c r="L67" s="120">
        <f t="shared" ref="L67" si="21">D67+G67+J67</f>
        <v>190000</v>
      </c>
      <c r="M67" s="80">
        <v>0</v>
      </c>
      <c r="N67" s="57">
        <v>0</v>
      </c>
      <c r="O67" s="51" t="s">
        <v>551</v>
      </c>
    </row>
    <row r="68" spans="1:16" hidden="1" x14ac:dyDescent="0.25">
      <c r="A68" s="160" t="s">
        <v>385</v>
      </c>
      <c r="B68" s="134"/>
      <c r="C68" s="82">
        <v>0</v>
      </c>
      <c r="D68" s="17">
        <v>0</v>
      </c>
      <c r="E68" s="83">
        <v>1</v>
      </c>
      <c r="F68" s="113">
        <v>0</v>
      </c>
      <c r="G68" s="17">
        <v>0</v>
      </c>
      <c r="H68" s="81" t="e">
        <f t="shared" ref="H68:H69" si="22">G68/F68</f>
        <v>#DIV/0!</v>
      </c>
      <c r="I68" s="82">
        <v>0</v>
      </c>
      <c r="J68" s="17">
        <v>0</v>
      </c>
      <c r="K68" s="83">
        <v>0</v>
      </c>
      <c r="L68" s="121">
        <f t="shared" ref="L68:L69" si="23">D68+G68+J68</f>
        <v>0</v>
      </c>
      <c r="M68" s="82">
        <v>0</v>
      </c>
      <c r="N68" s="58">
        <v>0</v>
      </c>
      <c r="O68" s="51"/>
    </row>
    <row r="69" spans="1:16" s="33" customFormat="1" ht="97.2" thickBot="1" x14ac:dyDescent="0.3">
      <c r="A69" s="160" t="s">
        <v>349</v>
      </c>
      <c r="B69" s="134"/>
      <c r="C69" s="80">
        <v>0</v>
      </c>
      <c r="D69" s="18">
        <v>0</v>
      </c>
      <c r="E69" s="81">
        <v>0</v>
      </c>
      <c r="F69" s="87">
        <v>32182058</v>
      </c>
      <c r="G69" s="18">
        <f>300000+490000-2954561+1000000+500000</f>
        <v>-664561</v>
      </c>
      <c r="H69" s="81">
        <f t="shared" si="22"/>
        <v>-2.065004668129055E-2</v>
      </c>
      <c r="I69" s="80">
        <v>0</v>
      </c>
      <c r="J69" s="18">
        <v>0</v>
      </c>
      <c r="K69" s="81">
        <v>0</v>
      </c>
      <c r="L69" s="120">
        <f t="shared" si="23"/>
        <v>-664561</v>
      </c>
      <c r="M69" s="80">
        <f>4700000-4700000</f>
        <v>0</v>
      </c>
      <c r="N69" s="57">
        <v>0</v>
      </c>
      <c r="O69" s="51" t="s">
        <v>585</v>
      </c>
      <c r="P69" s="32"/>
    </row>
    <row r="70" spans="1:16" ht="43.2" hidden="1" x14ac:dyDescent="0.25">
      <c r="A70" s="161" t="s">
        <v>20</v>
      </c>
      <c r="B70" s="136" t="s">
        <v>19</v>
      </c>
      <c r="C70" s="84">
        <f>SUM(C71:C71)</f>
        <v>0</v>
      </c>
      <c r="D70" s="21">
        <f>SUM(D71:D71)</f>
        <v>0</v>
      </c>
      <c r="E70" s="89">
        <v>0</v>
      </c>
      <c r="F70" s="84">
        <f>SUM(F71:F71)</f>
        <v>0</v>
      </c>
      <c r="G70" s="21">
        <f>SUM(G71:G71)</f>
        <v>0</v>
      </c>
      <c r="H70" s="89">
        <v>0</v>
      </c>
      <c r="I70" s="84">
        <f>SUM(I71:I71)</f>
        <v>0</v>
      </c>
      <c r="J70" s="21">
        <f>SUM(J71:J71)</f>
        <v>0</v>
      </c>
      <c r="K70" s="89">
        <v>0</v>
      </c>
      <c r="L70" s="123">
        <f>D70+G70+J70</f>
        <v>0</v>
      </c>
      <c r="M70" s="84">
        <f>SUM(M71:M71)</f>
        <v>0</v>
      </c>
      <c r="N70" s="59">
        <f>SUM(N71:N71)</f>
        <v>0</v>
      </c>
      <c r="O70" s="51"/>
    </row>
    <row r="71" spans="1:16" ht="14.4" hidden="1" thickBot="1" x14ac:dyDescent="0.3">
      <c r="A71" s="160"/>
      <c r="B71" s="134"/>
      <c r="C71" s="82">
        <v>0</v>
      </c>
      <c r="D71" s="17">
        <v>0</v>
      </c>
      <c r="E71" s="83">
        <v>0</v>
      </c>
      <c r="F71" s="82">
        <v>0</v>
      </c>
      <c r="G71" s="17">
        <v>0</v>
      </c>
      <c r="H71" s="83">
        <v>0</v>
      </c>
      <c r="I71" s="82">
        <v>0</v>
      </c>
      <c r="J71" s="17">
        <v>0</v>
      </c>
      <c r="K71" s="83">
        <v>0</v>
      </c>
      <c r="L71" s="121">
        <f>D71+G71+J71</f>
        <v>0</v>
      </c>
      <c r="M71" s="82">
        <v>0</v>
      </c>
      <c r="N71" s="58">
        <v>0</v>
      </c>
      <c r="O71" s="51"/>
    </row>
    <row r="72" spans="1:16" ht="28.2" thickBot="1" x14ac:dyDescent="0.3">
      <c r="A72" s="158" t="s">
        <v>22</v>
      </c>
      <c r="B72" s="76" t="s">
        <v>21</v>
      </c>
      <c r="C72" s="76">
        <f>C73+C85+C87</f>
        <v>0</v>
      </c>
      <c r="D72" s="43">
        <f>D73+D85+D87</f>
        <v>6608000</v>
      </c>
      <c r="E72" s="77">
        <v>1</v>
      </c>
      <c r="F72" s="76">
        <f>F73+F85+F87</f>
        <v>8441000</v>
      </c>
      <c r="G72" s="43">
        <f>G73+G85+G87</f>
        <v>9300000</v>
      </c>
      <c r="H72" s="77">
        <f>G72/F72</f>
        <v>1.1017651936974293</v>
      </c>
      <c r="I72" s="76">
        <f>I73+I85+I87</f>
        <v>0</v>
      </c>
      <c r="J72" s="43">
        <f>J73+J85+J87</f>
        <v>0</v>
      </c>
      <c r="K72" s="77">
        <v>0</v>
      </c>
      <c r="L72" s="118">
        <f>D72+G72+J72</f>
        <v>15908000</v>
      </c>
      <c r="M72" s="76">
        <f>M73+M85+M87</f>
        <v>6292000</v>
      </c>
      <c r="N72" s="46">
        <f>N73+N85+N87</f>
        <v>6292000</v>
      </c>
      <c r="O72" s="51"/>
      <c r="P72" s="305">
        <f>L73</f>
        <v>15908000</v>
      </c>
    </row>
    <row r="73" spans="1:16" ht="28.8" x14ac:dyDescent="0.25">
      <c r="A73" s="159" t="s">
        <v>24</v>
      </c>
      <c r="B73" s="133" t="s">
        <v>23</v>
      </c>
      <c r="C73" s="78">
        <f>SUM(C74:C84)</f>
        <v>0</v>
      </c>
      <c r="D73" s="44">
        <f>SUM(D74:D84)</f>
        <v>6608000</v>
      </c>
      <c r="E73" s="79">
        <v>1</v>
      </c>
      <c r="F73" s="78">
        <f>SUM(F74:F84)</f>
        <v>8441000</v>
      </c>
      <c r="G73" s="44">
        <f>SUM(G74:G84)</f>
        <v>9300000</v>
      </c>
      <c r="H73" s="79">
        <f>G73/F73</f>
        <v>1.1017651936974293</v>
      </c>
      <c r="I73" s="78">
        <f>SUM(I74:I84)</f>
        <v>0</v>
      </c>
      <c r="J73" s="44">
        <f>SUM(J74:J84)</f>
        <v>0</v>
      </c>
      <c r="K73" s="79">
        <v>0</v>
      </c>
      <c r="L73" s="119">
        <f>D73+G73+J73</f>
        <v>15908000</v>
      </c>
      <c r="M73" s="78">
        <f>SUM(M74:M84)</f>
        <v>6292000</v>
      </c>
      <c r="N73" s="56">
        <f>SUM(N74:N84)</f>
        <v>6292000</v>
      </c>
      <c r="O73" s="51"/>
    </row>
    <row r="74" spans="1:16" hidden="1" x14ac:dyDescent="0.25">
      <c r="A74" s="160" t="s">
        <v>127</v>
      </c>
      <c r="B74" s="134"/>
      <c r="C74" s="82">
        <v>0</v>
      </c>
      <c r="D74" s="20">
        <v>0</v>
      </c>
      <c r="E74" s="83">
        <v>1</v>
      </c>
      <c r="F74" s="82">
        <v>0</v>
      </c>
      <c r="G74" s="17">
        <v>0</v>
      </c>
      <c r="H74" s="83">
        <v>0</v>
      </c>
      <c r="I74" s="82">
        <v>0</v>
      </c>
      <c r="J74" s="17">
        <v>0</v>
      </c>
      <c r="K74" s="83">
        <v>0</v>
      </c>
      <c r="L74" s="121">
        <f t="shared" ref="L74:L84" si="24">D74+G74+J74</f>
        <v>0</v>
      </c>
      <c r="M74" s="82">
        <v>0</v>
      </c>
      <c r="N74" s="58">
        <v>0</v>
      </c>
      <c r="O74" s="51"/>
    </row>
    <row r="75" spans="1:16" hidden="1" x14ac:dyDescent="0.25">
      <c r="A75" s="160" t="s">
        <v>321</v>
      </c>
      <c r="B75" s="134"/>
      <c r="C75" s="82">
        <v>0</v>
      </c>
      <c r="D75" s="20">
        <v>0</v>
      </c>
      <c r="E75" s="83">
        <v>1</v>
      </c>
      <c r="F75" s="82">
        <v>0</v>
      </c>
      <c r="G75" s="17">
        <v>0</v>
      </c>
      <c r="H75" s="83">
        <v>0</v>
      </c>
      <c r="I75" s="82">
        <v>0</v>
      </c>
      <c r="J75" s="17">
        <v>0</v>
      </c>
      <c r="K75" s="83">
        <v>0</v>
      </c>
      <c r="L75" s="121">
        <f t="shared" si="24"/>
        <v>0</v>
      </c>
      <c r="M75" s="82">
        <v>0</v>
      </c>
      <c r="N75" s="58">
        <v>0</v>
      </c>
      <c r="O75" s="51"/>
    </row>
    <row r="76" spans="1:16" hidden="1" x14ac:dyDescent="0.25">
      <c r="A76" s="160" t="s">
        <v>322</v>
      </c>
      <c r="B76" s="134"/>
      <c r="C76" s="82">
        <v>0</v>
      </c>
      <c r="D76" s="20">
        <v>0</v>
      </c>
      <c r="E76" s="83">
        <v>1</v>
      </c>
      <c r="F76" s="82">
        <v>0</v>
      </c>
      <c r="G76" s="17">
        <v>0</v>
      </c>
      <c r="H76" s="83">
        <v>0</v>
      </c>
      <c r="I76" s="82">
        <v>0</v>
      </c>
      <c r="J76" s="17">
        <v>0</v>
      </c>
      <c r="K76" s="83">
        <v>0</v>
      </c>
      <c r="L76" s="121">
        <f t="shared" si="24"/>
        <v>0</v>
      </c>
      <c r="M76" s="82">
        <v>0</v>
      </c>
      <c r="N76" s="58">
        <v>0</v>
      </c>
      <c r="O76" s="51"/>
    </row>
    <row r="77" spans="1:16" hidden="1" x14ac:dyDescent="0.25">
      <c r="A77" s="160" t="s">
        <v>323</v>
      </c>
      <c r="B77" s="134"/>
      <c r="C77" s="82">
        <v>0</v>
      </c>
      <c r="D77" s="20">
        <v>0</v>
      </c>
      <c r="E77" s="83">
        <v>1</v>
      </c>
      <c r="F77" s="82">
        <v>0</v>
      </c>
      <c r="G77" s="17">
        <v>0</v>
      </c>
      <c r="H77" s="83">
        <v>1</v>
      </c>
      <c r="I77" s="82">
        <v>0</v>
      </c>
      <c r="J77" s="17">
        <v>0</v>
      </c>
      <c r="K77" s="83">
        <v>0</v>
      </c>
      <c r="L77" s="121">
        <f t="shared" si="24"/>
        <v>0</v>
      </c>
      <c r="M77" s="82">
        <v>0</v>
      </c>
      <c r="N77" s="58">
        <v>0</v>
      </c>
      <c r="O77" s="51"/>
    </row>
    <row r="78" spans="1:16" hidden="1" x14ac:dyDescent="0.25">
      <c r="A78" s="160" t="s">
        <v>128</v>
      </c>
      <c r="B78" s="134"/>
      <c r="C78" s="82">
        <v>0</v>
      </c>
      <c r="D78" s="20">
        <v>0</v>
      </c>
      <c r="E78" s="83">
        <v>1</v>
      </c>
      <c r="F78" s="82">
        <v>0</v>
      </c>
      <c r="G78" s="17">
        <v>0</v>
      </c>
      <c r="H78" s="83">
        <v>0</v>
      </c>
      <c r="I78" s="82">
        <v>0</v>
      </c>
      <c r="J78" s="17">
        <v>0</v>
      </c>
      <c r="K78" s="83">
        <v>0</v>
      </c>
      <c r="L78" s="121">
        <f t="shared" si="24"/>
        <v>0</v>
      </c>
      <c r="M78" s="82">
        <v>0</v>
      </c>
      <c r="N78" s="58">
        <v>0</v>
      </c>
      <c r="O78" s="51"/>
    </row>
    <row r="79" spans="1:16" ht="27.6" hidden="1" x14ac:dyDescent="0.25">
      <c r="A79" s="160" t="s">
        <v>129</v>
      </c>
      <c r="B79" s="134"/>
      <c r="C79" s="82">
        <v>0</v>
      </c>
      <c r="D79" s="20">
        <v>0</v>
      </c>
      <c r="E79" s="83">
        <v>1</v>
      </c>
      <c r="F79" s="82">
        <v>0</v>
      </c>
      <c r="G79" s="17">
        <v>0</v>
      </c>
      <c r="H79" s="83">
        <v>0</v>
      </c>
      <c r="I79" s="82">
        <v>0</v>
      </c>
      <c r="J79" s="17">
        <v>0</v>
      </c>
      <c r="K79" s="83">
        <v>0</v>
      </c>
      <c r="L79" s="121">
        <f t="shared" si="24"/>
        <v>0</v>
      </c>
      <c r="M79" s="82">
        <v>0</v>
      </c>
      <c r="N79" s="58">
        <v>0</v>
      </c>
      <c r="O79" s="51"/>
    </row>
    <row r="80" spans="1:16" x14ac:dyDescent="0.25">
      <c r="A80" s="160" t="s">
        <v>552</v>
      </c>
      <c r="B80" s="134"/>
      <c r="C80" s="80">
        <v>0</v>
      </c>
      <c r="D80" s="36">
        <f>251680+6040320</f>
        <v>6292000</v>
      </c>
      <c r="E80" s="81">
        <v>1</v>
      </c>
      <c r="F80" s="80">
        <v>0</v>
      </c>
      <c r="G80" s="18">
        <v>0</v>
      </c>
      <c r="H80" s="81">
        <v>0</v>
      </c>
      <c r="I80" s="80">
        <v>0</v>
      </c>
      <c r="J80" s="18">
        <v>0</v>
      </c>
      <c r="K80" s="81">
        <v>0</v>
      </c>
      <c r="L80" s="120">
        <f t="shared" ref="L80" si="25">D80+G80+J80</f>
        <v>6292000</v>
      </c>
      <c r="M80" s="80">
        <v>6292000</v>
      </c>
      <c r="N80" s="57">
        <v>6292000</v>
      </c>
      <c r="O80" s="51"/>
    </row>
    <row r="81" spans="1:16" x14ac:dyDescent="0.25">
      <c r="A81" s="160" t="s">
        <v>507</v>
      </c>
      <c r="B81" s="134"/>
      <c r="C81" s="80">
        <v>0</v>
      </c>
      <c r="D81" s="36">
        <v>296000</v>
      </c>
      <c r="E81" s="81">
        <v>1</v>
      </c>
      <c r="F81" s="80">
        <v>0</v>
      </c>
      <c r="G81" s="18">
        <v>0</v>
      </c>
      <c r="H81" s="81">
        <v>0</v>
      </c>
      <c r="I81" s="80">
        <v>0</v>
      </c>
      <c r="J81" s="18">
        <v>0</v>
      </c>
      <c r="K81" s="81">
        <v>0</v>
      </c>
      <c r="L81" s="120">
        <f t="shared" ref="L81" si="26">D81+G81+J81</f>
        <v>296000</v>
      </c>
      <c r="M81" s="80">
        <v>0</v>
      </c>
      <c r="N81" s="57">
        <v>0</v>
      </c>
      <c r="O81" s="51"/>
    </row>
    <row r="82" spans="1:16" s="33" customFormat="1" x14ac:dyDescent="0.25">
      <c r="A82" s="160" t="s">
        <v>472</v>
      </c>
      <c r="B82" s="135"/>
      <c r="C82" s="80">
        <v>0</v>
      </c>
      <c r="D82" s="36">
        <v>0</v>
      </c>
      <c r="E82" s="81">
        <v>0</v>
      </c>
      <c r="F82" s="80">
        <v>0</v>
      </c>
      <c r="G82" s="18">
        <f>8800000</f>
        <v>8800000</v>
      </c>
      <c r="H82" s="81" t="e">
        <f t="shared" ref="H82:H84" si="27">G82/F82</f>
        <v>#DIV/0!</v>
      </c>
      <c r="I82" s="80">
        <v>0</v>
      </c>
      <c r="J82" s="18">
        <v>0</v>
      </c>
      <c r="K82" s="81">
        <v>0</v>
      </c>
      <c r="L82" s="120">
        <f t="shared" si="24"/>
        <v>8800000</v>
      </c>
      <c r="M82" s="80">
        <v>0</v>
      </c>
      <c r="N82" s="57">
        <v>0</v>
      </c>
      <c r="O82" s="51" t="s">
        <v>568</v>
      </c>
      <c r="P82" s="32"/>
    </row>
    <row r="83" spans="1:16" ht="27.6" x14ac:dyDescent="0.25">
      <c r="A83" s="160" t="s">
        <v>505</v>
      </c>
      <c r="B83" s="134"/>
      <c r="C83" s="80">
        <v>0</v>
      </c>
      <c r="D83" s="36">
        <v>20000</v>
      </c>
      <c r="E83" s="81">
        <v>1</v>
      </c>
      <c r="F83" s="80">
        <v>0</v>
      </c>
      <c r="G83" s="18">
        <v>0</v>
      </c>
      <c r="H83" s="81">
        <v>0</v>
      </c>
      <c r="I83" s="80">
        <v>0</v>
      </c>
      <c r="J83" s="18">
        <v>0</v>
      </c>
      <c r="K83" s="81">
        <v>0</v>
      </c>
      <c r="L83" s="120">
        <f t="shared" si="24"/>
        <v>20000</v>
      </c>
      <c r="M83" s="80">
        <v>0</v>
      </c>
      <c r="N83" s="57">
        <v>0</v>
      </c>
      <c r="O83" s="301" t="s">
        <v>544</v>
      </c>
    </row>
    <row r="84" spans="1:16" ht="14.4" thickBot="1" x14ac:dyDescent="0.3">
      <c r="A84" s="160" t="s">
        <v>154</v>
      </c>
      <c r="B84" s="134"/>
      <c r="C84" s="80">
        <v>0</v>
      </c>
      <c r="D84" s="18">
        <v>0</v>
      </c>
      <c r="E84" s="81">
        <v>0</v>
      </c>
      <c r="F84" s="80">
        <v>8441000</v>
      </c>
      <c r="G84" s="18">
        <v>500000</v>
      </c>
      <c r="H84" s="81">
        <f t="shared" si="27"/>
        <v>5.9234687833195118E-2</v>
      </c>
      <c r="I84" s="80">
        <v>0</v>
      </c>
      <c r="J84" s="36">
        <v>0</v>
      </c>
      <c r="K84" s="81">
        <v>0</v>
      </c>
      <c r="L84" s="120">
        <f t="shared" si="24"/>
        <v>500000</v>
      </c>
      <c r="M84" s="80">
        <v>0</v>
      </c>
      <c r="N84" s="57">
        <v>0</v>
      </c>
      <c r="O84" s="51" t="s">
        <v>553</v>
      </c>
    </row>
    <row r="85" spans="1:16" ht="28.8" hidden="1" x14ac:dyDescent="0.25">
      <c r="A85" s="161" t="s">
        <v>26</v>
      </c>
      <c r="B85" s="137" t="s">
        <v>25</v>
      </c>
      <c r="C85" s="85">
        <f>SUM(C86:C86)</f>
        <v>0</v>
      </c>
      <c r="D85" s="45">
        <f>SUM(D86:D86)</f>
        <v>0</v>
      </c>
      <c r="E85" s="86">
        <v>0</v>
      </c>
      <c r="F85" s="85">
        <f>SUM(F86:F86)</f>
        <v>0</v>
      </c>
      <c r="G85" s="45">
        <f>SUM(G86:G86)</f>
        <v>0</v>
      </c>
      <c r="H85" s="86">
        <v>0</v>
      </c>
      <c r="I85" s="85">
        <f>SUM(I86:I86)</f>
        <v>0</v>
      </c>
      <c r="J85" s="45">
        <f>SUM(J86:J86)</f>
        <v>0</v>
      </c>
      <c r="K85" s="86">
        <v>0</v>
      </c>
      <c r="L85" s="119">
        <f>D85+G85+J85</f>
        <v>0</v>
      </c>
      <c r="M85" s="85">
        <f>SUM(M86:M86)</f>
        <v>0</v>
      </c>
      <c r="N85" s="60">
        <f>SUM(N86:N86)</f>
        <v>0</v>
      </c>
      <c r="O85" s="51"/>
    </row>
    <row r="86" spans="1:16" hidden="1" x14ac:dyDescent="0.25">
      <c r="A86" s="160"/>
      <c r="B86" s="134"/>
      <c r="C86" s="82"/>
      <c r="D86" s="17"/>
      <c r="E86" s="83">
        <v>0</v>
      </c>
      <c r="F86" s="82"/>
      <c r="G86" s="17"/>
      <c r="H86" s="83">
        <v>0</v>
      </c>
      <c r="I86" s="82"/>
      <c r="J86" s="17"/>
      <c r="K86" s="83">
        <v>0</v>
      </c>
      <c r="L86" s="121"/>
      <c r="M86" s="82"/>
      <c r="N86" s="58"/>
      <c r="O86" s="51"/>
    </row>
    <row r="87" spans="1:16" ht="28.8" hidden="1" x14ac:dyDescent="0.25">
      <c r="A87" s="161" t="s">
        <v>28</v>
      </c>
      <c r="B87" s="137" t="s">
        <v>27</v>
      </c>
      <c r="C87" s="85">
        <f>SUM(C88:C88)</f>
        <v>0</v>
      </c>
      <c r="D87" s="45">
        <f>SUM(D88:D88)</f>
        <v>0</v>
      </c>
      <c r="E87" s="86">
        <v>0</v>
      </c>
      <c r="F87" s="85">
        <f>SUM(F88:F88)</f>
        <v>0</v>
      </c>
      <c r="G87" s="45">
        <f>SUM(G88:G88)</f>
        <v>0</v>
      </c>
      <c r="H87" s="86">
        <v>0</v>
      </c>
      <c r="I87" s="85">
        <f>SUM(I88:I88)</f>
        <v>0</v>
      </c>
      <c r="J87" s="45">
        <f>SUM(J88:J88)</f>
        <v>0</v>
      </c>
      <c r="K87" s="86">
        <v>0</v>
      </c>
      <c r="L87" s="119">
        <f>D87+G87+J87</f>
        <v>0</v>
      </c>
      <c r="M87" s="85">
        <f>SUM(M88:M88)</f>
        <v>0</v>
      </c>
      <c r="N87" s="60">
        <f>SUM(N88:N88)</f>
        <v>0</v>
      </c>
      <c r="O87" s="51"/>
    </row>
    <row r="88" spans="1:16" ht="14.4" hidden="1" thickBot="1" x14ac:dyDescent="0.3">
      <c r="A88" s="160"/>
      <c r="B88" s="134"/>
      <c r="C88" s="82"/>
      <c r="D88" s="17"/>
      <c r="E88" s="83">
        <v>0</v>
      </c>
      <c r="F88" s="82"/>
      <c r="G88" s="17"/>
      <c r="H88" s="83">
        <v>0</v>
      </c>
      <c r="I88" s="82"/>
      <c r="J88" s="17"/>
      <c r="K88" s="83">
        <v>0</v>
      </c>
      <c r="L88" s="121"/>
      <c r="M88" s="82"/>
      <c r="N88" s="58"/>
      <c r="O88" s="51"/>
    </row>
    <row r="89" spans="1:16" ht="28.2" thickBot="1" x14ac:dyDescent="0.3">
      <c r="A89" s="158" t="s">
        <v>30</v>
      </c>
      <c r="B89" s="76" t="s">
        <v>29</v>
      </c>
      <c r="C89" s="76">
        <f>C90+C92+C95+C99</f>
        <v>0</v>
      </c>
      <c r="D89" s="43">
        <f>D90+D92+D95+D99</f>
        <v>0</v>
      </c>
      <c r="E89" s="77">
        <v>0</v>
      </c>
      <c r="F89" s="76">
        <f>F90+F92+F95+F99</f>
        <v>0</v>
      </c>
      <c r="G89" s="43">
        <f>G90+G92+G95+G99</f>
        <v>0</v>
      </c>
      <c r="H89" s="77">
        <v>0</v>
      </c>
      <c r="I89" s="76">
        <f>I90+I92+I95+I99</f>
        <v>20000</v>
      </c>
      <c r="J89" s="43">
        <f>J90+J92+J95+J99</f>
        <v>-20000</v>
      </c>
      <c r="K89" s="77">
        <f>J89/I89</f>
        <v>-1</v>
      </c>
      <c r="L89" s="118">
        <f>D89+G89+J89</f>
        <v>-20000</v>
      </c>
      <c r="M89" s="76">
        <f>M90+M92+M95+M99</f>
        <v>0</v>
      </c>
      <c r="N89" s="46">
        <f>N90+N92+N95+N99</f>
        <v>0</v>
      </c>
      <c r="O89" s="51"/>
    </row>
    <row r="90" spans="1:16" ht="27.6" hidden="1" x14ac:dyDescent="0.25">
      <c r="A90" s="163" t="s">
        <v>32</v>
      </c>
      <c r="B90" s="139" t="s">
        <v>31</v>
      </c>
      <c r="C90" s="90">
        <f>C91</f>
        <v>0</v>
      </c>
      <c r="D90" s="47">
        <f>D91</f>
        <v>0</v>
      </c>
      <c r="E90" s="91">
        <v>0</v>
      </c>
      <c r="F90" s="90">
        <f>F91</f>
        <v>0</v>
      </c>
      <c r="G90" s="47">
        <f>G91</f>
        <v>0</v>
      </c>
      <c r="H90" s="91">
        <v>0</v>
      </c>
      <c r="I90" s="90">
        <f>I91</f>
        <v>0</v>
      </c>
      <c r="J90" s="47">
        <f>J91</f>
        <v>0</v>
      </c>
      <c r="K90" s="91">
        <v>0</v>
      </c>
      <c r="L90" s="119">
        <f>D90+G90+J90</f>
        <v>0</v>
      </c>
      <c r="M90" s="90">
        <f>M91</f>
        <v>0</v>
      </c>
      <c r="N90" s="62">
        <f>N91</f>
        <v>0</v>
      </c>
      <c r="O90" s="51"/>
    </row>
    <row r="91" spans="1:16" hidden="1" x14ac:dyDescent="0.25">
      <c r="A91" s="160" t="s">
        <v>335</v>
      </c>
      <c r="B91" s="134"/>
      <c r="C91" s="82">
        <v>0</v>
      </c>
      <c r="D91" s="17">
        <v>0</v>
      </c>
      <c r="E91" s="83">
        <v>0</v>
      </c>
      <c r="F91" s="82">
        <v>0</v>
      </c>
      <c r="G91" s="17">
        <v>0</v>
      </c>
      <c r="H91" s="83">
        <v>0</v>
      </c>
      <c r="I91" s="82">
        <v>0</v>
      </c>
      <c r="J91" s="17">
        <v>0</v>
      </c>
      <c r="K91" s="83">
        <v>0</v>
      </c>
      <c r="L91" s="121">
        <f t="shared" ref="L91" si="28">D91+G91+J91</f>
        <v>0</v>
      </c>
      <c r="M91" s="82">
        <v>0</v>
      </c>
      <c r="N91" s="58">
        <v>0</v>
      </c>
      <c r="O91" s="51"/>
    </row>
    <row r="92" spans="1:16" ht="28.8" hidden="1" x14ac:dyDescent="0.25">
      <c r="A92" s="161" t="s">
        <v>34</v>
      </c>
      <c r="B92" s="137" t="s">
        <v>33</v>
      </c>
      <c r="C92" s="85">
        <f>SUM(C93:C94)</f>
        <v>0</v>
      </c>
      <c r="D92" s="45">
        <f>SUM(D93:D94)</f>
        <v>0</v>
      </c>
      <c r="E92" s="86">
        <v>1</v>
      </c>
      <c r="F92" s="85">
        <f>SUM(F93:F94)</f>
        <v>0</v>
      </c>
      <c r="G92" s="45">
        <f>SUM(G93:G94)</f>
        <v>0</v>
      </c>
      <c r="H92" s="86">
        <v>0</v>
      </c>
      <c r="I92" s="85">
        <f>SUM(I93:I94)</f>
        <v>0</v>
      </c>
      <c r="J92" s="45">
        <f>SUM(J93:J94)</f>
        <v>0</v>
      </c>
      <c r="K92" s="86">
        <v>0</v>
      </c>
      <c r="L92" s="119">
        <f>D92+G92+J92</f>
        <v>0</v>
      </c>
      <c r="M92" s="85">
        <f>SUM(M93:M94)</f>
        <v>0</v>
      </c>
      <c r="N92" s="60">
        <f>SUM(N93:N94)</f>
        <v>0</v>
      </c>
      <c r="O92" s="51"/>
    </row>
    <row r="93" spans="1:16" hidden="1" x14ac:dyDescent="0.25">
      <c r="A93" s="160" t="s">
        <v>419</v>
      </c>
      <c r="B93" s="134"/>
      <c r="C93" s="82">
        <v>0</v>
      </c>
      <c r="D93" s="17">
        <v>0</v>
      </c>
      <c r="E93" s="83">
        <v>0</v>
      </c>
      <c r="F93" s="82">
        <v>0</v>
      </c>
      <c r="G93" s="17">
        <v>0</v>
      </c>
      <c r="H93" s="83">
        <v>0</v>
      </c>
      <c r="I93" s="82">
        <v>0</v>
      </c>
      <c r="J93" s="17">
        <v>0</v>
      </c>
      <c r="K93" s="83">
        <v>0</v>
      </c>
      <c r="L93" s="121">
        <f t="shared" ref="L93:L94" si="29">D93+G93+J93</f>
        <v>0</v>
      </c>
      <c r="M93" s="82">
        <v>0</v>
      </c>
      <c r="N93" s="58">
        <v>0</v>
      </c>
      <c r="O93" s="51"/>
    </row>
    <row r="94" spans="1:16" hidden="1" x14ac:dyDescent="0.25">
      <c r="A94" s="164" t="s">
        <v>471</v>
      </c>
      <c r="B94" s="134"/>
      <c r="C94" s="82">
        <v>0</v>
      </c>
      <c r="D94" s="17">
        <v>0</v>
      </c>
      <c r="E94" s="92">
        <v>0</v>
      </c>
      <c r="F94" s="82">
        <v>0</v>
      </c>
      <c r="G94" s="17">
        <v>0</v>
      </c>
      <c r="H94" s="114">
        <v>0</v>
      </c>
      <c r="I94" s="96">
        <v>0</v>
      </c>
      <c r="J94" s="35">
        <v>0</v>
      </c>
      <c r="K94" s="110">
        <v>0</v>
      </c>
      <c r="L94" s="124">
        <f t="shared" si="29"/>
        <v>0</v>
      </c>
      <c r="M94" s="82">
        <v>0</v>
      </c>
      <c r="N94" s="58">
        <v>0</v>
      </c>
      <c r="O94" s="194"/>
    </row>
    <row r="95" spans="1:16" ht="43.2" hidden="1" x14ac:dyDescent="0.25">
      <c r="A95" s="161" t="s">
        <v>36</v>
      </c>
      <c r="B95" s="137" t="s">
        <v>35</v>
      </c>
      <c r="C95" s="85">
        <f>SUM(C96:C98)</f>
        <v>0</v>
      </c>
      <c r="D95" s="45">
        <f>SUM(D96:D98)</f>
        <v>0</v>
      </c>
      <c r="E95" s="86">
        <v>0</v>
      </c>
      <c r="F95" s="85">
        <f t="shared" ref="F95:G95" si="30">SUM(F96:F98)</f>
        <v>0</v>
      </c>
      <c r="G95" s="45">
        <f t="shared" si="30"/>
        <v>0</v>
      </c>
      <c r="H95" s="86">
        <v>0</v>
      </c>
      <c r="I95" s="85">
        <f t="shared" ref="I95" si="31">SUM(I96:I98)</f>
        <v>0</v>
      </c>
      <c r="J95" s="45">
        <f t="shared" ref="J95" si="32">SUM(J96:J98)</f>
        <v>0</v>
      </c>
      <c r="K95" s="86">
        <v>0</v>
      </c>
      <c r="L95" s="119">
        <f>D95+G95+J95</f>
        <v>0</v>
      </c>
      <c r="M95" s="85">
        <f t="shared" ref="M95" si="33">SUM(M96:M98)</f>
        <v>0</v>
      </c>
      <c r="N95" s="60">
        <f t="shared" ref="N95" si="34">SUM(N96:N98)</f>
        <v>0</v>
      </c>
      <c r="O95" s="51"/>
    </row>
    <row r="96" spans="1:16" hidden="1" x14ac:dyDescent="0.25">
      <c r="A96" s="160" t="s">
        <v>378</v>
      </c>
      <c r="B96" s="134"/>
      <c r="C96" s="82">
        <v>0</v>
      </c>
      <c r="D96" s="17">
        <v>0</v>
      </c>
      <c r="E96" s="83">
        <v>0</v>
      </c>
      <c r="F96" s="82">
        <v>0</v>
      </c>
      <c r="G96" s="17">
        <v>0</v>
      </c>
      <c r="H96" s="83">
        <v>0</v>
      </c>
      <c r="I96" s="82">
        <v>0</v>
      </c>
      <c r="J96" s="17">
        <v>0</v>
      </c>
      <c r="K96" s="83">
        <v>0</v>
      </c>
      <c r="L96" s="121">
        <f t="shared" ref="L96:L98" si="35">D96+G96+J96</f>
        <v>0</v>
      </c>
      <c r="M96" s="82">
        <v>0</v>
      </c>
      <c r="N96" s="58">
        <v>0</v>
      </c>
      <c r="O96" s="51"/>
    </row>
    <row r="97" spans="1:16" hidden="1" x14ac:dyDescent="0.25">
      <c r="A97" s="160" t="s">
        <v>333</v>
      </c>
      <c r="B97" s="134"/>
      <c r="C97" s="82">
        <v>0</v>
      </c>
      <c r="D97" s="17">
        <v>0</v>
      </c>
      <c r="E97" s="83">
        <v>0</v>
      </c>
      <c r="F97" s="82">
        <v>0</v>
      </c>
      <c r="G97" s="17">
        <v>0</v>
      </c>
      <c r="H97" s="83">
        <v>0</v>
      </c>
      <c r="I97" s="82">
        <v>0</v>
      </c>
      <c r="J97" s="17">
        <v>0</v>
      </c>
      <c r="K97" s="83">
        <v>0</v>
      </c>
      <c r="L97" s="121">
        <f t="shared" si="35"/>
        <v>0</v>
      </c>
      <c r="M97" s="82">
        <v>0</v>
      </c>
      <c r="N97" s="58">
        <v>0</v>
      </c>
      <c r="O97" s="51"/>
    </row>
    <row r="98" spans="1:16" hidden="1" x14ac:dyDescent="0.25">
      <c r="A98" s="160" t="s">
        <v>384</v>
      </c>
      <c r="B98" s="134"/>
      <c r="C98" s="82">
        <v>0</v>
      </c>
      <c r="D98" s="17">
        <v>0</v>
      </c>
      <c r="E98" s="83">
        <v>0</v>
      </c>
      <c r="F98" s="82">
        <v>0</v>
      </c>
      <c r="G98" s="17">
        <v>0</v>
      </c>
      <c r="H98" s="83">
        <v>0</v>
      </c>
      <c r="I98" s="82">
        <v>0</v>
      </c>
      <c r="J98" s="17">
        <v>0</v>
      </c>
      <c r="K98" s="83">
        <v>0</v>
      </c>
      <c r="L98" s="121">
        <f t="shared" si="35"/>
        <v>0</v>
      </c>
      <c r="M98" s="82">
        <v>0</v>
      </c>
      <c r="N98" s="58">
        <v>0</v>
      </c>
      <c r="O98" s="51"/>
    </row>
    <row r="99" spans="1:16" ht="28.8" x14ac:dyDescent="0.25">
      <c r="A99" s="161" t="s">
        <v>38</v>
      </c>
      <c r="B99" s="137" t="s">
        <v>37</v>
      </c>
      <c r="C99" s="85">
        <f>C100+C101</f>
        <v>0</v>
      </c>
      <c r="D99" s="45">
        <f>D100+D101</f>
        <v>0</v>
      </c>
      <c r="E99" s="86">
        <v>0</v>
      </c>
      <c r="F99" s="85">
        <f>F100+F101</f>
        <v>0</v>
      </c>
      <c r="G99" s="45">
        <f>G100+G101</f>
        <v>0</v>
      </c>
      <c r="H99" s="86">
        <v>0</v>
      </c>
      <c r="I99" s="85">
        <f>I100+I101</f>
        <v>20000</v>
      </c>
      <c r="J99" s="45">
        <f>J100+J101</f>
        <v>-20000</v>
      </c>
      <c r="K99" s="86">
        <f>J99/I99</f>
        <v>-1</v>
      </c>
      <c r="L99" s="119">
        <f>D99+G99+J99</f>
        <v>-20000</v>
      </c>
      <c r="M99" s="85">
        <f>M100+M101</f>
        <v>0</v>
      </c>
      <c r="N99" s="60">
        <f>N100+N101</f>
        <v>0</v>
      </c>
      <c r="O99" s="51"/>
      <c r="P99" s="305">
        <f>L99</f>
        <v>-20000</v>
      </c>
    </row>
    <row r="100" spans="1:16" ht="27.6" hidden="1" x14ac:dyDescent="0.25">
      <c r="A100" s="160" t="s">
        <v>149</v>
      </c>
      <c r="B100" s="134"/>
      <c r="C100" s="82">
        <v>0</v>
      </c>
      <c r="D100" s="17">
        <v>0</v>
      </c>
      <c r="E100" s="83">
        <v>0</v>
      </c>
      <c r="F100" s="82">
        <v>0</v>
      </c>
      <c r="G100" s="17">
        <v>0</v>
      </c>
      <c r="H100" s="83">
        <v>0</v>
      </c>
      <c r="I100" s="82">
        <v>0</v>
      </c>
      <c r="J100" s="20">
        <v>0</v>
      </c>
      <c r="K100" s="83">
        <v>0</v>
      </c>
      <c r="L100" s="121">
        <f t="shared" ref="L100:L101" si="36">D100+G100+J100</f>
        <v>0</v>
      </c>
      <c r="M100" s="82">
        <v>0</v>
      </c>
      <c r="N100" s="58">
        <v>0</v>
      </c>
      <c r="O100" s="51"/>
    </row>
    <row r="101" spans="1:16" ht="14.4" thickBot="1" x14ac:dyDescent="0.3">
      <c r="A101" s="164" t="s">
        <v>554</v>
      </c>
      <c r="B101" s="140"/>
      <c r="C101" s="93">
        <v>0</v>
      </c>
      <c r="D101" s="37">
        <v>0</v>
      </c>
      <c r="E101" s="94">
        <v>0</v>
      </c>
      <c r="F101" s="93">
        <v>0</v>
      </c>
      <c r="G101" s="37">
        <v>0</v>
      </c>
      <c r="H101" s="94">
        <v>0</v>
      </c>
      <c r="I101" s="93">
        <v>20000</v>
      </c>
      <c r="J101" s="38">
        <v>-20000</v>
      </c>
      <c r="K101" s="94">
        <f t="shared" ref="K101:K106" si="37">J101/I101</f>
        <v>-1</v>
      </c>
      <c r="L101" s="120">
        <f t="shared" si="36"/>
        <v>-20000</v>
      </c>
      <c r="M101" s="93">
        <v>0</v>
      </c>
      <c r="N101" s="63">
        <v>0</v>
      </c>
      <c r="O101" s="51"/>
    </row>
    <row r="102" spans="1:16" ht="28.2" thickBot="1" x14ac:dyDescent="0.3">
      <c r="A102" s="158" t="s">
        <v>40</v>
      </c>
      <c r="B102" s="76" t="s">
        <v>39</v>
      </c>
      <c r="C102" s="76">
        <f>C103+C105</f>
        <v>0</v>
      </c>
      <c r="D102" s="43">
        <f>D103+D105</f>
        <v>0</v>
      </c>
      <c r="E102" s="77">
        <v>0</v>
      </c>
      <c r="F102" s="76">
        <f>F103+F105</f>
        <v>0</v>
      </c>
      <c r="G102" s="43">
        <f>G103+G105</f>
        <v>0</v>
      </c>
      <c r="H102" s="77">
        <v>0</v>
      </c>
      <c r="I102" s="76">
        <f>I103+I105</f>
        <v>15514500</v>
      </c>
      <c r="J102" s="43">
        <f>J103+J105</f>
        <v>1476000</v>
      </c>
      <c r="K102" s="77">
        <f t="shared" si="37"/>
        <v>9.5136807502658807E-2</v>
      </c>
      <c r="L102" s="118">
        <f>D102+G102+J102</f>
        <v>1476000</v>
      </c>
      <c r="M102" s="76">
        <f>M103+M105</f>
        <v>0</v>
      </c>
      <c r="N102" s="46">
        <f>N103+N105</f>
        <v>0</v>
      </c>
      <c r="O102" s="51"/>
    </row>
    <row r="103" spans="1:16" ht="28.8" x14ac:dyDescent="0.25">
      <c r="A103" s="159" t="s">
        <v>42</v>
      </c>
      <c r="B103" s="141" t="s">
        <v>41</v>
      </c>
      <c r="C103" s="78">
        <f>C104</f>
        <v>0</v>
      </c>
      <c r="D103" s="44">
        <f>D104</f>
        <v>0</v>
      </c>
      <c r="E103" s="79">
        <v>0</v>
      </c>
      <c r="F103" s="78">
        <f>F104</f>
        <v>0</v>
      </c>
      <c r="G103" s="44">
        <f>G104</f>
        <v>0</v>
      </c>
      <c r="H103" s="79">
        <v>0</v>
      </c>
      <c r="I103" s="78">
        <f>I104</f>
        <v>1920000</v>
      </c>
      <c r="J103" s="44">
        <f>J104</f>
        <v>-1000000</v>
      </c>
      <c r="K103" s="79">
        <f t="shared" si="37"/>
        <v>-0.52083333333333337</v>
      </c>
      <c r="L103" s="119">
        <f>D103+G103+J103</f>
        <v>-1000000</v>
      </c>
      <c r="M103" s="78">
        <f>M104</f>
        <v>0</v>
      </c>
      <c r="N103" s="56">
        <f>N104</f>
        <v>0</v>
      </c>
      <c r="O103" s="51"/>
    </row>
    <row r="104" spans="1:16" ht="27.6" x14ac:dyDescent="0.25">
      <c r="A104" s="160" t="s">
        <v>142</v>
      </c>
      <c r="B104" s="142"/>
      <c r="C104" s="80">
        <v>0</v>
      </c>
      <c r="D104" s="18">
        <v>0</v>
      </c>
      <c r="E104" s="81">
        <v>0</v>
      </c>
      <c r="F104" s="80">
        <v>0</v>
      </c>
      <c r="G104" s="18">
        <v>0</v>
      </c>
      <c r="H104" s="81">
        <v>0</v>
      </c>
      <c r="I104" s="80">
        <v>1920000</v>
      </c>
      <c r="J104" s="36">
        <v>-1000000</v>
      </c>
      <c r="K104" s="81">
        <f t="shared" si="37"/>
        <v>-0.52083333333333337</v>
      </c>
      <c r="L104" s="120">
        <f t="shared" ref="L104" si="38">D104+G104+J104</f>
        <v>-1000000</v>
      </c>
      <c r="M104" s="80">
        <v>0</v>
      </c>
      <c r="N104" s="57">
        <v>0</v>
      </c>
      <c r="O104" s="51"/>
    </row>
    <row r="105" spans="1:16" ht="28.8" x14ac:dyDescent="0.25">
      <c r="A105" s="161" t="s">
        <v>44</v>
      </c>
      <c r="B105" s="143" t="s">
        <v>43</v>
      </c>
      <c r="C105" s="85">
        <f>C106</f>
        <v>0</v>
      </c>
      <c r="D105" s="45">
        <f>D106</f>
        <v>0</v>
      </c>
      <c r="E105" s="86">
        <v>0</v>
      </c>
      <c r="F105" s="85">
        <f>F106</f>
        <v>0</v>
      </c>
      <c r="G105" s="45">
        <f>G106</f>
        <v>0</v>
      </c>
      <c r="H105" s="86">
        <v>0</v>
      </c>
      <c r="I105" s="85">
        <f>I106</f>
        <v>13594500</v>
      </c>
      <c r="J105" s="45">
        <f>J106</f>
        <v>2476000</v>
      </c>
      <c r="K105" s="86">
        <f t="shared" si="37"/>
        <v>0.18213248004707785</v>
      </c>
      <c r="L105" s="119">
        <f>D105+G105+J105</f>
        <v>2476000</v>
      </c>
      <c r="M105" s="85">
        <f>M106</f>
        <v>0</v>
      </c>
      <c r="N105" s="60">
        <f>N106</f>
        <v>0</v>
      </c>
      <c r="O105" s="51"/>
      <c r="P105" s="305">
        <f>L103+L105</f>
        <v>1476000</v>
      </c>
    </row>
    <row r="106" spans="1:16" ht="28.2" thickBot="1" x14ac:dyDescent="0.3">
      <c r="A106" s="164" t="s">
        <v>143</v>
      </c>
      <c r="B106" s="144"/>
      <c r="C106" s="93">
        <v>0</v>
      </c>
      <c r="D106" s="37">
        <v>0</v>
      </c>
      <c r="E106" s="94">
        <v>0</v>
      </c>
      <c r="F106" s="93">
        <v>0</v>
      </c>
      <c r="G106" s="37">
        <v>0</v>
      </c>
      <c r="H106" s="94">
        <v>0</v>
      </c>
      <c r="I106" s="93">
        <v>13594500</v>
      </c>
      <c r="J106" s="38">
        <v>2476000</v>
      </c>
      <c r="K106" s="94">
        <f t="shared" si="37"/>
        <v>0.18213248004707785</v>
      </c>
      <c r="L106" s="120">
        <f t="shared" ref="L106" si="39">D106+G106+J106</f>
        <v>2476000</v>
      </c>
      <c r="M106" s="93">
        <v>0</v>
      </c>
      <c r="N106" s="63">
        <v>0</v>
      </c>
      <c r="O106" s="51"/>
    </row>
    <row r="107" spans="1:16" ht="28.2" hidden="1" thickBot="1" x14ac:dyDescent="0.3">
      <c r="A107" s="158" t="s">
        <v>46</v>
      </c>
      <c r="B107" s="132" t="s">
        <v>45</v>
      </c>
      <c r="C107" s="95">
        <f>C108+C111</f>
        <v>0</v>
      </c>
      <c r="D107" s="48">
        <f>D108+D111</f>
        <v>0</v>
      </c>
      <c r="E107" s="77">
        <v>0</v>
      </c>
      <c r="F107" s="95">
        <f>F108+F111</f>
        <v>0</v>
      </c>
      <c r="G107" s="48">
        <f>G108+G111</f>
        <v>0</v>
      </c>
      <c r="H107" s="77">
        <v>0</v>
      </c>
      <c r="I107" s="95">
        <f>I108+I111</f>
        <v>0</v>
      </c>
      <c r="J107" s="48">
        <f>J108+J111</f>
        <v>0</v>
      </c>
      <c r="K107" s="77">
        <v>1</v>
      </c>
      <c r="L107" s="118">
        <f>D107+G107+J107</f>
        <v>0</v>
      </c>
      <c r="M107" s="95">
        <f>M108+M111</f>
        <v>0</v>
      </c>
      <c r="N107" s="49">
        <f>N108+N111</f>
        <v>0</v>
      </c>
      <c r="O107" s="51"/>
    </row>
    <row r="108" spans="1:16" ht="43.2" hidden="1" x14ac:dyDescent="0.25">
      <c r="A108" s="159" t="s">
        <v>48</v>
      </c>
      <c r="B108" s="141" t="s">
        <v>47</v>
      </c>
      <c r="C108" s="78">
        <f>SUM(C109:C110)</f>
        <v>0</v>
      </c>
      <c r="D108" s="44">
        <f>SUM(D109:D110)</f>
        <v>0</v>
      </c>
      <c r="E108" s="79">
        <v>0</v>
      </c>
      <c r="F108" s="78">
        <f>SUM(F109:F110)</f>
        <v>0</v>
      </c>
      <c r="G108" s="44">
        <v>0</v>
      </c>
      <c r="H108" s="79">
        <v>0</v>
      </c>
      <c r="I108" s="78">
        <f>SUM(I109:I110)</f>
        <v>0</v>
      </c>
      <c r="J108" s="44">
        <f>SUM(J109:J110)</f>
        <v>0</v>
      </c>
      <c r="K108" s="79">
        <v>0</v>
      </c>
      <c r="L108" s="119">
        <f>D108+G108+J108</f>
        <v>0</v>
      </c>
      <c r="M108" s="78">
        <f>SUM(M109:M110)</f>
        <v>0</v>
      </c>
      <c r="N108" s="56">
        <f>SUM(N109:N110)</f>
        <v>0</v>
      </c>
      <c r="O108" s="51"/>
    </row>
    <row r="109" spans="1:16" ht="14.4" hidden="1" customHeight="1" x14ac:dyDescent="0.25">
      <c r="A109" s="160" t="s">
        <v>138</v>
      </c>
      <c r="B109" s="145"/>
      <c r="C109" s="82">
        <v>0</v>
      </c>
      <c r="D109" s="17">
        <v>0</v>
      </c>
      <c r="E109" s="83">
        <v>0</v>
      </c>
      <c r="F109" s="82">
        <v>0</v>
      </c>
      <c r="G109" s="17">
        <v>0</v>
      </c>
      <c r="H109" s="83">
        <v>0</v>
      </c>
      <c r="I109" s="82">
        <v>0</v>
      </c>
      <c r="J109" s="20">
        <v>0</v>
      </c>
      <c r="K109" s="83">
        <v>0</v>
      </c>
      <c r="L109" s="121">
        <f t="shared" ref="L109:L110" si="40">D109+G109+J109</f>
        <v>0</v>
      </c>
      <c r="M109" s="82">
        <v>0</v>
      </c>
      <c r="N109" s="58">
        <v>0</v>
      </c>
      <c r="O109" s="51"/>
    </row>
    <row r="110" spans="1:16" hidden="1" x14ac:dyDescent="0.25">
      <c r="A110" s="160" t="s">
        <v>339</v>
      </c>
      <c r="B110" s="145"/>
      <c r="C110" s="82">
        <v>0</v>
      </c>
      <c r="D110" s="17">
        <v>0</v>
      </c>
      <c r="E110" s="83">
        <v>0</v>
      </c>
      <c r="F110" s="82">
        <v>0</v>
      </c>
      <c r="G110" s="17">
        <v>0</v>
      </c>
      <c r="H110" s="83">
        <v>0</v>
      </c>
      <c r="I110" s="82">
        <v>0</v>
      </c>
      <c r="J110" s="20">
        <v>0</v>
      </c>
      <c r="K110" s="83">
        <v>0</v>
      </c>
      <c r="L110" s="121">
        <f t="shared" si="40"/>
        <v>0</v>
      </c>
      <c r="M110" s="82">
        <v>0</v>
      </c>
      <c r="N110" s="58">
        <v>0</v>
      </c>
      <c r="O110" s="51"/>
    </row>
    <row r="111" spans="1:16" ht="43.2" hidden="1" x14ac:dyDescent="0.25">
      <c r="A111" s="161" t="s">
        <v>50</v>
      </c>
      <c r="B111" s="143" t="s">
        <v>49</v>
      </c>
      <c r="C111" s="85">
        <f>SUM(C112:C112)</f>
        <v>0</v>
      </c>
      <c r="D111" s="45">
        <f>SUM(D112:D112)</f>
        <v>0</v>
      </c>
      <c r="E111" s="86">
        <v>0</v>
      </c>
      <c r="F111" s="85">
        <f>SUM(F112:F112)</f>
        <v>0</v>
      </c>
      <c r="G111" s="45">
        <f>SUM(G112:G112)</f>
        <v>0</v>
      </c>
      <c r="H111" s="86"/>
      <c r="I111" s="85">
        <f>SUM(I112:I112)</f>
        <v>0</v>
      </c>
      <c r="J111" s="45">
        <f>SUM(J112:J112)</f>
        <v>0</v>
      </c>
      <c r="K111" s="86">
        <v>0</v>
      </c>
      <c r="L111" s="119">
        <f>D111+G111+J111</f>
        <v>0</v>
      </c>
      <c r="M111" s="85">
        <f>SUM(M112:M112)</f>
        <v>0</v>
      </c>
      <c r="N111" s="60">
        <f>SUM(N112:N112)</f>
        <v>0</v>
      </c>
      <c r="O111" s="51"/>
    </row>
    <row r="112" spans="1:16" ht="14.4" hidden="1" thickBot="1" x14ac:dyDescent="0.3">
      <c r="A112" s="160"/>
      <c r="B112" s="145"/>
      <c r="C112" s="82">
        <v>0</v>
      </c>
      <c r="D112" s="17">
        <v>0</v>
      </c>
      <c r="E112" s="83">
        <v>0</v>
      </c>
      <c r="F112" s="82">
        <v>0</v>
      </c>
      <c r="G112" s="17">
        <v>0</v>
      </c>
      <c r="H112" s="83">
        <v>0</v>
      </c>
      <c r="I112" s="82">
        <v>0</v>
      </c>
      <c r="J112" s="17">
        <v>0</v>
      </c>
      <c r="K112" s="83">
        <v>0</v>
      </c>
      <c r="L112" s="121">
        <v>0</v>
      </c>
      <c r="M112" s="82">
        <v>0</v>
      </c>
      <c r="N112" s="58">
        <v>0</v>
      </c>
      <c r="O112" s="51"/>
    </row>
    <row r="113" spans="1:16" ht="28.2" thickBot="1" x14ac:dyDescent="0.3">
      <c r="A113" s="158" t="s">
        <v>52</v>
      </c>
      <c r="B113" s="76" t="s">
        <v>51</v>
      </c>
      <c r="C113" s="76">
        <f>C114+C119+C123+C127</f>
        <v>0</v>
      </c>
      <c r="D113" s="43">
        <f>D114+D119+D123+D127</f>
        <v>2285650</v>
      </c>
      <c r="E113" s="77">
        <v>0</v>
      </c>
      <c r="F113" s="76">
        <f>F114+F119+F123+F127</f>
        <v>192305111</v>
      </c>
      <c r="G113" s="43">
        <f>G114+G119+G123+G127</f>
        <v>23488350</v>
      </c>
      <c r="H113" s="77">
        <f>G113/F113</f>
        <v>0.12214105947501312</v>
      </c>
      <c r="I113" s="76">
        <f>I114+I119+I123+I127</f>
        <v>32407517</v>
      </c>
      <c r="J113" s="43">
        <f>J114+J119+J123+J127</f>
        <v>3624313</v>
      </c>
      <c r="K113" s="77">
        <f>J113/I113</f>
        <v>0.11183556580406948</v>
      </c>
      <c r="L113" s="118">
        <f>D113+G113+J113</f>
        <v>29398313</v>
      </c>
      <c r="M113" s="76">
        <f>M114+M119+M123+M127</f>
        <v>0</v>
      </c>
      <c r="N113" s="46">
        <f>N114+N119+N123+N127</f>
        <v>0</v>
      </c>
      <c r="O113" s="193"/>
    </row>
    <row r="114" spans="1:16" ht="72" hidden="1" x14ac:dyDescent="0.25">
      <c r="A114" s="165" t="s">
        <v>409</v>
      </c>
      <c r="B114" s="133" t="s">
        <v>53</v>
      </c>
      <c r="C114" s="78">
        <f>SUM(C115:C118)</f>
        <v>0</v>
      </c>
      <c r="D114" s="44">
        <f>SUM(D115:D118)</f>
        <v>0</v>
      </c>
      <c r="E114" s="79">
        <v>0</v>
      </c>
      <c r="F114" s="78">
        <f>SUM(F115:F118)</f>
        <v>0</v>
      </c>
      <c r="G114" s="44">
        <f>SUM(G115:G118)</f>
        <v>0</v>
      </c>
      <c r="H114" s="79">
        <v>0</v>
      </c>
      <c r="I114" s="78">
        <f>SUM(I115:I118)</f>
        <v>0</v>
      </c>
      <c r="J114" s="44">
        <f>SUM(J115:J118)</f>
        <v>0</v>
      </c>
      <c r="K114" s="79">
        <v>0</v>
      </c>
      <c r="L114" s="119">
        <f>D114+G114+J114</f>
        <v>0</v>
      </c>
      <c r="M114" s="78">
        <f>SUM(M115:M118)</f>
        <v>0</v>
      </c>
      <c r="N114" s="56">
        <f>SUM(N115:N118)</f>
        <v>0</v>
      </c>
      <c r="O114" s="51"/>
    </row>
    <row r="115" spans="1:16" ht="27.6" hidden="1" x14ac:dyDescent="0.25">
      <c r="A115" s="166" t="s">
        <v>410</v>
      </c>
      <c r="B115" s="146"/>
      <c r="C115" s="82">
        <v>0</v>
      </c>
      <c r="D115" s="17">
        <v>0</v>
      </c>
      <c r="E115" s="83">
        <v>0</v>
      </c>
      <c r="F115" s="82">
        <v>0</v>
      </c>
      <c r="G115" s="17">
        <v>0</v>
      </c>
      <c r="H115" s="83">
        <v>0</v>
      </c>
      <c r="I115" s="82">
        <v>0</v>
      </c>
      <c r="J115" s="17">
        <v>0</v>
      </c>
      <c r="K115" s="83">
        <v>0</v>
      </c>
      <c r="L115" s="121">
        <f t="shared" ref="L115:L118" si="41">D115+G115+J115</f>
        <v>0</v>
      </c>
      <c r="M115" s="82">
        <v>0</v>
      </c>
      <c r="N115" s="58">
        <v>0</v>
      </c>
      <c r="O115" s="51"/>
    </row>
    <row r="116" spans="1:16" ht="27.6" hidden="1" x14ac:dyDescent="0.25">
      <c r="A116" s="166" t="s">
        <v>411</v>
      </c>
      <c r="B116" s="146"/>
      <c r="C116" s="82">
        <v>0</v>
      </c>
      <c r="D116" s="17">
        <v>0</v>
      </c>
      <c r="E116" s="83">
        <v>0</v>
      </c>
      <c r="F116" s="82">
        <v>0</v>
      </c>
      <c r="G116" s="17">
        <v>0</v>
      </c>
      <c r="H116" s="83">
        <v>0</v>
      </c>
      <c r="I116" s="82">
        <v>0</v>
      </c>
      <c r="J116" s="17">
        <v>0</v>
      </c>
      <c r="K116" s="83">
        <v>0</v>
      </c>
      <c r="L116" s="121">
        <f t="shared" si="41"/>
        <v>0</v>
      </c>
      <c r="M116" s="82">
        <v>0</v>
      </c>
      <c r="N116" s="58">
        <v>0</v>
      </c>
      <c r="O116" s="51"/>
    </row>
    <row r="117" spans="1:16" hidden="1" x14ac:dyDescent="0.25">
      <c r="A117" s="160"/>
      <c r="B117" s="146"/>
      <c r="C117" s="82">
        <v>0</v>
      </c>
      <c r="D117" s="17">
        <v>0</v>
      </c>
      <c r="E117" s="83">
        <v>0</v>
      </c>
      <c r="F117" s="82">
        <v>0</v>
      </c>
      <c r="G117" s="17">
        <v>0</v>
      </c>
      <c r="H117" s="83">
        <v>0</v>
      </c>
      <c r="I117" s="82">
        <v>0</v>
      </c>
      <c r="J117" s="17">
        <v>0</v>
      </c>
      <c r="K117" s="83">
        <v>0</v>
      </c>
      <c r="L117" s="121">
        <f t="shared" si="41"/>
        <v>0</v>
      </c>
      <c r="M117" s="82">
        <v>0</v>
      </c>
      <c r="N117" s="58">
        <v>0</v>
      </c>
      <c r="O117" s="51"/>
    </row>
    <row r="118" spans="1:16" hidden="1" x14ac:dyDescent="0.25">
      <c r="A118" s="160"/>
      <c r="B118" s="146"/>
      <c r="C118" s="82">
        <v>0</v>
      </c>
      <c r="D118" s="17">
        <v>0</v>
      </c>
      <c r="E118" s="83">
        <v>0</v>
      </c>
      <c r="F118" s="82">
        <v>0</v>
      </c>
      <c r="G118" s="17">
        <v>0</v>
      </c>
      <c r="H118" s="83">
        <v>0</v>
      </c>
      <c r="I118" s="82">
        <v>0</v>
      </c>
      <c r="J118" s="17">
        <v>0</v>
      </c>
      <c r="K118" s="83">
        <v>0</v>
      </c>
      <c r="L118" s="121">
        <f t="shared" si="41"/>
        <v>0</v>
      </c>
      <c r="M118" s="82">
        <v>0</v>
      </c>
      <c r="N118" s="58">
        <v>0</v>
      </c>
      <c r="O118" s="51"/>
    </row>
    <row r="119" spans="1:16" ht="28.8" x14ac:dyDescent="0.3">
      <c r="A119" s="167" t="s">
        <v>55</v>
      </c>
      <c r="B119" s="137" t="s">
        <v>54</v>
      </c>
      <c r="C119" s="85">
        <f>SUM(C120:C120)</f>
        <v>0</v>
      </c>
      <c r="D119" s="45">
        <f>SUM(D120:D120)</f>
        <v>0</v>
      </c>
      <c r="E119" s="86">
        <v>0</v>
      </c>
      <c r="F119" s="85">
        <f>SUM(F120:F122)</f>
        <v>4730000</v>
      </c>
      <c r="G119" s="45">
        <f>SUM(G120:G122)</f>
        <v>550000</v>
      </c>
      <c r="H119" s="86">
        <f>G119/F119</f>
        <v>0.11627906976744186</v>
      </c>
      <c r="I119" s="85">
        <f>SUM(I120:I120)</f>
        <v>0</v>
      </c>
      <c r="J119" s="45">
        <f>SUM(J120:J120)</f>
        <v>0</v>
      </c>
      <c r="K119" s="86">
        <v>0</v>
      </c>
      <c r="L119" s="119">
        <f>D119+G119+J119</f>
        <v>550000</v>
      </c>
      <c r="M119" s="85">
        <f>SUM(M120:M120)</f>
        <v>0</v>
      </c>
      <c r="N119" s="60">
        <f>SUM(N120:N120)</f>
        <v>0</v>
      </c>
      <c r="O119" s="51"/>
    </row>
    <row r="120" spans="1:16" s="33" customFormat="1" ht="27.6" x14ac:dyDescent="0.25">
      <c r="A120" s="166" t="s">
        <v>412</v>
      </c>
      <c r="B120" s="138"/>
      <c r="C120" s="80">
        <v>0</v>
      </c>
      <c r="D120" s="18">
        <v>0</v>
      </c>
      <c r="E120" s="81">
        <v>0</v>
      </c>
      <c r="F120" s="80">
        <v>4730000</v>
      </c>
      <c r="G120" s="18">
        <v>550000</v>
      </c>
      <c r="H120" s="81">
        <f>G120/F120</f>
        <v>0.11627906976744186</v>
      </c>
      <c r="I120" s="80">
        <v>0</v>
      </c>
      <c r="J120" s="18">
        <v>0</v>
      </c>
      <c r="K120" s="81">
        <v>0</v>
      </c>
      <c r="L120" s="120">
        <f t="shared" ref="L120:L122" si="42">D120+G120+J120</f>
        <v>550000</v>
      </c>
      <c r="M120" s="80">
        <v>0</v>
      </c>
      <c r="N120" s="57">
        <v>0</v>
      </c>
      <c r="O120" s="51" t="s">
        <v>535</v>
      </c>
      <c r="P120" s="32"/>
    </row>
    <row r="121" spans="1:16" ht="27.6" hidden="1" x14ac:dyDescent="0.25">
      <c r="A121" s="168" t="s">
        <v>413</v>
      </c>
      <c r="B121" s="147"/>
      <c r="C121" s="82">
        <v>0</v>
      </c>
      <c r="D121" s="17">
        <v>0</v>
      </c>
      <c r="E121" s="83">
        <v>0</v>
      </c>
      <c r="F121" s="82">
        <v>0</v>
      </c>
      <c r="G121" s="17">
        <v>0</v>
      </c>
      <c r="H121" s="83">
        <v>0</v>
      </c>
      <c r="I121" s="82">
        <v>0</v>
      </c>
      <c r="J121" s="17">
        <v>0</v>
      </c>
      <c r="K121" s="83">
        <v>0</v>
      </c>
      <c r="L121" s="121">
        <f t="shared" ref="L121" si="43">D121+G121+J121</f>
        <v>0</v>
      </c>
      <c r="M121" s="82">
        <v>0</v>
      </c>
      <c r="N121" s="58">
        <v>0</v>
      </c>
      <c r="O121" s="51"/>
    </row>
    <row r="122" spans="1:16" ht="27.6" hidden="1" x14ac:dyDescent="0.25">
      <c r="A122" s="169" t="s">
        <v>414</v>
      </c>
      <c r="B122" s="148"/>
      <c r="C122" s="96">
        <v>0</v>
      </c>
      <c r="D122" s="23">
        <v>0</v>
      </c>
      <c r="E122" s="97">
        <v>0</v>
      </c>
      <c r="F122" s="96">
        <v>0</v>
      </c>
      <c r="G122" s="23">
        <v>0</v>
      </c>
      <c r="H122" s="97">
        <v>0</v>
      </c>
      <c r="I122" s="96">
        <v>0</v>
      </c>
      <c r="J122" s="23">
        <v>0</v>
      </c>
      <c r="K122" s="97">
        <v>0</v>
      </c>
      <c r="L122" s="125">
        <f t="shared" si="42"/>
        <v>0</v>
      </c>
      <c r="M122" s="96">
        <v>0</v>
      </c>
      <c r="N122" s="64">
        <v>0</v>
      </c>
      <c r="O122" s="51"/>
    </row>
    <row r="123" spans="1:16" ht="28.8" x14ac:dyDescent="0.3">
      <c r="A123" s="167" t="s">
        <v>415</v>
      </c>
      <c r="B123" s="137" t="s">
        <v>420</v>
      </c>
      <c r="C123" s="85">
        <f>SUM(C124:C126)</f>
        <v>0</v>
      </c>
      <c r="D123" s="45">
        <f>SUM(D124:D126)</f>
        <v>2285650</v>
      </c>
      <c r="E123" s="86">
        <v>0</v>
      </c>
      <c r="F123" s="85">
        <f>SUM(F124:F126)</f>
        <v>119322721</v>
      </c>
      <c r="G123" s="45">
        <f>SUM(G124:G126)</f>
        <v>20038350</v>
      </c>
      <c r="H123" s="86">
        <f>G123/F123</f>
        <v>0.16793406848306786</v>
      </c>
      <c r="I123" s="85">
        <f>SUM(I124:I126)</f>
        <v>32407517</v>
      </c>
      <c r="J123" s="45">
        <f>SUM(J124:J126)</f>
        <v>3624313</v>
      </c>
      <c r="K123" s="86">
        <f>J123/I123</f>
        <v>0.11183556580406948</v>
      </c>
      <c r="L123" s="126">
        <f>SUM(L124:L126)</f>
        <v>25948313</v>
      </c>
      <c r="M123" s="85">
        <f>SUM(M124:M126)</f>
        <v>0</v>
      </c>
      <c r="N123" s="60">
        <f>SUM(N124:N126)</f>
        <v>0</v>
      </c>
      <c r="O123" s="51"/>
    </row>
    <row r="124" spans="1:16" ht="41.4" x14ac:dyDescent="0.25">
      <c r="A124" s="170" t="s">
        <v>417</v>
      </c>
      <c r="B124" s="138"/>
      <c r="C124" s="80">
        <v>0</v>
      </c>
      <c r="D124" s="36">
        <f>2382400-75000-21750</f>
        <v>2285650</v>
      </c>
      <c r="E124" s="81">
        <v>0</v>
      </c>
      <c r="F124" s="80">
        <v>101130669</v>
      </c>
      <c r="G124" s="18">
        <f>125000+517500+7225000+1067000+3053190+400000-5351290</f>
        <v>7036400</v>
      </c>
      <c r="H124" s="81">
        <f>G124/F124</f>
        <v>6.9577310914456625E-2</v>
      </c>
      <c r="I124" s="80">
        <v>32407517</v>
      </c>
      <c r="J124" s="36">
        <f>840662+2783651</f>
        <v>3624313</v>
      </c>
      <c r="K124" s="81">
        <f>J124/I124</f>
        <v>0.11183556580406948</v>
      </c>
      <c r="L124" s="120">
        <f t="shared" ref="L124:L126" si="44">D124+G124+J124</f>
        <v>12946363</v>
      </c>
      <c r="M124" s="80">
        <v>0</v>
      </c>
      <c r="N124" s="57">
        <v>0</v>
      </c>
      <c r="O124" s="51" t="s">
        <v>586</v>
      </c>
      <c r="P124" s="305">
        <f>L119+L123+L127</f>
        <v>29398313</v>
      </c>
    </row>
    <row r="125" spans="1:16" ht="19.2" hidden="1" customHeight="1" x14ac:dyDescent="0.25">
      <c r="A125" s="171" t="s">
        <v>473</v>
      </c>
      <c r="B125" s="146"/>
      <c r="C125" s="82">
        <v>0</v>
      </c>
      <c r="D125" s="17">
        <v>0</v>
      </c>
      <c r="E125" s="83">
        <v>0</v>
      </c>
      <c r="F125" s="82">
        <v>0</v>
      </c>
      <c r="G125" s="17">
        <v>0</v>
      </c>
      <c r="H125" s="83">
        <v>0</v>
      </c>
      <c r="I125" s="82">
        <v>0</v>
      </c>
      <c r="J125" s="17">
        <v>0</v>
      </c>
      <c r="K125" s="83">
        <v>0</v>
      </c>
      <c r="L125" s="121">
        <f t="shared" si="44"/>
        <v>0</v>
      </c>
      <c r="M125" s="82">
        <v>0</v>
      </c>
      <c r="N125" s="58">
        <v>0</v>
      </c>
      <c r="O125" s="51"/>
    </row>
    <row r="126" spans="1:16" ht="69" x14ac:dyDescent="0.25">
      <c r="A126" s="171" t="s">
        <v>474</v>
      </c>
      <c r="B126" s="146"/>
      <c r="C126" s="80">
        <v>0</v>
      </c>
      <c r="D126" s="18">
        <v>0</v>
      </c>
      <c r="E126" s="81">
        <v>0</v>
      </c>
      <c r="F126" s="80">
        <v>18192052</v>
      </c>
      <c r="G126" s="18">
        <f>300000+500000+200000+3000000+1500000+2000000+220000+292450+4989500</f>
        <v>13001950</v>
      </c>
      <c r="H126" s="81">
        <f>G126/F126</f>
        <v>0.71470497115993292</v>
      </c>
      <c r="I126" s="80">
        <v>0</v>
      </c>
      <c r="J126" s="18">
        <v>0</v>
      </c>
      <c r="K126" s="81">
        <v>0</v>
      </c>
      <c r="L126" s="120">
        <f t="shared" si="44"/>
        <v>13001950</v>
      </c>
      <c r="M126" s="80">
        <v>0</v>
      </c>
      <c r="N126" s="57">
        <v>0</v>
      </c>
      <c r="O126" s="51" t="s">
        <v>587</v>
      </c>
    </row>
    <row r="127" spans="1:16" ht="28.8" x14ac:dyDescent="0.3">
      <c r="A127" s="167" t="s">
        <v>416</v>
      </c>
      <c r="B127" s="137" t="s">
        <v>421</v>
      </c>
      <c r="C127" s="85">
        <f>SUM(C128:C128)</f>
        <v>0</v>
      </c>
      <c r="D127" s="45">
        <f>SUM(D128:D128)</f>
        <v>0</v>
      </c>
      <c r="E127" s="86"/>
      <c r="F127" s="85">
        <f>SUM(F128:F128)</f>
        <v>68252390</v>
      </c>
      <c r="G127" s="45">
        <f>SUM(G128:G128)</f>
        <v>2900000</v>
      </c>
      <c r="H127" s="86">
        <f>G127/F127</f>
        <v>4.2489354585238698E-2</v>
      </c>
      <c r="I127" s="85">
        <f>SUM(I128:I128)</f>
        <v>0</v>
      </c>
      <c r="J127" s="45">
        <f>SUM(J128:J128)</f>
        <v>0</v>
      </c>
      <c r="K127" s="86">
        <v>0</v>
      </c>
      <c r="L127" s="126">
        <f>SUM(L128:L128)</f>
        <v>2900000</v>
      </c>
      <c r="M127" s="85">
        <f>SUM(M128:M128)</f>
        <v>0</v>
      </c>
      <c r="N127" s="60">
        <f>SUM(N128:N128)</f>
        <v>0</v>
      </c>
      <c r="O127" s="51"/>
    </row>
    <row r="128" spans="1:16" ht="28.2" thickBot="1" x14ac:dyDescent="0.3">
      <c r="A128" s="172" t="s">
        <v>541</v>
      </c>
      <c r="B128" s="149"/>
      <c r="C128" s="108">
        <v>0</v>
      </c>
      <c r="D128" s="19">
        <v>0</v>
      </c>
      <c r="E128" s="190">
        <v>0</v>
      </c>
      <c r="F128" s="108">
        <f>43198248+25054142</f>
        <v>68252390</v>
      </c>
      <c r="G128" s="19">
        <f>1000000+400000+1500000</f>
        <v>2900000</v>
      </c>
      <c r="H128" s="190">
        <f>G128/F128</f>
        <v>4.2489354585238698E-2</v>
      </c>
      <c r="I128" s="108">
        <v>0</v>
      </c>
      <c r="J128" s="19">
        <v>0</v>
      </c>
      <c r="K128" s="190">
        <v>0</v>
      </c>
      <c r="L128" s="128">
        <f t="shared" ref="L128" si="45">D128+G128+J128</f>
        <v>2900000</v>
      </c>
      <c r="M128" s="108">
        <v>0</v>
      </c>
      <c r="N128" s="73">
        <v>0</v>
      </c>
      <c r="O128" s="51" t="s">
        <v>555</v>
      </c>
    </row>
    <row r="129" spans="1:15" ht="28.2" hidden="1" thickBot="1" x14ac:dyDescent="0.3">
      <c r="A129" s="158" t="s">
        <v>57</v>
      </c>
      <c r="B129" s="150" t="s">
        <v>56</v>
      </c>
      <c r="C129" s="76">
        <f>C130+C132+C134</f>
        <v>0</v>
      </c>
      <c r="D129" s="43">
        <f>D130+D132+D134</f>
        <v>0</v>
      </c>
      <c r="E129" s="77">
        <v>0</v>
      </c>
      <c r="F129" s="76">
        <f>F130+F132+F134</f>
        <v>0</v>
      </c>
      <c r="G129" s="43">
        <f>G130+G132+G134</f>
        <v>0</v>
      </c>
      <c r="H129" s="77">
        <v>0</v>
      </c>
      <c r="I129" s="76">
        <f>I130+I132+I134</f>
        <v>0</v>
      </c>
      <c r="J129" s="43">
        <f>J130+J132+J134</f>
        <v>0</v>
      </c>
      <c r="K129" s="77">
        <v>0</v>
      </c>
      <c r="L129" s="118">
        <f>D129+G129+J129</f>
        <v>0</v>
      </c>
      <c r="M129" s="76">
        <f>M130+M132+M134</f>
        <v>0</v>
      </c>
      <c r="N129" s="46">
        <f>N130+N132+N134</f>
        <v>0</v>
      </c>
      <c r="O129" s="192"/>
    </row>
    <row r="130" spans="1:15" ht="28.8" hidden="1" x14ac:dyDescent="0.25">
      <c r="A130" s="159" t="s">
        <v>397</v>
      </c>
      <c r="B130" s="141" t="s">
        <v>58</v>
      </c>
      <c r="C130" s="78">
        <f>C131</f>
        <v>0</v>
      </c>
      <c r="D130" s="44">
        <f>D131</f>
        <v>0</v>
      </c>
      <c r="E130" s="79">
        <v>0</v>
      </c>
      <c r="F130" s="78">
        <f>F131</f>
        <v>0</v>
      </c>
      <c r="G130" s="44">
        <f>G131</f>
        <v>0</v>
      </c>
      <c r="H130" s="79">
        <v>0</v>
      </c>
      <c r="I130" s="78">
        <f>I131</f>
        <v>0</v>
      </c>
      <c r="J130" s="44">
        <f>J131</f>
        <v>0</v>
      </c>
      <c r="K130" s="79">
        <v>0</v>
      </c>
      <c r="L130" s="119">
        <f>D130+G130+J130</f>
        <v>0</v>
      </c>
      <c r="M130" s="78">
        <f>M131</f>
        <v>0</v>
      </c>
      <c r="N130" s="56">
        <f>N131</f>
        <v>0</v>
      </c>
      <c r="O130" s="51"/>
    </row>
    <row r="131" spans="1:15" hidden="1" x14ac:dyDescent="0.25">
      <c r="A131" s="160" t="s">
        <v>148</v>
      </c>
      <c r="B131" s="145"/>
      <c r="C131" s="82">
        <v>0</v>
      </c>
      <c r="D131" s="17">
        <v>0</v>
      </c>
      <c r="E131" s="83">
        <v>0</v>
      </c>
      <c r="F131" s="82">
        <v>0</v>
      </c>
      <c r="G131" s="17">
        <v>0</v>
      </c>
      <c r="H131" s="83">
        <v>0</v>
      </c>
      <c r="I131" s="82">
        <v>0</v>
      </c>
      <c r="J131" s="20">
        <v>0</v>
      </c>
      <c r="K131" s="83">
        <v>0</v>
      </c>
      <c r="L131" s="121">
        <f t="shared" ref="L131" si="46">D131+G131+J131</f>
        <v>0</v>
      </c>
      <c r="M131" s="82">
        <v>0</v>
      </c>
      <c r="N131" s="58">
        <v>0</v>
      </c>
      <c r="O131" s="51"/>
    </row>
    <row r="132" spans="1:15" ht="28.8" hidden="1" x14ac:dyDescent="0.25">
      <c r="A132" s="161" t="s">
        <v>60</v>
      </c>
      <c r="B132" s="143" t="s">
        <v>59</v>
      </c>
      <c r="C132" s="85">
        <f>SUM(C133:C133)</f>
        <v>0</v>
      </c>
      <c r="D132" s="45">
        <f>SUM(D133:D133)</f>
        <v>0</v>
      </c>
      <c r="E132" s="86">
        <v>0</v>
      </c>
      <c r="F132" s="85">
        <f>SUM(F133:F133)</f>
        <v>0</v>
      </c>
      <c r="G132" s="45">
        <f>SUM(G133:G133)</f>
        <v>0</v>
      </c>
      <c r="H132" s="86">
        <v>0</v>
      </c>
      <c r="I132" s="85">
        <f>SUM(I133:I133)</f>
        <v>0</v>
      </c>
      <c r="J132" s="45">
        <f>SUM(J133:J133)</f>
        <v>0</v>
      </c>
      <c r="K132" s="86">
        <v>0</v>
      </c>
      <c r="L132" s="119">
        <f>D132+G132+J132</f>
        <v>0</v>
      </c>
      <c r="M132" s="85">
        <f>SUM(M133:M133)</f>
        <v>0</v>
      </c>
      <c r="N132" s="60">
        <f>SUM(N133:N133)</f>
        <v>0</v>
      </c>
      <c r="O132" s="51"/>
    </row>
    <row r="133" spans="1:15" hidden="1" x14ac:dyDescent="0.25">
      <c r="A133" s="160"/>
      <c r="B133" s="145"/>
      <c r="C133" s="82">
        <v>0</v>
      </c>
      <c r="D133" s="17">
        <v>0</v>
      </c>
      <c r="E133" s="83">
        <v>0</v>
      </c>
      <c r="F133" s="82">
        <v>0</v>
      </c>
      <c r="G133" s="17">
        <v>0</v>
      </c>
      <c r="H133" s="83">
        <v>0</v>
      </c>
      <c r="I133" s="82">
        <v>0</v>
      </c>
      <c r="J133" s="17">
        <v>0</v>
      </c>
      <c r="K133" s="83">
        <v>0</v>
      </c>
      <c r="L133" s="121">
        <f t="shared" ref="L133" si="47">D133+G133+J133</f>
        <v>0</v>
      </c>
      <c r="M133" s="82">
        <v>0</v>
      </c>
      <c r="N133" s="58">
        <v>0</v>
      </c>
      <c r="O133" s="51"/>
    </row>
    <row r="134" spans="1:15" ht="28.8" hidden="1" x14ac:dyDescent="0.25">
      <c r="A134" s="161" t="s">
        <v>398</v>
      </c>
      <c r="B134" s="143" t="s">
        <v>61</v>
      </c>
      <c r="C134" s="85">
        <f>SUM(C135:C135)</f>
        <v>0</v>
      </c>
      <c r="D134" s="45">
        <f>SUM(D135:D135)</f>
        <v>0</v>
      </c>
      <c r="E134" s="86">
        <v>0</v>
      </c>
      <c r="F134" s="85">
        <f>SUM(F135:F135)</f>
        <v>0</v>
      </c>
      <c r="G134" s="45">
        <f>SUM(G135:G135)</f>
        <v>0</v>
      </c>
      <c r="H134" s="86"/>
      <c r="I134" s="85">
        <f>SUM(I135:I135)</f>
        <v>0</v>
      </c>
      <c r="J134" s="45">
        <f>SUM(J135:J135)</f>
        <v>0</v>
      </c>
      <c r="K134" s="86">
        <v>0</v>
      </c>
      <c r="L134" s="119">
        <f>D134+G134+J134</f>
        <v>0</v>
      </c>
      <c r="M134" s="85">
        <f>SUM(M135:M135)</f>
        <v>0</v>
      </c>
      <c r="N134" s="60">
        <f>SUM(N135:N135)</f>
        <v>0</v>
      </c>
      <c r="O134" s="51"/>
    </row>
    <row r="135" spans="1:15" ht="14.4" hidden="1" thickBot="1" x14ac:dyDescent="0.3">
      <c r="A135" s="160"/>
      <c r="B135" s="145"/>
      <c r="C135" s="82">
        <v>0</v>
      </c>
      <c r="D135" s="17">
        <v>0</v>
      </c>
      <c r="E135" s="83">
        <v>0</v>
      </c>
      <c r="F135" s="82">
        <v>0</v>
      </c>
      <c r="G135" s="17">
        <v>0</v>
      </c>
      <c r="H135" s="83">
        <v>0</v>
      </c>
      <c r="I135" s="82">
        <v>0</v>
      </c>
      <c r="J135" s="17">
        <v>0</v>
      </c>
      <c r="K135" s="83">
        <v>0</v>
      </c>
      <c r="L135" s="121">
        <f t="shared" ref="L135" si="48">D135+G135+J135</f>
        <v>0</v>
      </c>
      <c r="M135" s="82">
        <v>0</v>
      </c>
      <c r="N135" s="58">
        <v>0</v>
      </c>
      <c r="O135" s="51"/>
    </row>
    <row r="136" spans="1:15" ht="28.2" hidden="1" thickBot="1" x14ac:dyDescent="0.3">
      <c r="A136" s="158" t="s">
        <v>63</v>
      </c>
      <c r="B136" s="132" t="s">
        <v>62</v>
      </c>
      <c r="C136" s="76">
        <f>C137+C139</f>
        <v>0</v>
      </c>
      <c r="D136" s="43">
        <f>D137+D139</f>
        <v>0</v>
      </c>
      <c r="E136" s="77">
        <v>0</v>
      </c>
      <c r="F136" s="76">
        <f>F137+F139</f>
        <v>0</v>
      </c>
      <c r="G136" s="43">
        <f>G137+G139</f>
        <v>0</v>
      </c>
      <c r="H136" s="77">
        <v>0</v>
      </c>
      <c r="I136" s="76">
        <f>I137+I139</f>
        <v>0</v>
      </c>
      <c r="J136" s="43">
        <f>J137+J139</f>
        <v>0</v>
      </c>
      <c r="K136" s="77">
        <v>0</v>
      </c>
      <c r="L136" s="118">
        <f>D136+G136+J136</f>
        <v>0</v>
      </c>
      <c r="M136" s="76">
        <f>M137+M139</f>
        <v>0</v>
      </c>
      <c r="N136" s="46">
        <f>N137+N139</f>
        <v>0</v>
      </c>
      <c r="O136" s="51"/>
    </row>
    <row r="137" spans="1:15" ht="28.8" hidden="1" x14ac:dyDescent="0.25">
      <c r="A137" s="159" t="s">
        <v>399</v>
      </c>
      <c r="B137" s="133" t="s">
        <v>64</v>
      </c>
      <c r="C137" s="78">
        <f>C138</f>
        <v>0</v>
      </c>
      <c r="D137" s="44">
        <f>D138</f>
        <v>0</v>
      </c>
      <c r="E137" s="79">
        <v>0</v>
      </c>
      <c r="F137" s="78">
        <f>F138</f>
        <v>0</v>
      </c>
      <c r="G137" s="44">
        <f>G138</f>
        <v>0</v>
      </c>
      <c r="H137" s="79">
        <v>0</v>
      </c>
      <c r="I137" s="78">
        <f>I138</f>
        <v>0</v>
      </c>
      <c r="J137" s="44">
        <f>J138</f>
        <v>0</v>
      </c>
      <c r="K137" s="79">
        <v>0</v>
      </c>
      <c r="L137" s="119">
        <f>D137+G137+J137</f>
        <v>0</v>
      </c>
      <c r="M137" s="78">
        <f>M138</f>
        <v>0</v>
      </c>
      <c r="N137" s="56">
        <f>N138</f>
        <v>0</v>
      </c>
      <c r="O137" s="51"/>
    </row>
    <row r="138" spans="1:15" hidden="1" x14ac:dyDescent="0.25">
      <c r="A138" s="160" t="s">
        <v>340</v>
      </c>
      <c r="B138" s="134"/>
      <c r="C138" s="82">
        <v>0</v>
      </c>
      <c r="D138" s="17">
        <v>0</v>
      </c>
      <c r="E138" s="83">
        <v>0</v>
      </c>
      <c r="F138" s="82">
        <v>0</v>
      </c>
      <c r="G138" s="17">
        <v>0</v>
      </c>
      <c r="H138" s="83">
        <v>0</v>
      </c>
      <c r="I138" s="82">
        <v>0</v>
      </c>
      <c r="J138" s="20"/>
      <c r="K138" s="83">
        <v>0</v>
      </c>
      <c r="L138" s="121">
        <f t="shared" ref="L138" si="49">D138+G138+J138</f>
        <v>0</v>
      </c>
      <c r="M138" s="82">
        <v>0</v>
      </c>
      <c r="N138" s="58">
        <v>0</v>
      </c>
      <c r="O138" s="51"/>
    </row>
    <row r="139" spans="1:15" ht="27.6" hidden="1" x14ac:dyDescent="0.25">
      <c r="A139" s="173" t="s">
        <v>66</v>
      </c>
      <c r="B139" s="151" t="s">
        <v>65</v>
      </c>
      <c r="C139" s="98">
        <f>C140</f>
        <v>0</v>
      </c>
      <c r="D139" s="50">
        <f>D140</f>
        <v>0</v>
      </c>
      <c r="E139" s="99">
        <v>0</v>
      </c>
      <c r="F139" s="98">
        <f>F140</f>
        <v>0</v>
      </c>
      <c r="G139" s="50">
        <f>G140</f>
        <v>0</v>
      </c>
      <c r="H139" s="99">
        <v>0</v>
      </c>
      <c r="I139" s="98">
        <f>I140</f>
        <v>0</v>
      </c>
      <c r="J139" s="50">
        <f>J140</f>
        <v>0</v>
      </c>
      <c r="K139" s="99">
        <v>0</v>
      </c>
      <c r="L139" s="119">
        <f>D139+G139+J139</f>
        <v>0</v>
      </c>
      <c r="M139" s="98">
        <f>M140</f>
        <v>0</v>
      </c>
      <c r="N139" s="65">
        <f>N140</f>
        <v>0</v>
      </c>
      <c r="O139" s="51"/>
    </row>
    <row r="140" spans="1:15" ht="14.4" hidden="1" thickBot="1" x14ac:dyDescent="0.3">
      <c r="A140" s="164" t="s">
        <v>126</v>
      </c>
      <c r="B140" s="152"/>
      <c r="C140" s="96">
        <v>0</v>
      </c>
      <c r="D140" s="35">
        <v>0</v>
      </c>
      <c r="E140" s="97">
        <v>0</v>
      </c>
      <c r="F140" s="96">
        <v>0</v>
      </c>
      <c r="G140" s="23">
        <v>0</v>
      </c>
      <c r="H140" s="97">
        <v>0</v>
      </c>
      <c r="I140" s="96">
        <v>0</v>
      </c>
      <c r="J140" s="23">
        <v>0</v>
      </c>
      <c r="K140" s="97">
        <v>0</v>
      </c>
      <c r="L140" s="121">
        <f t="shared" ref="L140" si="50">D140+G140+J140</f>
        <v>0</v>
      </c>
      <c r="M140" s="96">
        <v>0</v>
      </c>
      <c r="N140" s="64">
        <v>0</v>
      </c>
      <c r="O140" s="51"/>
    </row>
    <row r="141" spans="1:15" ht="22.95" customHeight="1" thickBot="1" x14ac:dyDescent="0.3">
      <c r="A141" s="158" t="s">
        <v>68</v>
      </c>
      <c r="B141" s="76" t="s">
        <v>67</v>
      </c>
      <c r="C141" s="76">
        <f>C142+C148+C151+C153</f>
        <v>0</v>
      </c>
      <c r="D141" s="43">
        <f>D142+D148+D151+D153</f>
        <v>0</v>
      </c>
      <c r="E141" s="77">
        <v>0</v>
      </c>
      <c r="F141" s="76">
        <f>F142+F148+F151+F153</f>
        <v>0</v>
      </c>
      <c r="G141" s="43">
        <f>G142+G148+G151+G153</f>
        <v>0</v>
      </c>
      <c r="H141" s="77">
        <v>0</v>
      </c>
      <c r="I141" s="76">
        <f>I142+I148+I151+I153</f>
        <v>57610640</v>
      </c>
      <c r="J141" s="43">
        <f>J142+J148+J151+J153</f>
        <v>36772712</v>
      </c>
      <c r="K141" s="77">
        <f>J141/I141</f>
        <v>0.6382972312059022</v>
      </c>
      <c r="L141" s="118">
        <f>D141+G141+J141</f>
        <v>36772712</v>
      </c>
      <c r="M141" s="76">
        <f>M142+M148+M151+M153</f>
        <v>0</v>
      </c>
      <c r="N141" s="46">
        <f>N142+N148+N151+N153</f>
        <v>0</v>
      </c>
      <c r="O141" s="51"/>
    </row>
    <row r="142" spans="1:15" ht="28.8" x14ac:dyDescent="0.25">
      <c r="A142" s="159" t="s">
        <v>70</v>
      </c>
      <c r="B142" s="133" t="s">
        <v>69</v>
      </c>
      <c r="C142" s="78">
        <f>SUM(C143:C147)</f>
        <v>0</v>
      </c>
      <c r="D142" s="44">
        <f>SUM(D143:D147)</f>
        <v>0</v>
      </c>
      <c r="E142" s="79">
        <v>0</v>
      </c>
      <c r="F142" s="78">
        <f>SUM(F143:F147)</f>
        <v>0</v>
      </c>
      <c r="G142" s="44">
        <f>SUM(G143:G147)</f>
        <v>0</v>
      </c>
      <c r="H142" s="79">
        <v>0</v>
      </c>
      <c r="I142" s="78">
        <f>SUM(I143:I147)</f>
        <v>57006640</v>
      </c>
      <c r="J142" s="44">
        <f>SUM(J143:J147)</f>
        <v>34616574</v>
      </c>
      <c r="K142" s="79">
        <f>J142/I142</f>
        <v>0.60723757793828925</v>
      </c>
      <c r="L142" s="119">
        <f>SUM(L143:L147)</f>
        <v>34616574</v>
      </c>
      <c r="M142" s="78">
        <f t="shared" ref="M142:N142" si="51">SUM(M143:M147)</f>
        <v>0</v>
      </c>
      <c r="N142" s="56">
        <f t="shared" si="51"/>
        <v>0</v>
      </c>
      <c r="O142" s="51"/>
    </row>
    <row r="143" spans="1:15" x14ac:dyDescent="0.25">
      <c r="A143" s="160" t="s">
        <v>150</v>
      </c>
      <c r="B143" s="135"/>
      <c r="C143" s="80">
        <v>0</v>
      </c>
      <c r="D143" s="18">
        <v>0</v>
      </c>
      <c r="E143" s="81">
        <v>0</v>
      </c>
      <c r="F143" s="80">
        <v>0</v>
      </c>
      <c r="G143" s="18">
        <v>0</v>
      </c>
      <c r="H143" s="81">
        <v>0</v>
      </c>
      <c r="I143" s="80">
        <v>30285640</v>
      </c>
      <c r="J143" s="36">
        <f>200000+2500000</f>
        <v>2700000</v>
      </c>
      <c r="K143" s="81">
        <f>J143/I143</f>
        <v>8.9151162068888096E-2</v>
      </c>
      <c r="L143" s="120">
        <f t="shared" ref="L143:L146" si="52">D143+G143+J143</f>
        <v>2700000</v>
      </c>
      <c r="M143" s="80">
        <v>0</v>
      </c>
      <c r="N143" s="57">
        <v>0</v>
      </c>
      <c r="O143" s="51"/>
    </row>
    <row r="144" spans="1:15" x14ac:dyDescent="0.25">
      <c r="A144" s="160" t="s">
        <v>151</v>
      </c>
      <c r="B144" s="135"/>
      <c r="C144" s="80">
        <v>0</v>
      </c>
      <c r="D144" s="18">
        <v>0</v>
      </c>
      <c r="E144" s="81">
        <v>0</v>
      </c>
      <c r="F144" s="80">
        <v>0</v>
      </c>
      <c r="G144" s="18">
        <v>0</v>
      </c>
      <c r="H144" s="81">
        <v>0</v>
      </c>
      <c r="I144" s="80">
        <v>24721000</v>
      </c>
      <c r="J144" s="36">
        <f>600000+600000+47000+1957574+500000</f>
        <v>3704574</v>
      </c>
      <c r="K144" s="81">
        <f t="shared" ref="K144:K146" si="53">J144/I144</f>
        <v>0.14985534565753814</v>
      </c>
      <c r="L144" s="120">
        <f t="shared" si="52"/>
        <v>3704574</v>
      </c>
      <c r="M144" s="80">
        <v>0</v>
      </c>
      <c r="N144" s="57">
        <v>0</v>
      </c>
      <c r="O144" s="51"/>
    </row>
    <row r="145" spans="1:16" s="33" customFormat="1" ht="21.6" customHeight="1" x14ac:dyDescent="0.25">
      <c r="A145" s="160" t="s">
        <v>336</v>
      </c>
      <c r="B145" s="135"/>
      <c r="C145" s="80">
        <v>0</v>
      </c>
      <c r="D145" s="18">
        <v>0</v>
      </c>
      <c r="E145" s="81">
        <v>0</v>
      </c>
      <c r="F145" s="80">
        <v>0</v>
      </c>
      <c r="G145" s="18">
        <v>0</v>
      </c>
      <c r="H145" s="81">
        <v>0</v>
      </c>
      <c r="I145" s="80">
        <v>2000000</v>
      </c>
      <c r="J145" s="36">
        <v>-1788000</v>
      </c>
      <c r="K145" s="81">
        <f t="shared" si="53"/>
        <v>-0.89400000000000002</v>
      </c>
      <c r="L145" s="120">
        <f t="shared" si="52"/>
        <v>-1788000</v>
      </c>
      <c r="M145" s="80">
        <v>0</v>
      </c>
      <c r="N145" s="57">
        <v>0</v>
      </c>
      <c r="O145" s="51"/>
      <c r="P145" s="32"/>
    </row>
    <row r="146" spans="1:16" ht="27.6" hidden="1" x14ac:dyDescent="0.25">
      <c r="A146" s="160" t="s">
        <v>324</v>
      </c>
      <c r="B146" s="134"/>
      <c r="C146" s="82">
        <v>0</v>
      </c>
      <c r="D146" s="17">
        <v>0</v>
      </c>
      <c r="E146" s="83">
        <v>0</v>
      </c>
      <c r="F146" s="82">
        <v>0</v>
      </c>
      <c r="G146" s="17">
        <v>0</v>
      </c>
      <c r="H146" s="83">
        <v>0</v>
      </c>
      <c r="I146" s="82">
        <v>0</v>
      </c>
      <c r="J146" s="20"/>
      <c r="K146" s="81" t="e">
        <f t="shared" si="53"/>
        <v>#DIV/0!</v>
      </c>
      <c r="L146" s="121">
        <f t="shared" si="52"/>
        <v>0</v>
      </c>
      <c r="M146" s="82">
        <v>0</v>
      </c>
      <c r="N146" s="58">
        <v>0</v>
      </c>
      <c r="O146" s="51"/>
    </row>
    <row r="147" spans="1:16" x14ac:dyDescent="0.25">
      <c r="A147" s="160" t="s">
        <v>501</v>
      </c>
      <c r="B147" s="135"/>
      <c r="C147" s="80">
        <v>0</v>
      </c>
      <c r="D147" s="18">
        <v>0</v>
      </c>
      <c r="E147" s="81">
        <v>0</v>
      </c>
      <c r="F147" s="80">
        <v>0</v>
      </c>
      <c r="G147" s="18">
        <v>0</v>
      </c>
      <c r="H147" s="81">
        <v>0</v>
      </c>
      <c r="I147" s="80">
        <v>0</v>
      </c>
      <c r="J147" s="36">
        <v>30000000</v>
      </c>
      <c r="K147" s="81">
        <v>1</v>
      </c>
      <c r="L147" s="120">
        <f t="shared" ref="L147" si="54">D147+G147+J147</f>
        <v>30000000</v>
      </c>
      <c r="M147" s="80">
        <v>0</v>
      </c>
      <c r="N147" s="57">
        <v>0</v>
      </c>
      <c r="O147" s="51"/>
    </row>
    <row r="148" spans="1:16" ht="28.8" x14ac:dyDescent="0.25">
      <c r="A148" s="161" t="s">
        <v>72</v>
      </c>
      <c r="B148" s="137" t="s">
        <v>71</v>
      </c>
      <c r="C148" s="85">
        <f>SUM(C149:C150)</f>
        <v>0</v>
      </c>
      <c r="D148" s="45">
        <f>SUM(D149:D150)</f>
        <v>0</v>
      </c>
      <c r="E148" s="86">
        <v>0</v>
      </c>
      <c r="F148" s="85">
        <f>SUM(F149:F150)</f>
        <v>0</v>
      </c>
      <c r="G148" s="45">
        <f>SUM(G149:G150)</f>
        <v>0</v>
      </c>
      <c r="H148" s="86">
        <v>0</v>
      </c>
      <c r="I148" s="85">
        <f>I149</f>
        <v>604000</v>
      </c>
      <c r="J148" s="45">
        <f>SUM(J149:J150)</f>
        <v>49000</v>
      </c>
      <c r="K148" s="86">
        <f>J148/I148</f>
        <v>8.1125827814569534E-2</v>
      </c>
      <c r="L148" s="119">
        <f>D148+G148+J148</f>
        <v>49000</v>
      </c>
      <c r="M148" s="85">
        <f>SUM(M149:M150)</f>
        <v>0</v>
      </c>
      <c r="N148" s="60">
        <f>SUM(N149:N150)</f>
        <v>0</v>
      </c>
      <c r="O148" s="51"/>
      <c r="P148" s="305">
        <f>L142+L148+L153</f>
        <v>36772712</v>
      </c>
    </row>
    <row r="149" spans="1:16" x14ac:dyDescent="0.25">
      <c r="A149" s="160" t="s">
        <v>73</v>
      </c>
      <c r="B149" s="135"/>
      <c r="C149" s="80">
        <v>0</v>
      </c>
      <c r="D149" s="18">
        <v>0</v>
      </c>
      <c r="E149" s="81">
        <v>0</v>
      </c>
      <c r="F149" s="80">
        <v>0</v>
      </c>
      <c r="G149" s="18">
        <v>0</v>
      </c>
      <c r="H149" s="81">
        <v>0</v>
      </c>
      <c r="I149" s="80">
        <v>604000</v>
      </c>
      <c r="J149" s="36">
        <v>104000</v>
      </c>
      <c r="K149" s="81">
        <f>J149/I149</f>
        <v>0.17218543046357615</v>
      </c>
      <c r="L149" s="120">
        <f t="shared" ref="L149:L150" si="55">D149+G149+J149</f>
        <v>104000</v>
      </c>
      <c r="M149" s="80">
        <v>0</v>
      </c>
      <c r="N149" s="57">
        <v>0</v>
      </c>
      <c r="O149" s="51"/>
    </row>
    <row r="150" spans="1:16" x14ac:dyDescent="0.25">
      <c r="A150" s="160" t="s">
        <v>337</v>
      </c>
      <c r="B150" s="135"/>
      <c r="C150" s="80">
        <v>0</v>
      </c>
      <c r="D150" s="18">
        <v>0</v>
      </c>
      <c r="E150" s="81">
        <v>0</v>
      </c>
      <c r="F150" s="80">
        <v>0</v>
      </c>
      <c r="G150" s="18">
        <v>0</v>
      </c>
      <c r="H150" s="81">
        <v>0</v>
      </c>
      <c r="I150" s="80">
        <v>55000</v>
      </c>
      <c r="J150" s="36">
        <v>-55000</v>
      </c>
      <c r="K150" s="81">
        <f>J150/I150</f>
        <v>-1</v>
      </c>
      <c r="L150" s="120">
        <f t="shared" si="55"/>
        <v>-55000</v>
      </c>
      <c r="M150" s="80">
        <v>0</v>
      </c>
      <c r="N150" s="57">
        <v>0</v>
      </c>
      <c r="O150" s="193"/>
    </row>
    <row r="151" spans="1:16" ht="28.8" hidden="1" x14ac:dyDescent="0.25">
      <c r="A151" s="161" t="s">
        <v>75</v>
      </c>
      <c r="B151" s="137" t="s">
        <v>74</v>
      </c>
      <c r="C151" s="85">
        <f>SUM(C152:C152)</f>
        <v>0</v>
      </c>
      <c r="D151" s="45">
        <f>SUM(D152:D152)</f>
        <v>0</v>
      </c>
      <c r="E151" s="86">
        <v>0</v>
      </c>
      <c r="F151" s="85">
        <f>SUM(F152:F152)</f>
        <v>0</v>
      </c>
      <c r="G151" s="45">
        <f>SUM(G152:G152)</f>
        <v>0</v>
      </c>
      <c r="H151" s="86">
        <v>0</v>
      </c>
      <c r="I151" s="85">
        <f>SUM(I152:I152)</f>
        <v>0</v>
      </c>
      <c r="J151" s="45">
        <f>SUM(J152:J152)</f>
        <v>0</v>
      </c>
      <c r="K151" s="86">
        <v>1</v>
      </c>
      <c r="L151" s="119">
        <f>D151+G151+J151</f>
        <v>0</v>
      </c>
      <c r="M151" s="85">
        <f>SUM(M152:M152)</f>
        <v>0</v>
      </c>
      <c r="N151" s="66">
        <f>SUM(N152:N152)</f>
        <v>0</v>
      </c>
      <c r="O151" s="193"/>
    </row>
    <row r="152" spans="1:16" ht="27.6" hidden="1" x14ac:dyDescent="0.25">
      <c r="A152" s="160" t="s">
        <v>152</v>
      </c>
      <c r="B152" s="134"/>
      <c r="C152" s="82">
        <v>0</v>
      </c>
      <c r="D152" s="17">
        <v>0</v>
      </c>
      <c r="E152" s="83">
        <v>0</v>
      </c>
      <c r="F152" s="82">
        <v>0</v>
      </c>
      <c r="G152" s="17">
        <v>0</v>
      </c>
      <c r="H152" s="83">
        <v>0</v>
      </c>
      <c r="I152" s="82">
        <v>0</v>
      </c>
      <c r="J152" s="20">
        <v>0</v>
      </c>
      <c r="K152" s="83">
        <v>1</v>
      </c>
      <c r="L152" s="121">
        <f t="shared" ref="L152" si="56">D152+G152+J152</f>
        <v>0</v>
      </c>
      <c r="M152" s="82">
        <v>0</v>
      </c>
      <c r="N152" s="58">
        <v>0</v>
      </c>
      <c r="O152" s="51"/>
    </row>
    <row r="153" spans="1:16" ht="43.2" x14ac:dyDescent="0.25">
      <c r="A153" s="161" t="s">
        <v>77</v>
      </c>
      <c r="B153" s="137" t="s">
        <v>76</v>
      </c>
      <c r="C153" s="85">
        <f>C154</f>
        <v>0</v>
      </c>
      <c r="D153" s="45">
        <f>D154</f>
        <v>0</v>
      </c>
      <c r="E153" s="86">
        <v>0</v>
      </c>
      <c r="F153" s="85">
        <f>F154</f>
        <v>0</v>
      </c>
      <c r="G153" s="45">
        <f>G154</f>
        <v>0</v>
      </c>
      <c r="H153" s="86">
        <v>0</v>
      </c>
      <c r="I153" s="85">
        <f>I154</f>
        <v>0</v>
      </c>
      <c r="J153" s="45">
        <f>J154</f>
        <v>2107138</v>
      </c>
      <c r="K153" s="86">
        <v>1</v>
      </c>
      <c r="L153" s="119">
        <f>D153+G153+J153</f>
        <v>2107138</v>
      </c>
      <c r="M153" s="85">
        <f>M154</f>
        <v>0</v>
      </c>
      <c r="N153" s="60">
        <f>N154</f>
        <v>0</v>
      </c>
      <c r="O153" s="51"/>
    </row>
    <row r="154" spans="1:16" ht="14.4" thickBot="1" x14ac:dyDescent="0.3">
      <c r="A154" s="164" t="s">
        <v>153</v>
      </c>
      <c r="B154" s="140"/>
      <c r="C154" s="80">
        <v>0</v>
      </c>
      <c r="D154" s="37">
        <v>0</v>
      </c>
      <c r="E154" s="94">
        <v>0</v>
      </c>
      <c r="F154" s="93">
        <v>0</v>
      </c>
      <c r="G154" s="37">
        <v>0</v>
      </c>
      <c r="H154" s="94">
        <v>0</v>
      </c>
      <c r="I154" s="93">
        <v>0</v>
      </c>
      <c r="J154" s="38">
        <f>107138+2000000</f>
        <v>2107138</v>
      </c>
      <c r="K154" s="94">
        <v>1</v>
      </c>
      <c r="L154" s="120">
        <f t="shared" ref="L154" si="57">D154+G154+J154</f>
        <v>2107138</v>
      </c>
      <c r="M154" s="93">
        <v>0</v>
      </c>
      <c r="N154" s="63">
        <v>0</v>
      </c>
      <c r="O154" s="51"/>
    </row>
    <row r="155" spans="1:16" ht="28.2" thickBot="1" x14ac:dyDescent="0.3">
      <c r="A155" s="158" t="s">
        <v>79</v>
      </c>
      <c r="B155" s="76" t="s">
        <v>78</v>
      </c>
      <c r="C155" s="76">
        <f>C156+C162</f>
        <v>0</v>
      </c>
      <c r="D155" s="43">
        <f>D156+D162</f>
        <v>0</v>
      </c>
      <c r="E155" s="77">
        <v>0</v>
      </c>
      <c r="F155" s="76">
        <f>F156+F162</f>
        <v>0</v>
      </c>
      <c r="G155" s="43">
        <f>G156+G162</f>
        <v>0</v>
      </c>
      <c r="H155" s="77">
        <v>0</v>
      </c>
      <c r="I155" s="76">
        <f>I156+I162</f>
        <v>0</v>
      </c>
      <c r="J155" s="43">
        <f>J156+J162</f>
        <v>33378657</v>
      </c>
      <c r="K155" s="77">
        <v>1</v>
      </c>
      <c r="L155" s="118">
        <f>D155+G155+J155</f>
        <v>33378657</v>
      </c>
      <c r="M155" s="76">
        <f>M156+M162</f>
        <v>91044039</v>
      </c>
      <c r="N155" s="46">
        <f>N156+N162</f>
        <v>0</v>
      </c>
      <c r="O155" s="51"/>
    </row>
    <row r="156" spans="1:16" ht="28.8" x14ac:dyDescent="0.25">
      <c r="A156" s="159" t="s">
        <v>81</v>
      </c>
      <c r="B156" s="133" t="s">
        <v>80</v>
      </c>
      <c r="C156" s="78">
        <f>SUM(C157:C159)</f>
        <v>0</v>
      </c>
      <c r="D156" s="44">
        <f>SUM(D157:D159)</f>
        <v>0</v>
      </c>
      <c r="E156" s="79">
        <v>0</v>
      </c>
      <c r="F156" s="78">
        <f>SUM(F157:F159)</f>
        <v>0</v>
      </c>
      <c r="G156" s="44">
        <f>SUM(G157:G159)</f>
        <v>0</v>
      </c>
      <c r="H156" s="79">
        <v>0</v>
      </c>
      <c r="I156" s="78">
        <f>SUM(I157:I159)</f>
        <v>0</v>
      </c>
      <c r="J156" s="44">
        <f>SUM(J157:J161)</f>
        <v>33378657</v>
      </c>
      <c r="K156" s="79">
        <v>1</v>
      </c>
      <c r="L156" s="119">
        <f>D156+G156+J156</f>
        <v>33378657</v>
      </c>
      <c r="M156" s="78">
        <f>SUM(M157:M159)</f>
        <v>31044039</v>
      </c>
      <c r="N156" s="56">
        <f>SUM(N157:N159)</f>
        <v>0</v>
      </c>
      <c r="O156" s="51"/>
    </row>
    <row r="157" spans="1:16" x14ac:dyDescent="0.25">
      <c r="A157" s="160" t="s">
        <v>468</v>
      </c>
      <c r="B157" s="135"/>
      <c r="C157" s="80">
        <v>0</v>
      </c>
      <c r="D157" s="18">
        <v>0</v>
      </c>
      <c r="E157" s="81">
        <v>0</v>
      </c>
      <c r="F157" s="80">
        <v>0</v>
      </c>
      <c r="G157" s="18">
        <v>0</v>
      </c>
      <c r="H157" s="81">
        <v>0</v>
      </c>
      <c r="I157" s="80">
        <v>0</v>
      </c>
      <c r="J157" s="36">
        <f>36350944-1600000</f>
        <v>34750944</v>
      </c>
      <c r="K157" s="81">
        <v>1</v>
      </c>
      <c r="L157" s="120">
        <f t="shared" ref="L157:L161" si="58">D157+G157+J157</f>
        <v>34750944</v>
      </c>
      <c r="M157" s="80">
        <f>237379+4510196+26296464</f>
        <v>31044039</v>
      </c>
      <c r="N157" s="57">
        <v>0</v>
      </c>
      <c r="O157" s="51"/>
    </row>
    <row r="158" spans="1:16" x14ac:dyDescent="0.25">
      <c r="A158" s="160" t="s">
        <v>556</v>
      </c>
      <c r="B158" s="135"/>
      <c r="C158" s="80">
        <v>0</v>
      </c>
      <c r="D158" s="18">
        <v>0</v>
      </c>
      <c r="E158" s="81">
        <v>0</v>
      </c>
      <c r="F158" s="80">
        <v>0</v>
      </c>
      <c r="G158" s="18">
        <v>0</v>
      </c>
      <c r="H158" s="81">
        <v>0</v>
      </c>
      <c r="I158" s="80">
        <v>0</v>
      </c>
      <c r="J158" s="36">
        <f>-1400000-600000-603000</f>
        <v>-2603000</v>
      </c>
      <c r="K158" s="81">
        <v>1</v>
      </c>
      <c r="L158" s="120">
        <f t="shared" si="58"/>
        <v>-2603000</v>
      </c>
      <c r="M158" s="80">
        <v>0</v>
      </c>
      <c r="N158" s="57">
        <v>0</v>
      </c>
      <c r="O158" s="51"/>
      <c r="P158" s="305">
        <f>L156</f>
        <v>33378657</v>
      </c>
    </row>
    <row r="159" spans="1:16" hidden="1" x14ac:dyDescent="0.25">
      <c r="A159" s="160" t="s">
        <v>431</v>
      </c>
      <c r="B159" s="134"/>
      <c r="C159" s="82">
        <v>0</v>
      </c>
      <c r="D159" s="17">
        <v>0</v>
      </c>
      <c r="E159" s="83">
        <v>0</v>
      </c>
      <c r="F159" s="82">
        <v>0</v>
      </c>
      <c r="G159" s="17">
        <v>0</v>
      </c>
      <c r="H159" s="83">
        <v>0</v>
      </c>
      <c r="I159" s="82">
        <v>0</v>
      </c>
      <c r="J159" s="20">
        <v>0</v>
      </c>
      <c r="K159" s="83">
        <v>0</v>
      </c>
      <c r="L159" s="121">
        <f t="shared" si="58"/>
        <v>0</v>
      </c>
      <c r="M159" s="82">
        <v>0</v>
      </c>
      <c r="N159" s="58">
        <v>0</v>
      </c>
      <c r="O159" s="51"/>
    </row>
    <row r="160" spans="1:16" x14ac:dyDescent="0.25">
      <c r="A160" s="160" t="s">
        <v>432</v>
      </c>
      <c r="B160" s="135"/>
      <c r="C160" s="80">
        <v>0</v>
      </c>
      <c r="D160" s="18">
        <v>0</v>
      </c>
      <c r="E160" s="81">
        <v>0</v>
      </c>
      <c r="F160" s="80">
        <v>0</v>
      </c>
      <c r="G160" s="18">
        <v>0</v>
      </c>
      <c r="H160" s="81">
        <v>0</v>
      </c>
      <c r="I160" s="80">
        <v>0</v>
      </c>
      <c r="J160" s="36">
        <f>101163+1129550</f>
        <v>1230713</v>
      </c>
      <c r="K160" s="81">
        <v>1</v>
      </c>
      <c r="L160" s="120">
        <f t="shared" si="58"/>
        <v>1230713</v>
      </c>
      <c r="M160" s="80">
        <v>0</v>
      </c>
      <c r="N160" s="57">
        <v>0</v>
      </c>
      <c r="O160" s="195"/>
    </row>
    <row r="161" spans="1:15" hidden="1" x14ac:dyDescent="0.25">
      <c r="A161" s="160" t="s">
        <v>458</v>
      </c>
      <c r="B161" s="134"/>
      <c r="C161" s="82">
        <v>0</v>
      </c>
      <c r="D161" s="17">
        <v>0</v>
      </c>
      <c r="E161" s="83">
        <v>0</v>
      </c>
      <c r="F161" s="82">
        <v>0</v>
      </c>
      <c r="G161" s="17">
        <v>0</v>
      </c>
      <c r="H161" s="83">
        <v>0</v>
      </c>
      <c r="I161" s="82">
        <v>0</v>
      </c>
      <c r="J161" s="20">
        <v>0</v>
      </c>
      <c r="K161" s="83">
        <v>0</v>
      </c>
      <c r="L161" s="121">
        <f t="shared" si="58"/>
        <v>0</v>
      </c>
      <c r="M161" s="82">
        <v>0</v>
      </c>
      <c r="N161" s="58">
        <v>0</v>
      </c>
      <c r="O161" s="51"/>
    </row>
    <row r="162" spans="1:15" ht="28.8" x14ac:dyDescent="0.25">
      <c r="A162" s="161" t="s">
        <v>83</v>
      </c>
      <c r="B162" s="137" t="s">
        <v>82</v>
      </c>
      <c r="C162" s="85">
        <f>SUM(C163:C167)</f>
        <v>0</v>
      </c>
      <c r="D162" s="45">
        <f>SUM(D163:D167)</f>
        <v>0</v>
      </c>
      <c r="E162" s="86">
        <v>0</v>
      </c>
      <c r="F162" s="85">
        <f>SUM(F163:F167)</f>
        <v>0</v>
      </c>
      <c r="G162" s="45">
        <f>SUM(G163:G167)</f>
        <v>0</v>
      </c>
      <c r="H162" s="86">
        <v>0</v>
      </c>
      <c r="I162" s="85">
        <f>SUM(I163:I167)</f>
        <v>0</v>
      </c>
      <c r="J162" s="45">
        <f>SUM(J163:J167)</f>
        <v>0</v>
      </c>
      <c r="K162" s="86">
        <v>0</v>
      </c>
      <c r="L162" s="119">
        <f>D162+G162+J162</f>
        <v>0</v>
      </c>
      <c r="M162" s="85">
        <f>SUM(M163:M167)</f>
        <v>60000000</v>
      </c>
      <c r="N162" s="60">
        <f>SUM(N163:N167)</f>
        <v>0</v>
      </c>
      <c r="O162" s="51"/>
    </row>
    <row r="163" spans="1:15" hidden="1" x14ac:dyDescent="0.25">
      <c r="A163" s="160" t="s">
        <v>145</v>
      </c>
      <c r="B163" s="134"/>
      <c r="C163" s="82">
        <v>0</v>
      </c>
      <c r="D163" s="20">
        <v>0</v>
      </c>
      <c r="E163" s="83">
        <v>0</v>
      </c>
      <c r="F163" s="82">
        <v>0</v>
      </c>
      <c r="G163" s="17">
        <v>0</v>
      </c>
      <c r="H163" s="83">
        <v>0</v>
      </c>
      <c r="I163" s="82">
        <v>0</v>
      </c>
      <c r="J163" s="20">
        <v>0</v>
      </c>
      <c r="K163" s="83">
        <v>0</v>
      </c>
      <c r="L163" s="121">
        <f t="shared" ref="L163:L167" si="59">D163+G163+J163</f>
        <v>0</v>
      </c>
      <c r="M163" s="82">
        <v>0</v>
      </c>
      <c r="N163" s="58">
        <v>0</v>
      </c>
      <c r="O163" s="51"/>
    </row>
    <row r="164" spans="1:15" ht="14.4" thickBot="1" x14ac:dyDescent="0.3">
      <c r="A164" s="160" t="s">
        <v>334</v>
      </c>
      <c r="B164" s="135"/>
      <c r="C164" s="80">
        <v>0</v>
      </c>
      <c r="D164" s="18">
        <v>0</v>
      </c>
      <c r="E164" s="81">
        <v>0</v>
      </c>
      <c r="F164" s="80">
        <v>0</v>
      </c>
      <c r="G164" s="18">
        <v>0</v>
      </c>
      <c r="H164" s="81">
        <v>0</v>
      </c>
      <c r="I164" s="80">
        <v>0</v>
      </c>
      <c r="J164" s="36">
        <v>0</v>
      </c>
      <c r="K164" s="81">
        <v>0</v>
      </c>
      <c r="L164" s="120">
        <f t="shared" si="59"/>
        <v>0</v>
      </c>
      <c r="M164" s="80">
        <v>60000000</v>
      </c>
      <c r="N164" s="57">
        <v>0</v>
      </c>
      <c r="O164" s="51"/>
    </row>
    <row r="165" spans="1:15" ht="27.6" hidden="1" x14ac:dyDescent="0.25">
      <c r="A165" s="160" t="s">
        <v>144</v>
      </c>
      <c r="B165" s="134"/>
      <c r="C165" s="82">
        <v>0</v>
      </c>
      <c r="D165" s="17">
        <v>0</v>
      </c>
      <c r="E165" s="83">
        <v>0</v>
      </c>
      <c r="F165" s="82">
        <v>0</v>
      </c>
      <c r="G165" s="17">
        <v>0</v>
      </c>
      <c r="H165" s="83">
        <v>0</v>
      </c>
      <c r="I165" s="82">
        <v>0</v>
      </c>
      <c r="J165" s="20">
        <v>0</v>
      </c>
      <c r="K165" s="83">
        <v>1</v>
      </c>
      <c r="L165" s="121">
        <f t="shared" si="59"/>
        <v>0</v>
      </c>
      <c r="M165" s="82">
        <v>0</v>
      </c>
      <c r="N165" s="58">
        <v>0</v>
      </c>
      <c r="O165" s="51"/>
    </row>
    <row r="166" spans="1:15" hidden="1" x14ac:dyDescent="0.25">
      <c r="A166" s="160" t="s">
        <v>146</v>
      </c>
      <c r="B166" s="134"/>
      <c r="C166" s="82">
        <v>0</v>
      </c>
      <c r="D166" s="17">
        <v>0</v>
      </c>
      <c r="E166" s="83">
        <v>0</v>
      </c>
      <c r="F166" s="82">
        <v>0</v>
      </c>
      <c r="G166" s="17">
        <v>0</v>
      </c>
      <c r="H166" s="83">
        <v>0</v>
      </c>
      <c r="I166" s="82">
        <v>0</v>
      </c>
      <c r="J166" s="20">
        <v>0</v>
      </c>
      <c r="K166" s="83">
        <v>1</v>
      </c>
      <c r="L166" s="121">
        <f t="shared" si="59"/>
        <v>0</v>
      </c>
      <c r="M166" s="82">
        <v>0</v>
      </c>
      <c r="N166" s="58">
        <v>0</v>
      </c>
      <c r="O166" s="193"/>
    </row>
    <row r="167" spans="1:15" ht="14.4" hidden="1" thickBot="1" x14ac:dyDescent="0.3">
      <c r="A167" s="164" t="s">
        <v>147</v>
      </c>
      <c r="B167" s="152"/>
      <c r="C167" s="82">
        <v>0</v>
      </c>
      <c r="D167" s="17">
        <v>0</v>
      </c>
      <c r="E167" s="97">
        <v>0</v>
      </c>
      <c r="F167" s="96">
        <v>0</v>
      </c>
      <c r="G167" s="23">
        <v>0</v>
      </c>
      <c r="H167" s="97">
        <v>0</v>
      </c>
      <c r="I167" s="96">
        <v>0</v>
      </c>
      <c r="J167" s="35">
        <v>0</v>
      </c>
      <c r="K167" s="97">
        <v>1</v>
      </c>
      <c r="L167" s="121">
        <f t="shared" si="59"/>
        <v>0</v>
      </c>
      <c r="M167" s="82">
        <v>0</v>
      </c>
      <c r="N167" s="58">
        <v>0</v>
      </c>
      <c r="O167" s="51"/>
    </row>
    <row r="168" spans="1:15" ht="28.2" hidden="1" thickBot="1" x14ac:dyDescent="0.3">
      <c r="A168" s="158" t="s">
        <v>85</v>
      </c>
      <c r="B168" s="132" t="s">
        <v>84</v>
      </c>
      <c r="C168" s="76">
        <f>C169+C171</f>
        <v>0</v>
      </c>
      <c r="D168" s="43">
        <f>D169+D171</f>
        <v>0</v>
      </c>
      <c r="E168" s="100">
        <v>0</v>
      </c>
      <c r="F168" s="76">
        <f>F169+F171</f>
        <v>0</v>
      </c>
      <c r="G168" s="43">
        <f>G169+G171</f>
        <v>0</v>
      </c>
      <c r="H168" s="100"/>
      <c r="I168" s="76">
        <f>I169+I171</f>
        <v>0</v>
      </c>
      <c r="J168" s="43">
        <f>J169+J171</f>
        <v>0</v>
      </c>
      <c r="K168" s="100">
        <v>0</v>
      </c>
      <c r="L168" s="127">
        <f>D168+G168+J168</f>
        <v>0</v>
      </c>
      <c r="M168" s="76">
        <f>M169+M171</f>
        <v>0</v>
      </c>
      <c r="N168" s="46">
        <f>N169+N171</f>
        <v>0</v>
      </c>
      <c r="O168" s="51"/>
    </row>
    <row r="169" spans="1:15" ht="28.8" hidden="1" x14ac:dyDescent="0.25">
      <c r="A169" s="159" t="s">
        <v>87</v>
      </c>
      <c r="B169" s="153" t="s">
        <v>86</v>
      </c>
      <c r="C169" s="101">
        <f>SUM(C170:C170)</f>
        <v>0</v>
      </c>
      <c r="D169" s="22">
        <f>SUM(D170:D170)</f>
        <v>0</v>
      </c>
      <c r="E169" s="102">
        <v>0</v>
      </c>
      <c r="F169" s="101">
        <f>SUM(F170:F170)</f>
        <v>0</v>
      </c>
      <c r="G169" s="22">
        <f>SUM(G170:G170)</f>
        <v>0</v>
      </c>
      <c r="H169" s="102">
        <v>0</v>
      </c>
      <c r="I169" s="101">
        <f>SUM(I170:I170)</f>
        <v>0</v>
      </c>
      <c r="J169" s="22">
        <f>SUM(J170:J170)</f>
        <v>0</v>
      </c>
      <c r="K169" s="102">
        <v>0</v>
      </c>
      <c r="L169" s="123">
        <f>D169+G169+J169</f>
        <v>0</v>
      </c>
      <c r="M169" s="101">
        <f>SUM(M170:M170)</f>
        <v>0</v>
      </c>
      <c r="N169" s="67">
        <f>SUM(N170:N170)</f>
        <v>0</v>
      </c>
      <c r="O169" s="51"/>
    </row>
    <row r="170" spans="1:15" hidden="1" x14ac:dyDescent="0.25">
      <c r="A170" s="160"/>
      <c r="B170" s="134"/>
      <c r="C170" s="82">
        <v>0</v>
      </c>
      <c r="D170" s="17">
        <v>0</v>
      </c>
      <c r="E170" s="83">
        <v>0</v>
      </c>
      <c r="F170" s="82">
        <v>0</v>
      </c>
      <c r="G170" s="17">
        <v>0</v>
      </c>
      <c r="H170" s="83">
        <v>0</v>
      </c>
      <c r="I170" s="82">
        <v>0</v>
      </c>
      <c r="J170" s="17">
        <v>0</v>
      </c>
      <c r="K170" s="83">
        <v>0</v>
      </c>
      <c r="L170" s="121">
        <f t="shared" ref="L170" si="60">D170+G170+J170</f>
        <v>0</v>
      </c>
      <c r="M170" s="82">
        <v>0</v>
      </c>
      <c r="N170" s="58">
        <v>0</v>
      </c>
      <c r="O170" s="51"/>
    </row>
    <row r="171" spans="1:15" ht="28.8" hidden="1" x14ac:dyDescent="0.25">
      <c r="A171" s="161" t="s">
        <v>89</v>
      </c>
      <c r="B171" s="136" t="s">
        <v>88</v>
      </c>
      <c r="C171" s="84">
        <f>C172</f>
        <v>0</v>
      </c>
      <c r="D171" s="21">
        <f>D172</f>
        <v>0</v>
      </c>
      <c r="E171" s="89">
        <v>0</v>
      </c>
      <c r="F171" s="84">
        <f>F172</f>
        <v>0</v>
      </c>
      <c r="G171" s="21">
        <f>G172</f>
        <v>0</v>
      </c>
      <c r="H171" s="89"/>
      <c r="I171" s="84">
        <f>I172</f>
        <v>0</v>
      </c>
      <c r="J171" s="21">
        <f>J172</f>
        <v>0</v>
      </c>
      <c r="K171" s="89">
        <v>0</v>
      </c>
      <c r="L171" s="123">
        <f>D171+G171+J171</f>
        <v>0</v>
      </c>
      <c r="M171" s="84">
        <f>M172</f>
        <v>0</v>
      </c>
      <c r="N171" s="59">
        <f>N172</f>
        <v>0</v>
      </c>
      <c r="O171" s="51"/>
    </row>
    <row r="172" spans="1:15" ht="14.4" hidden="1" thickBot="1" x14ac:dyDescent="0.3">
      <c r="A172" s="164"/>
      <c r="B172" s="152"/>
      <c r="C172" s="96">
        <v>0</v>
      </c>
      <c r="D172" s="23">
        <v>0</v>
      </c>
      <c r="E172" s="97">
        <v>0</v>
      </c>
      <c r="F172" s="96">
        <v>0</v>
      </c>
      <c r="G172" s="23">
        <v>0</v>
      </c>
      <c r="H172" s="97">
        <v>0</v>
      </c>
      <c r="I172" s="96">
        <v>0</v>
      </c>
      <c r="J172" s="23">
        <v>0</v>
      </c>
      <c r="K172" s="97">
        <v>0</v>
      </c>
      <c r="L172" s="125">
        <v>0</v>
      </c>
      <c r="M172" s="96">
        <v>0</v>
      </c>
      <c r="N172" s="64">
        <v>0</v>
      </c>
      <c r="O172" s="51"/>
    </row>
    <row r="173" spans="1:15" ht="28.2" thickBot="1" x14ac:dyDescent="0.3">
      <c r="A173" s="158" t="s">
        <v>91</v>
      </c>
      <c r="B173" s="76" t="s">
        <v>90</v>
      </c>
      <c r="C173" s="76">
        <f>C174+C177+C179</f>
        <v>0</v>
      </c>
      <c r="D173" s="43">
        <f>D174+D177+D179</f>
        <v>0</v>
      </c>
      <c r="E173" s="77">
        <v>0</v>
      </c>
      <c r="F173" s="76">
        <f>F174+F177+F179</f>
        <v>0</v>
      </c>
      <c r="G173" s="43">
        <f>G174+G177+G179</f>
        <v>0</v>
      </c>
      <c r="H173" s="77">
        <v>0</v>
      </c>
      <c r="I173" s="76">
        <f>I174+I177+I179</f>
        <v>220000</v>
      </c>
      <c r="J173" s="43">
        <f>J174+J177+J179</f>
        <v>180000</v>
      </c>
      <c r="K173" s="77">
        <f>J173/I173</f>
        <v>0.81818181818181823</v>
      </c>
      <c r="L173" s="118">
        <f>L174+L177+L179</f>
        <v>180000</v>
      </c>
      <c r="M173" s="76">
        <f>M174+M177+M179</f>
        <v>0</v>
      </c>
      <c r="N173" s="46">
        <f>N174+N177</f>
        <v>0</v>
      </c>
      <c r="O173" s="51"/>
    </row>
    <row r="174" spans="1:15" ht="43.2" hidden="1" x14ac:dyDescent="0.25">
      <c r="A174" s="159" t="s">
        <v>93</v>
      </c>
      <c r="B174" s="153" t="s">
        <v>92</v>
      </c>
      <c r="C174" s="101">
        <f>SUM(C175:C176)</f>
        <v>0</v>
      </c>
      <c r="D174" s="22">
        <f>SUM(D175:D176)</f>
        <v>0</v>
      </c>
      <c r="E174" s="102">
        <v>0</v>
      </c>
      <c r="F174" s="101">
        <f>SUM(F175:F176)</f>
        <v>0</v>
      </c>
      <c r="G174" s="22">
        <f>SUM(G175:G176)</f>
        <v>0</v>
      </c>
      <c r="H174" s="102">
        <v>0</v>
      </c>
      <c r="I174" s="101">
        <f>SUM(I175:I176)</f>
        <v>0</v>
      </c>
      <c r="J174" s="22">
        <f>SUM(J175:J176)</f>
        <v>0</v>
      </c>
      <c r="K174" s="102">
        <v>0</v>
      </c>
      <c r="L174" s="123">
        <f>D174+G174+J174</f>
        <v>0</v>
      </c>
      <c r="M174" s="101">
        <f>SUM(M175:M175)</f>
        <v>0</v>
      </c>
      <c r="N174" s="67">
        <f>SUM(N175:N175)</f>
        <v>0</v>
      </c>
      <c r="O174" s="51"/>
    </row>
    <row r="175" spans="1:15" hidden="1" x14ac:dyDescent="0.25">
      <c r="A175" s="174" t="s">
        <v>137</v>
      </c>
      <c r="B175" s="134"/>
      <c r="C175" s="82">
        <v>0</v>
      </c>
      <c r="D175" s="17">
        <v>0</v>
      </c>
      <c r="E175" s="83">
        <v>0</v>
      </c>
      <c r="F175" s="82">
        <v>0</v>
      </c>
      <c r="G175" s="17">
        <v>0</v>
      </c>
      <c r="H175" s="83">
        <v>0</v>
      </c>
      <c r="I175" s="82">
        <v>0</v>
      </c>
      <c r="J175" s="20">
        <v>0</v>
      </c>
      <c r="K175" s="83">
        <v>0</v>
      </c>
      <c r="L175" s="121">
        <f t="shared" ref="L175:L176" si="61">D175+G175+J175</f>
        <v>0</v>
      </c>
      <c r="M175" s="82">
        <v>0</v>
      </c>
      <c r="N175" s="58">
        <v>0</v>
      </c>
      <c r="O175" s="51"/>
    </row>
    <row r="176" spans="1:15" hidden="1" x14ac:dyDescent="0.25">
      <c r="A176" s="174" t="s">
        <v>422</v>
      </c>
      <c r="B176" s="134"/>
      <c r="C176" s="82">
        <v>0</v>
      </c>
      <c r="D176" s="17">
        <v>0</v>
      </c>
      <c r="E176" s="83">
        <v>0</v>
      </c>
      <c r="F176" s="82">
        <v>0</v>
      </c>
      <c r="G176" s="17">
        <v>0</v>
      </c>
      <c r="H176" s="83">
        <v>0</v>
      </c>
      <c r="I176" s="82">
        <v>0</v>
      </c>
      <c r="J176" s="20">
        <v>0</v>
      </c>
      <c r="K176" s="83">
        <v>0</v>
      </c>
      <c r="L176" s="121">
        <f t="shared" si="61"/>
        <v>0</v>
      </c>
      <c r="M176" s="82">
        <v>0</v>
      </c>
      <c r="N176" s="58">
        <v>0</v>
      </c>
      <c r="O176" s="51"/>
    </row>
    <row r="177" spans="1:16" ht="43.2" hidden="1" x14ac:dyDescent="0.25">
      <c r="A177" s="161" t="s">
        <v>557</v>
      </c>
      <c r="B177" s="136" t="s">
        <v>94</v>
      </c>
      <c r="C177" s="84">
        <f>SUM(C178:C178)</f>
        <v>0</v>
      </c>
      <c r="D177" s="21">
        <f>SUM(D178:D178)</f>
        <v>0</v>
      </c>
      <c r="E177" s="89">
        <v>0</v>
      </c>
      <c r="F177" s="84">
        <f>SUM(F178:F178)</f>
        <v>0</v>
      </c>
      <c r="G177" s="21">
        <f>SUM(G178:G178)</f>
        <v>0</v>
      </c>
      <c r="H177" s="89">
        <v>0</v>
      </c>
      <c r="I177" s="84">
        <f>SUM(I178:I178)</f>
        <v>0</v>
      </c>
      <c r="J177" s="21">
        <f>SUM(J178:J178)</f>
        <v>0</v>
      </c>
      <c r="K177" s="89">
        <v>0</v>
      </c>
      <c r="L177" s="123">
        <f>D177+G177+J177</f>
        <v>0</v>
      </c>
      <c r="M177" s="84">
        <f>SUM(M178:M178)</f>
        <v>0</v>
      </c>
      <c r="N177" s="59">
        <f>SUM(N178:N178)</f>
        <v>0</v>
      </c>
      <c r="O177" s="51"/>
    </row>
    <row r="178" spans="1:16" hidden="1" x14ac:dyDescent="0.25">
      <c r="A178" s="174" t="s">
        <v>460</v>
      </c>
      <c r="B178" s="134"/>
      <c r="C178" s="82">
        <v>0</v>
      </c>
      <c r="D178" s="17">
        <v>0</v>
      </c>
      <c r="E178" s="83">
        <v>0</v>
      </c>
      <c r="F178" s="82">
        <v>0</v>
      </c>
      <c r="G178" s="17">
        <v>0</v>
      </c>
      <c r="H178" s="83">
        <v>0</v>
      </c>
      <c r="I178" s="82">
        <v>0</v>
      </c>
      <c r="J178" s="20">
        <v>0</v>
      </c>
      <c r="K178" s="83">
        <v>0</v>
      </c>
      <c r="L178" s="121">
        <f t="shared" ref="L178" si="62">D178+G178+J178</f>
        <v>0</v>
      </c>
      <c r="M178" s="82">
        <v>0</v>
      </c>
      <c r="N178" s="58">
        <v>0</v>
      </c>
      <c r="O178" s="51"/>
    </row>
    <row r="179" spans="1:16" ht="28.8" x14ac:dyDescent="0.25">
      <c r="A179" s="161" t="s">
        <v>8</v>
      </c>
      <c r="B179" s="137" t="s">
        <v>418</v>
      </c>
      <c r="C179" s="85">
        <f>SUM(C180:C182)</f>
        <v>0</v>
      </c>
      <c r="D179" s="45">
        <f>SUM(D180:D182)</f>
        <v>0</v>
      </c>
      <c r="E179" s="86">
        <v>0</v>
      </c>
      <c r="F179" s="85">
        <f>SUM(F180:F182)</f>
        <v>0</v>
      </c>
      <c r="G179" s="45">
        <f>SUM(G180:G182)</f>
        <v>0</v>
      </c>
      <c r="H179" s="86">
        <v>0</v>
      </c>
      <c r="I179" s="85">
        <f>SUM(I180:I182)</f>
        <v>220000</v>
      </c>
      <c r="J179" s="45">
        <f>SUM(J180:J182)</f>
        <v>180000</v>
      </c>
      <c r="K179" s="86">
        <v>1</v>
      </c>
      <c r="L179" s="126">
        <f>SUM(L180:L182)</f>
        <v>180000</v>
      </c>
      <c r="M179" s="85">
        <f>SUM(M180:M182)</f>
        <v>0</v>
      </c>
      <c r="N179" s="60">
        <f>SUM(N180:N182)</f>
        <v>0</v>
      </c>
      <c r="O179" s="51"/>
    </row>
    <row r="180" spans="1:16" ht="14.4" thickBot="1" x14ac:dyDescent="0.3">
      <c r="A180" s="160" t="s">
        <v>141</v>
      </c>
      <c r="B180" s="135"/>
      <c r="C180" s="80">
        <v>0</v>
      </c>
      <c r="D180" s="18">
        <v>0</v>
      </c>
      <c r="E180" s="81">
        <v>0</v>
      </c>
      <c r="F180" s="80">
        <v>0</v>
      </c>
      <c r="G180" s="18">
        <v>0</v>
      </c>
      <c r="H180" s="81">
        <v>0</v>
      </c>
      <c r="I180" s="80">
        <v>220000</v>
      </c>
      <c r="J180" s="36">
        <v>180000</v>
      </c>
      <c r="K180" s="81">
        <f>J180/I180</f>
        <v>0.81818181818181823</v>
      </c>
      <c r="L180" s="120">
        <f t="shared" ref="L180:L182" si="63">D180+G180+J180</f>
        <v>180000</v>
      </c>
      <c r="M180" s="80">
        <v>0</v>
      </c>
      <c r="N180" s="57">
        <v>0</v>
      </c>
      <c r="O180" s="51"/>
      <c r="P180" s="305">
        <f>L179</f>
        <v>180000</v>
      </c>
    </row>
    <row r="181" spans="1:16" hidden="1" x14ac:dyDescent="0.25">
      <c r="A181" s="166" t="s">
        <v>423</v>
      </c>
      <c r="B181" s="134"/>
      <c r="C181" s="82">
        <v>0</v>
      </c>
      <c r="D181" s="17">
        <v>0</v>
      </c>
      <c r="E181" s="83">
        <v>0</v>
      </c>
      <c r="F181" s="82">
        <v>0</v>
      </c>
      <c r="G181" s="17">
        <v>0</v>
      </c>
      <c r="H181" s="83">
        <v>0</v>
      </c>
      <c r="I181" s="82">
        <v>0</v>
      </c>
      <c r="J181" s="17">
        <v>0</v>
      </c>
      <c r="K181" s="83">
        <v>0</v>
      </c>
      <c r="L181" s="121">
        <f t="shared" si="63"/>
        <v>0</v>
      </c>
      <c r="M181" s="82">
        <v>0</v>
      </c>
      <c r="N181" s="58">
        <v>0</v>
      </c>
      <c r="O181" s="51"/>
    </row>
    <row r="182" spans="1:16" ht="14.4" hidden="1" thickBot="1" x14ac:dyDescent="0.3">
      <c r="A182" s="175" t="s">
        <v>424</v>
      </c>
      <c r="B182" s="152"/>
      <c r="C182" s="96">
        <v>0</v>
      </c>
      <c r="D182" s="23">
        <v>0</v>
      </c>
      <c r="E182" s="97">
        <v>0</v>
      </c>
      <c r="F182" s="96">
        <v>0</v>
      </c>
      <c r="G182" s="23">
        <v>0</v>
      </c>
      <c r="H182" s="97">
        <v>0</v>
      </c>
      <c r="I182" s="96">
        <v>0</v>
      </c>
      <c r="J182" s="23">
        <v>0</v>
      </c>
      <c r="K182" s="97">
        <v>0</v>
      </c>
      <c r="L182" s="125">
        <f t="shared" si="63"/>
        <v>0</v>
      </c>
      <c r="M182" s="96">
        <v>0</v>
      </c>
      <c r="N182" s="64">
        <v>0</v>
      </c>
      <c r="O182" s="51"/>
    </row>
    <row r="183" spans="1:16" ht="28.2" hidden="1" thickBot="1" x14ac:dyDescent="0.3">
      <c r="A183" s="158" t="s">
        <v>96</v>
      </c>
      <c r="B183" s="132" t="s">
        <v>95</v>
      </c>
      <c r="C183" s="76">
        <f>C184+C186</f>
        <v>0</v>
      </c>
      <c r="D183" s="43">
        <f>D184+D186</f>
        <v>0</v>
      </c>
      <c r="E183" s="77">
        <v>0</v>
      </c>
      <c r="F183" s="76">
        <f>F184+F186</f>
        <v>0</v>
      </c>
      <c r="G183" s="43">
        <f>G184+G186</f>
        <v>0</v>
      </c>
      <c r="H183" s="77">
        <v>0</v>
      </c>
      <c r="I183" s="76">
        <f>I184+I186</f>
        <v>0</v>
      </c>
      <c r="J183" s="43">
        <f>J184+J186</f>
        <v>0</v>
      </c>
      <c r="K183" s="77">
        <v>0</v>
      </c>
      <c r="L183" s="118">
        <f>D183+G183+J183</f>
        <v>0</v>
      </c>
      <c r="M183" s="76">
        <f>M184+M186</f>
        <v>0</v>
      </c>
      <c r="N183" s="46">
        <f>N184+N186</f>
        <v>0</v>
      </c>
      <c r="O183" s="192"/>
    </row>
    <row r="184" spans="1:16" ht="28.8" hidden="1" x14ac:dyDescent="0.25">
      <c r="A184" s="176" t="s">
        <v>98</v>
      </c>
      <c r="B184" s="133" t="s">
        <v>97</v>
      </c>
      <c r="C184" s="78">
        <f>SUM(C185:C185)</f>
        <v>0</v>
      </c>
      <c r="D184" s="44">
        <f>SUM(D185:D185)</f>
        <v>0</v>
      </c>
      <c r="E184" s="79">
        <v>0</v>
      </c>
      <c r="F184" s="78">
        <f>SUM(F185:F185)</f>
        <v>0</v>
      </c>
      <c r="G184" s="44">
        <f>SUM(G185:G185)</f>
        <v>0</v>
      </c>
      <c r="H184" s="79">
        <v>0</v>
      </c>
      <c r="I184" s="78">
        <f>SUM(I185:I185)</f>
        <v>0</v>
      </c>
      <c r="J184" s="44">
        <f>SUM(J185:J185)</f>
        <v>0</v>
      </c>
      <c r="K184" s="79">
        <v>0</v>
      </c>
      <c r="L184" s="119">
        <f>D184+G184+J184</f>
        <v>0</v>
      </c>
      <c r="M184" s="78">
        <f>SUM(M185:M185)</f>
        <v>0</v>
      </c>
      <c r="N184" s="56">
        <f>SUM(N185:N185)</f>
        <v>0</v>
      </c>
      <c r="O184" s="51"/>
    </row>
    <row r="185" spans="1:16" hidden="1" x14ac:dyDescent="0.25">
      <c r="A185" s="177"/>
      <c r="B185" s="134"/>
      <c r="C185" s="82">
        <v>0</v>
      </c>
      <c r="D185" s="17">
        <v>0</v>
      </c>
      <c r="E185" s="83">
        <v>0</v>
      </c>
      <c r="F185" s="82">
        <v>0</v>
      </c>
      <c r="G185" s="17">
        <v>0</v>
      </c>
      <c r="H185" s="83">
        <v>0</v>
      </c>
      <c r="I185" s="82"/>
      <c r="J185" s="17"/>
      <c r="K185" s="83">
        <v>0</v>
      </c>
      <c r="L185" s="121">
        <f t="shared" ref="L185" si="64">D185+G185+J185</f>
        <v>0</v>
      </c>
      <c r="M185" s="82">
        <v>0</v>
      </c>
      <c r="N185" s="58">
        <v>0</v>
      </c>
      <c r="O185" s="51"/>
    </row>
    <row r="186" spans="1:16" ht="28.8" hidden="1" x14ac:dyDescent="0.25">
      <c r="A186" s="161" t="s">
        <v>100</v>
      </c>
      <c r="B186" s="137" t="s">
        <v>99</v>
      </c>
      <c r="C186" s="85">
        <f>C187</f>
        <v>0</v>
      </c>
      <c r="D186" s="45">
        <f>D187</f>
        <v>0</v>
      </c>
      <c r="E186" s="86">
        <v>0</v>
      </c>
      <c r="F186" s="85">
        <f>SUM(F188:F188)</f>
        <v>0</v>
      </c>
      <c r="G186" s="45">
        <v>0</v>
      </c>
      <c r="H186" s="86">
        <v>0</v>
      </c>
      <c r="I186" s="85">
        <f>SUM(I188:I188)</f>
        <v>0</v>
      </c>
      <c r="J186" s="45">
        <f>J187</f>
        <v>0</v>
      </c>
      <c r="K186" s="86">
        <v>0</v>
      </c>
      <c r="L186" s="119">
        <f>D186+G186+J186</f>
        <v>0</v>
      </c>
      <c r="M186" s="85">
        <f>SUM(M188:M188)</f>
        <v>0</v>
      </c>
      <c r="N186" s="60">
        <f>SUM(N188:N188)</f>
        <v>0</v>
      </c>
      <c r="O186" s="51"/>
    </row>
    <row r="187" spans="1:16" ht="14.4" hidden="1" thickBot="1" x14ac:dyDescent="0.3">
      <c r="A187" s="178" t="s">
        <v>425</v>
      </c>
      <c r="B187" s="134"/>
      <c r="C187" s="82">
        <v>0</v>
      </c>
      <c r="D187" s="17">
        <v>0</v>
      </c>
      <c r="E187" s="83">
        <v>0</v>
      </c>
      <c r="F187" s="82">
        <v>0</v>
      </c>
      <c r="G187" s="17">
        <v>0</v>
      </c>
      <c r="H187" s="83">
        <v>0</v>
      </c>
      <c r="I187" s="82">
        <v>0</v>
      </c>
      <c r="J187" s="17">
        <v>0</v>
      </c>
      <c r="K187" s="83">
        <v>0</v>
      </c>
      <c r="L187" s="121">
        <f t="shared" ref="L187" si="65">D187+G187+J187</f>
        <v>0</v>
      </c>
      <c r="M187" s="82">
        <v>0</v>
      </c>
      <c r="N187" s="58">
        <v>0</v>
      </c>
      <c r="O187" s="51"/>
    </row>
    <row r="188" spans="1:16" ht="28.2" thickBot="1" x14ac:dyDescent="0.3">
      <c r="A188" s="158" t="s">
        <v>344</v>
      </c>
      <c r="B188" s="76" t="s">
        <v>341</v>
      </c>
      <c r="C188" s="76">
        <f>C189+C191+C193+C195</f>
        <v>0</v>
      </c>
      <c r="D188" s="43">
        <f>D189+D191+D193+D195</f>
        <v>1722935.42</v>
      </c>
      <c r="E188" s="77">
        <v>1</v>
      </c>
      <c r="F188" s="76">
        <f>F189+F191+F193+F195</f>
        <v>0</v>
      </c>
      <c r="G188" s="43">
        <f>G189+G191+G193+G195</f>
        <v>727400.9</v>
      </c>
      <c r="H188" s="77">
        <v>0</v>
      </c>
      <c r="I188" s="76">
        <f>I189+I191+I193+I195</f>
        <v>0</v>
      </c>
      <c r="J188" s="43">
        <f>J189+J191+J193+J195</f>
        <v>0</v>
      </c>
      <c r="K188" s="77">
        <v>0</v>
      </c>
      <c r="L188" s="118">
        <f>D188+G188+J188</f>
        <v>2450336.3199999998</v>
      </c>
      <c r="M188" s="76">
        <f>M189+M191+M193+M195</f>
        <v>0</v>
      </c>
      <c r="N188" s="46">
        <f>N189+N191+N193+N195</f>
        <v>0</v>
      </c>
      <c r="O188" s="51"/>
    </row>
    <row r="189" spans="1:16" ht="28.8" hidden="1" x14ac:dyDescent="0.25">
      <c r="A189" s="176" t="s">
        <v>345</v>
      </c>
      <c r="B189" s="133" t="s">
        <v>342</v>
      </c>
      <c r="C189" s="78">
        <f>SUM(C190:C190)</f>
        <v>0</v>
      </c>
      <c r="D189" s="44">
        <f>SUM(D190:D190)</f>
        <v>0</v>
      </c>
      <c r="E189" s="79">
        <v>0</v>
      </c>
      <c r="F189" s="78">
        <f>SUM(F190:F190)</f>
        <v>0</v>
      </c>
      <c r="G189" s="44">
        <f>SUM(G190:G190)</f>
        <v>0</v>
      </c>
      <c r="H189" s="79">
        <v>0</v>
      </c>
      <c r="I189" s="78">
        <f>SUM(I190:I190)</f>
        <v>0</v>
      </c>
      <c r="J189" s="44">
        <f>SUM(J190:J190)</f>
        <v>0</v>
      </c>
      <c r="K189" s="79">
        <v>0</v>
      </c>
      <c r="L189" s="119">
        <f>D189+G189+J189</f>
        <v>0</v>
      </c>
      <c r="M189" s="78">
        <f>SUM(M190:M190)</f>
        <v>0</v>
      </c>
      <c r="N189" s="56">
        <f>SUM(N190:N190)</f>
        <v>0</v>
      </c>
      <c r="O189" s="51"/>
    </row>
    <row r="190" spans="1:16" hidden="1" x14ac:dyDescent="0.25">
      <c r="A190" s="177" t="s">
        <v>347</v>
      </c>
      <c r="B190" s="134"/>
      <c r="C190" s="82">
        <v>0</v>
      </c>
      <c r="D190" s="17">
        <v>0</v>
      </c>
      <c r="E190" s="83">
        <v>0</v>
      </c>
      <c r="F190" s="82">
        <v>0</v>
      </c>
      <c r="G190" s="17">
        <v>0</v>
      </c>
      <c r="H190" s="83">
        <v>0</v>
      </c>
      <c r="I190" s="82">
        <v>0</v>
      </c>
      <c r="J190" s="20">
        <v>0</v>
      </c>
      <c r="K190" s="83">
        <v>0</v>
      </c>
      <c r="L190" s="121">
        <f t="shared" ref="L190" si="66">D190+G190+J190</f>
        <v>0</v>
      </c>
      <c r="M190" s="82">
        <v>0</v>
      </c>
      <c r="N190" s="58">
        <v>0</v>
      </c>
      <c r="O190" s="193"/>
    </row>
    <row r="191" spans="1:16" ht="43.2" hidden="1" x14ac:dyDescent="0.25">
      <c r="A191" s="161" t="s">
        <v>346</v>
      </c>
      <c r="B191" s="137" t="s">
        <v>343</v>
      </c>
      <c r="C191" s="85">
        <f>SUM(C192:C192)</f>
        <v>0</v>
      </c>
      <c r="D191" s="45">
        <f>SUM(D192:D192)</f>
        <v>0</v>
      </c>
      <c r="E191" s="86">
        <v>0</v>
      </c>
      <c r="F191" s="85">
        <f>SUM(F192:F192)</f>
        <v>0</v>
      </c>
      <c r="G191" s="45">
        <f>SUM(G192:G192)</f>
        <v>0</v>
      </c>
      <c r="H191" s="86">
        <v>0</v>
      </c>
      <c r="I191" s="85">
        <f>SUM(I192:I192)</f>
        <v>0</v>
      </c>
      <c r="J191" s="45">
        <f>SUM(J192:J192)</f>
        <v>0</v>
      </c>
      <c r="K191" s="86">
        <v>0</v>
      </c>
      <c r="L191" s="119">
        <f>D191+G191+J191</f>
        <v>0</v>
      </c>
      <c r="M191" s="85">
        <f>SUM(M192:M192)</f>
        <v>0</v>
      </c>
      <c r="N191" s="60">
        <f>SUM(N192:N192)</f>
        <v>0</v>
      </c>
      <c r="O191" s="51"/>
    </row>
    <row r="192" spans="1:16" hidden="1" x14ac:dyDescent="0.25">
      <c r="A192" s="179" t="s">
        <v>348</v>
      </c>
      <c r="B192" s="154"/>
      <c r="C192" s="103">
        <v>0</v>
      </c>
      <c r="D192" s="24">
        <v>0</v>
      </c>
      <c r="E192" s="104">
        <v>0</v>
      </c>
      <c r="F192" s="103">
        <v>0</v>
      </c>
      <c r="G192" s="24">
        <v>0</v>
      </c>
      <c r="H192" s="104">
        <v>0</v>
      </c>
      <c r="I192" s="103">
        <v>0</v>
      </c>
      <c r="J192" s="24">
        <v>0</v>
      </c>
      <c r="K192" s="104">
        <v>0</v>
      </c>
      <c r="L192" s="121">
        <f t="shared" ref="L192" si="67">D192+G192+J192</f>
        <v>0</v>
      </c>
      <c r="M192" s="103">
        <v>0</v>
      </c>
      <c r="N192" s="68">
        <v>0</v>
      </c>
      <c r="O192" s="194"/>
    </row>
    <row r="193" spans="1:16" ht="28.8" x14ac:dyDescent="0.3">
      <c r="A193" s="167" t="s">
        <v>459</v>
      </c>
      <c r="B193" s="137" t="s">
        <v>429</v>
      </c>
      <c r="C193" s="85">
        <f>C194</f>
        <v>0</v>
      </c>
      <c r="D193" s="45">
        <f>D194</f>
        <v>1722935.42</v>
      </c>
      <c r="E193" s="86">
        <v>1</v>
      </c>
      <c r="F193" s="85">
        <f>F194</f>
        <v>0</v>
      </c>
      <c r="G193" s="45">
        <f>G194</f>
        <v>727400.9</v>
      </c>
      <c r="H193" s="86">
        <v>0</v>
      </c>
      <c r="I193" s="85">
        <f>I194</f>
        <v>0</v>
      </c>
      <c r="J193" s="45">
        <f>J194</f>
        <v>0</v>
      </c>
      <c r="K193" s="86">
        <v>0</v>
      </c>
      <c r="L193" s="126">
        <f>L194</f>
        <v>2450336.3199999998</v>
      </c>
      <c r="M193" s="85">
        <f>M194</f>
        <v>0</v>
      </c>
      <c r="N193" s="60">
        <f>N194</f>
        <v>0</v>
      </c>
      <c r="O193" s="51"/>
    </row>
    <row r="194" spans="1:16" ht="28.2" thickBot="1" x14ac:dyDescent="0.3">
      <c r="A194" s="180" t="s">
        <v>570</v>
      </c>
      <c r="B194" s="135"/>
      <c r="C194" s="80">
        <v>0</v>
      </c>
      <c r="D194" s="18">
        <f>1654018+68917.42</f>
        <v>1722935.42</v>
      </c>
      <c r="E194" s="81">
        <v>1</v>
      </c>
      <c r="F194" s="80">
        <v>0</v>
      </c>
      <c r="G194" s="18">
        <v>727400.9</v>
      </c>
      <c r="H194" s="81">
        <v>0</v>
      </c>
      <c r="I194" s="80">
        <v>0</v>
      </c>
      <c r="J194" s="18">
        <v>0</v>
      </c>
      <c r="K194" s="81">
        <v>0</v>
      </c>
      <c r="L194" s="120">
        <f>D194+G194+J194</f>
        <v>2450336.3199999998</v>
      </c>
      <c r="M194" s="80">
        <v>0</v>
      </c>
      <c r="N194" s="57">
        <v>0</v>
      </c>
      <c r="O194" s="51" t="s">
        <v>571</v>
      </c>
      <c r="P194" s="305">
        <f>L193</f>
        <v>2450336.3199999998</v>
      </c>
    </row>
    <row r="195" spans="1:16" ht="28.8" hidden="1" x14ac:dyDescent="0.3">
      <c r="A195" s="167" t="s">
        <v>426</v>
      </c>
      <c r="B195" s="137" t="s">
        <v>428</v>
      </c>
      <c r="C195" s="85">
        <f>C196</f>
        <v>0</v>
      </c>
      <c r="D195" s="45">
        <f>D196</f>
        <v>0</v>
      </c>
      <c r="E195" s="86">
        <v>0</v>
      </c>
      <c r="F195" s="85">
        <f>F196</f>
        <v>0</v>
      </c>
      <c r="G195" s="45">
        <f>G196</f>
        <v>0</v>
      </c>
      <c r="H195" s="86">
        <v>0</v>
      </c>
      <c r="I195" s="85">
        <f>I196</f>
        <v>0</v>
      </c>
      <c r="J195" s="45">
        <f>J196</f>
        <v>0</v>
      </c>
      <c r="K195" s="86">
        <v>0</v>
      </c>
      <c r="L195" s="126">
        <f>L196</f>
        <v>0</v>
      </c>
      <c r="M195" s="85">
        <f>M196</f>
        <v>0</v>
      </c>
      <c r="N195" s="60">
        <f>N196</f>
        <v>0</v>
      </c>
      <c r="O195" s="194"/>
    </row>
    <row r="196" spans="1:16" ht="28.2" hidden="1" thickBot="1" x14ac:dyDescent="0.3">
      <c r="A196" s="181" t="s">
        <v>427</v>
      </c>
      <c r="B196" s="152"/>
      <c r="C196" s="103">
        <v>0</v>
      </c>
      <c r="D196" s="24">
        <v>0</v>
      </c>
      <c r="E196" s="104">
        <v>0</v>
      </c>
      <c r="F196" s="103">
        <v>0</v>
      </c>
      <c r="G196" s="24">
        <v>0</v>
      </c>
      <c r="H196" s="104">
        <v>0</v>
      </c>
      <c r="I196" s="103">
        <v>0</v>
      </c>
      <c r="J196" s="24">
        <v>0</v>
      </c>
      <c r="K196" s="104">
        <v>0</v>
      </c>
      <c r="L196" s="121">
        <f t="shared" ref="L196" si="68">D196+G196+J196</f>
        <v>0</v>
      </c>
      <c r="M196" s="103">
        <v>0</v>
      </c>
      <c r="N196" s="68">
        <v>0</v>
      </c>
      <c r="O196" s="194"/>
    </row>
    <row r="197" spans="1:16" ht="27" customHeight="1" thickBot="1" x14ac:dyDescent="0.3">
      <c r="A197" s="182" t="s">
        <v>402</v>
      </c>
      <c r="B197" s="76" t="s">
        <v>407</v>
      </c>
      <c r="C197" s="76">
        <f>C198+C208</f>
        <v>0</v>
      </c>
      <c r="D197" s="43">
        <f>D198+D208</f>
        <v>10000000</v>
      </c>
      <c r="E197" s="77">
        <v>1</v>
      </c>
      <c r="F197" s="76">
        <f>F198+F208</f>
        <v>603000</v>
      </c>
      <c r="G197" s="43">
        <f>G198+G208</f>
        <v>110000</v>
      </c>
      <c r="H197" s="77">
        <f>G197/F197</f>
        <v>0.1824212271973466</v>
      </c>
      <c r="I197" s="76">
        <f>I198+I208</f>
        <v>0</v>
      </c>
      <c r="J197" s="43">
        <f>J198+J208</f>
        <v>200082</v>
      </c>
      <c r="K197" s="77">
        <v>1</v>
      </c>
      <c r="L197" s="118">
        <f>L198+L208</f>
        <v>10310082</v>
      </c>
      <c r="M197" s="76">
        <f>M198+M208</f>
        <v>0</v>
      </c>
      <c r="N197" s="46">
        <f>N198+N208</f>
        <v>0</v>
      </c>
      <c r="O197" s="51"/>
    </row>
    <row r="198" spans="1:16" ht="28.8" x14ac:dyDescent="0.3">
      <c r="A198" s="183" t="s">
        <v>462</v>
      </c>
      <c r="B198" s="133" t="s">
        <v>408</v>
      </c>
      <c r="C198" s="78">
        <f>SUM(C199:C206)</f>
        <v>0</v>
      </c>
      <c r="D198" s="44">
        <f>SUM(D199:D207)</f>
        <v>10000000</v>
      </c>
      <c r="E198" s="79">
        <v>1</v>
      </c>
      <c r="F198" s="78">
        <f>SUM(F199:F206)</f>
        <v>0</v>
      </c>
      <c r="G198" s="44">
        <f>SUM(G199:G206)</f>
        <v>0</v>
      </c>
      <c r="H198" s="79">
        <v>0</v>
      </c>
      <c r="I198" s="78">
        <f>SUM(I199:I206)</f>
        <v>0</v>
      </c>
      <c r="J198" s="44">
        <f>SUM(J199:J207)</f>
        <v>200082</v>
      </c>
      <c r="K198" s="79">
        <v>1</v>
      </c>
      <c r="L198" s="119">
        <f>SUM(L199:L207)</f>
        <v>10200082</v>
      </c>
      <c r="M198" s="78">
        <f>SUM(M199:M206)</f>
        <v>0</v>
      </c>
      <c r="N198" s="56">
        <f>SUM(N199:N206)</f>
        <v>0</v>
      </c>
      <c r="O198" s="51"/>
    </row>
    <row r="199" spans="1:16" hidden="1" x14ac:dyDescent="0.25">
      <c r="A199" s="180" t="s">
        <v>403</v>
      </c>
      <c r="B199" s="134"/>
      <c r="C199" s="82">
        <v>0</v>
      </c>
      <c r="D199" s="20">
        <v>0</v>
      </c>
      <c r="E199" s="92">
        <v>0</v>
      </c>
      <c r="F199" s="113">
        <v>0</v>
      </c>
      <c r="G199" s="17">
        <v>0</v>
      </c>
      <c r="H199" s="114">
        <v>0</v>
      </c>
      <c r="I199" s="82">
        <v>0</v>
      </c>
      <c r="J199" s="20">
        <v>0</v>
      </c>
      <c r="K199" s="92">
        <v>0</v>
      </c>
      <c r="L199" s="124">
        <f t="shared" ref="L199:L206" si="69">D199+G199+J199</f>
        <v>0</v>
      </c>
      <c r="M199" s="82">
        <v>0</v>
      </c>
      <c r="N199" s="58">
        <v>0</v>
      </c>
      <c r="O199" s="51"/>
    </row>
    <row r="200" spans="1:16" hidden="1" x14ac:dyDescent="0.25">
      <c r="A200" s="184" t="s">
        <v>467</v>
      </c>
      <c r="B200" s="134"/>
      <c r="C200" s="82">
        <v>0</v>
      </c>
      <c r="D200" s="20">
        <v>0</v>
      </c>
      <c r="E200" s="92">
        <v>0</v>
      </c>
      <c r="F200" s="113">
        <v>0</v>
      </c>
      <c r="G200" s="17">
        <v>0</v>
      </c>
      <c r="H200" s="114">
        <v>0</v>
      </c>
      <c r="I200" s="82">
        <v>0</v>
      </c>
      <c r="J200" s="20">
        <v>0</v>
      </c>
      <c r="K200" s="92">
        <v>0</v>
      </c>
      <c r="L200" s="124">
        <f t="shared" si="69"/>
        <v>0</v>
      </c>
      <c r="M200" s="82">
        <v>0</v>
      </c>
      <c r="N200" s="58">
        <v>0</v>
      </c>
      <c r="O200" s="51"/>
    </row>
    <row r="201" spans="1:16" hidden="1" x14ac:dyDescent="0.25">
      <c r="A201" s="184" t="s">
        <v>466</v>
      </c>
      <c r="B201" s="135"/>
      <c r="C201" s="80">
        <v>0</v>
      </c>
      <c r="D201" s="36">
        <v>0</v>
      </c>
      <c r="E201" s="105">
        <v>0</v>
      </c>
      <c r="F201" s="87">
        <v>0</v>
      </c>
      <c r="G201" s="18">
        <v>0</v>
      </c>
      <c r="H201" s="109">
        <v>0</v>
      </c>
      <c r="I201" s="80">
        <v>0</v>
      </c>
      <c r="J201" s="36">
        <v>0</v>
      </c>
      <c r="K201" s="105">
        <v>0</v>
      </c>
      <c r="L201" s="128">
        <f t="shared" si="69"/>
        <v>0</v>
      </c>
      <c r="M201" s="80">
        <v>0</v>
      </c>
      <c r="N201" s="57">
        <v>0</v>
      </c>
      <c r="O201" s="51"/>
    </row>
    <row r="202" spans="1:16" hidden="1" x14ac:dyDescent="0.25">
      <c r="A202" s="171" t="s">
        <v>558</v>
      </c>
      <c r="B202" s="134"/>
      <c r="C202" s="82">
        <v>0</v>
      </c>
      <c r="D202" s="20">
        <v>0</v>
      </c>
      <c r="E202" s="92">
        <v>0</v>
      </c>
      <c r="F202" s="113">
        <v>0</v>
      </c>
      <c r="G202" s="17">
        <v>0</v>
      </c>
      <c r="H202" s="114">
        <v>0</v>
      </c>
      <c r="I202" s="82">
        <v>0</v>
      </c>
      <c r="J202" s="20">
        <v>0</v>
      </c>
      <c r="K202" s="92">
        <v>0</v>
      </c>
      <c r="L202" s="124">
        <f t="shared" si="69"/>
        <v>0</v>
      </c>
      <c r="M202" s="82">
        <v>0</v>
      </c>
      <c r="N202" s="58">
        <v>0</v>
      </c>
      <c r="O202" s="51"/>
    </row>
    <row r="203" spans="1:16" hidden="1" x14ac:dyDescent="0.25">
      <c r="A203" s="171" t="s">
        <v>461</v>
      </c>
      <c r="B203" s="134"/>
      <c r="C203" s="82">
        <v>0</v>
      </c>
      <c r="D203" s="20">
        <v>0</v>
      </c>
      <c r="E203" s="92">
        <v>0</v>
      </c>
      <c r="F203" s="113">
        <v>0</v>
      </c>
      <c r="G203" s="17">
        <v>0</v>
      </c>
      <c r="H203" s="114">
        <v>0</v>
      </c>
      <c r="I203" s="82">
        <v>0</v>
      </c>
      <c r="J203" s="20">
        <v>0</v>
      </c>
      <c r="K203" s="92">
        <v>0</v>
      </c>
      <c r="L203" s="124">
        <f t="shared" si="69"/>
        <v>0</v>
      </c>
      <c r="M203" s="82">
        <v>0</v>
      </c>
      <c r="N203" s="58">
        <v>0</v>
      </c>
      <c r="O203" s="51"/>
    </row>
    <row r="204" spans="1:16" hidden="1" x14ac:dyDescent="0.25">
      <c r="A204" s="171" t="s">
        <v>404</v>
      </c>
      <c r="B204" s="134"/>
      <c r="C204" s="82">
        <v>0</v>
      </c>
      <c r="D204" s="20">
        <v>0</v>
      </c>
      <c r="E204" s="92">
        <v>0</v>
      </c>
      <c r="F204" s="113">
        <v>0</v>
      </c>
      <c r="G204" s="17">
        <v>0</v>
      </c>
      <c r="H204" s="114">
        <v>0</v>
      </c>
      <c r="I204" s="82">
        <v>0</v>
      </c>
      <c r="J204" s="20">
        <v>0</v>
      </c>
      <c r="K204" s="92">
        <v>0</v>
      </c>
      <c r="L204" s="124">
        <f t="shared" si="69"/>
        <v>0</v>
      </c>
      <c r="M204" s="82">
        <v>0</v>
      </c>
      <c r="N204" s="58">
        <v>0</v>
      </c>
      <c r="O204" s="51"/>
    </row>
    <row r="205" spans="1:16" hidden="1" x14ac:dyDescent="0.25">
      <c r="A205" s="171" t="s">
        <v>477</v>
      </c>
      <c r="B205" s="134"/>
      <c r="C205" s="82">
        <v>0</v>
      </c>
      <c r="D205" s="20">
        <v>0</v>
      </c>
      <c r="E205" s="92">
        <v>0</v>
      </c>
      <c r="F205" s="113">
        <v>0</v>
      </c>
      <c r="G205" s="17">
        <v>0</v>
      </c>
      <c r="H205" s="114">
        <v>0</v>
      </c>
      <c r="I205" s="82">
        <v>0</v>
      </c>
      <c r="J205" s="20">
        <v>0</v>
      </c>
      <c r="K205" s="92">
        <v>0</v>
      </c>
      <c r="L205" s="124">
        <f t="shared" ref="L205" si="70">D205+G205+J205</f>
        <v>0</v>
      </c>
      <c r="M205" s="82">
        <v>0</v>
      </c>
      <c r="N205" s="58">
        <v>0</v>
      </c>
      <c r="O205" s="51"/>
    </row>
    <row r="206" spans="1:16" ht="27.6" x14ac:dyDescent="0.25">
      <c r="A206" s="180" t="s">
        <v>559</v>
      </c>
      <c r="B206" s="135"/>
      <c r="C206" s="80">
        <v>0</v>
      </c>
      <c r="D206" s="36">
        <f>10000000-590082</f>
        <v>9409918</v>
      </c>
      <c r="E206" s="105">
        <v>1</v>
      </c>
      <c r="F206" s="87">
        <v>0</v>
      </c>
      <c r="G206" s="18">
        <v>0</v>
      </c>
      <c r="H206" s="109">
        <v>0</v>
      </c>
      <c r="I206" s="80">
        <v>0</v>
      </c>
      <c r="J206" s="36">
        <f>315554+274528+60000-450000</f>
        <v>200082</v>
      </c>
      <c r="K206" s="105">
        <v>1</v>
      </c>
      <c r="L206" s="128">
        <f t="shared" si="69"/>
        <v>9610000</v>
      </c>
      <c r="M206" s="80">
        <v>0</v>
      </c>
      <c r="N206" s="57">
        <v>0</v>
      </c>
      <c r="O206" s="51"/>
    </row>
    <row r="207" spans="1:16" x14ac:dyDescent="0.25">
      <c r="A207" s="180" t="s">
        <v>493</v>
      </c>
      <c r="B207" s="135"/>
      <c r="C207" s="80"/>
      <c r="D207" s="36">
        <v>590082</v>
      </c>
      <c r="E207" s="105">
        <v>1</v>
      </c>
      <c r="F207" s="87">
        <v>0</v>
      </c>
      <c r="G207" s="18">
        <v>0</v>
      </c>
      <c r="H207" s="109">
        <v>0</v>
      </c>
      <c r="I207" s="80">
        <v>0</v>
      </c>
      <c r="J207" s="36">
        <v>0</v>
      </c>
      <c r="K207" s="105">
        <v>0</v>
      </c>
      <c r="L207" s="128">
        <f>D207+G207+J207</f>
        <v>590082</v>
      </c>
      <c r="M207" s="80"/>
      <c r="N207" s="57"/>
      <c r="O207" s="51" t="s">
        <v>561</v>
      </c>
    </row>
    <row r="208" spans="1:16" ht="28.8" x14ac:dyDescent="0.3">
      <c r="A208" s="167" t="s">
        <v>405</v>
      </c>
      <c r="B208" s="137" t="s">
        <v>465</v>
      </c>
      <c r="C208" s="85">
        <f>C209</f>
        <v>0</v>
      </c>
      <c r="D208" s="45">
        <f>D209</f>
        <v>0</v>
      </c>
      <c r="E208" s="86">
        <v>0</v>
      </c>
      <c r="F208" s="85">
        <f>F209</f>
        <v>603000</v>
      </c>
      <c r="G208" s="45">
        <f>G209</f>
        <v>110000</v>
      </c>
      <c r="H208" s="86">
        <f>G208/F208</f>
        <v>0.1824212271973466</v>
      </c>
      <c r="I208" s="85">
        <f>I209</f>
        <v>0</v>
      </c>
      <c r="J208" s="45">
        <f>J209</f>
        <v>0</v>
      </c>
      <c r="K208" s="86">
        <v>1</v>
      </c>
      <c r="L208" s="126">
        <f>L209</f>
        <v>110000</v>
      </c>
      <c r="M208" s="85">
        <f>M209</f>
        <v>0</v>
      </c>
      <c r="N208" s="60">
        <f>N209</f>
        <v>0</v>
      </c>
      <c r="O208" s="51"/>
    </row>
    <row r="209" spans="1:16" s="33" customFormat="1" ht="28.2" thickBot="1" x14ac:dyDescent="0.3">
      <c r="A209" s="180" t="s">
        <v>406</v>
      </c>
      <c r="B209" s="135"/>
      <c r="C209" s="80">
        <v>0</v>
      </c>
      <c r="D209" s="18">
        <v>0</v>
      </c>
      <c r="E209" s="81">
        <v>0</v>
      </c>
      <c r="F209" s="80">
        <v>603000</v>
      </c>
      <c r="G209" s="18">
        <v>110000</v>
      </c>
      <c r="H209" s="81">
        <f>G209/F209</f>
        <v>0.1824212271973466</v>
      </c>
      <c r="I209" s="80">
        <v>0</v>
      </c>
      <c r="J209" s="36">
        <v>0</v>
      </c>
      <c r="K209" s="81">
        <v>1</v>
      </c>
      <c r="L209" s="120">
        <f t="shared" ref="L209" si="71">D209+G209+J209</f>
        <v>110000</v>
      </c>
      <c r="M209" s="80">
        <v>0</v>
      </c>
      <c r="N209" s="57">
        <v>0</v>
      </c>
      <c r="O209" s="51" t="s">
        <v>560</v>
      </c>
      <c r="P209" s="304">
        <f>L198+L208</f>
        <v>10310082</v>
      </c>
    </row>
    <row r="210" spans="1:16" ht="24.6" customHeight="1" thickBot="1" x14ac:dyDescent="0.3">
      <c r="A210" s="185" t="s">
        <v>113</v>
      </c>
      <c r="B210" s="155"/>
      <c r="C210" s="106">
        <f>C183+C173+C168+C155+C141+C136+C129+C113+C107+C102+C89+C72+C31+C5+C188+C197</f>
        <v>-34009371</v>
      </c>
      <c r="D210" s="25">
        <f>D183+D173+D168+D155+D141+D136+D129+D113+D107+D102+D89+D72+D31+D5+D188+D197</f>
        <v>35988604.75</v>
      </c>
      <c r="E210" s="107">
        <f>D210/C210</f>
        <v>-1.0581967173106495</v>
      </c>
      <c r="F210" s="106">
        <f>F183+F173+F168+F155+F141+F136+F129+F113+F107+F102+F89+F72+F31+F5+F188+F197</f>
        <v>640219510</v>
      </c>
      <c r="G210" s="25">
        <f>G183+G173+G168+G155+G141+G136+G129+G113+G107+G102+G89+G72+G31+G5+G188+G197</f>
        <v>58452896</v>
      </c>
      <c r="H210" s="107">
        <f>G210/F210</f>
        <v>9.1301335068654815E-2</v>
      </c>
      <c r="I210" s="106">
        <f>I183+I173+I168+I155+I141+I136+I129+I113+I107+I102+I89+I72+I31+I5+I188+I197</f>
        <v>106252457</v>
      </c>
      <c r="J210" s="25">
        <f>J183+J173+J168+J155+J141+J136+J129+J113+J107+J102+J89+J72+J31+J5+J188+J197</f>
        <v>76181764</v>
      </c>
      <c r="K210" s="107">
        <f>J210/I210</f>
        <v>0.71698825750448292</v>
      </c>
      <c r="L210" s="129">
        <f>L183+L173+L168+L155+L141+L136+L129+L113+L107+L102+L89+L72+L31+L5+L188+L197</f>
        <v>170623264.75</v>
      </c>
      <c r="M210" s="106">
        <f>M183+M173+M168+M155+M141+M136+M129+M113+M107+M102+M89+M72+M31+M5+M188+M197</f>
        <v>97336039</v>
      </c>
      <c r="N210" s="26">
        <f>N183+N173+N168+N155+N141+N136+N129+N113+N107+N102+N89+N72+N31+N5+N188+N197</f>
        <v>6292000</v>
      </c>
      <c r="O210" s="192"/>
      <c r="P210" s="305">
        <f>SUM(P18:P209)</f>
        <v>170623264.75</v>
      </c>
    </row>
    <row r="211" spans="1:16" ht="26.4" customHeight="1" thickBot="1" x14ac:dyDescent="0.3">
      <c r="A211" s="186" t="s">
        <v>102</v>
      </c>
      <c r="B211" s="155" t="s">
        <v>101</v>
      </c>
      <c r="C211" s="106">
        <f>SUM(C212:C222)</f>
        <v>399918</v>
      </c>
      <c r="D211" s="25">
        <f>SUM(D212:D222)</f>
        <v>-4752</v>
      </c>
      <c r="E211" s="107">
        <f>D211/C211</f>
        <v>-1.1882435899359368E-2</v>
      </c>
      <c r="F211" s="106">
        <f>SUM(F212:F222)</f>
        <v>48174360</v>
      </c>
      <c r="G211" s="25">
        <f>SUM(G212:G222)</f>
        <v>-7639607</v>
      </c>
      <c r="H211" s="107">
        <f>G211/F211</f>
        <v>-0.158582428495158</v>
      </c>
      <c r="I211" s="106">
        <f>SUM(I212:I222)</f>
        <v>84071</v>
      </c>
      <c r="J211" s="25">
        <f>SUM(J212:J222)</f>
        <v>13183</v>
      </c>
      <c r="K211" s="107">
        <f>J211/I211</f>
        <v>0.15680793614920721</v>
      </c>
      <c r="L211" s="129">
        <f>SUM(L212:L222)</f>
        <v>-7631176</v>
      </c>
      <c r="M211" s="106">
        <f>SUM(M212:M222)</f>
        <v>0</v>
      </c>
      <c r="N211" s="26">
        <f>SUM(N212:N224)</f>
        <v>0</v>
      </c>
      <c r="O211" s="192"/>
      <c r="P211" s="305">
        <f>-L211</f>
        <v>7631176</v>
      </c>
    </row>
    <row r="212" spans="1:16" x14ac:dyDescent="0.25">
      <c r="A212" s="187" t="s">
        <v>318</v>
      </c>
      <c r="B212" s="156"/>
      <c r="C212" s="108">
        <v>399918</v>
      </c>
      <c r="D212" s="41">
        <v>-4752</v>
      </c>
      <c r="E212" s="109">
        <f>D212/C212</f>
        <v>-1.1882435899359368E-2</v>
      </c>
      <c r="F212" s="80">
        <v>0</v>
      </c>
      <c r="G212" s="18">
        <v>0</v>
      </c>
      <c r="H212" s="109">
        <v>0</v>
      </c>
      <c r="I212" s="80">
        <v>0</v>
      </c>
      <c r="J212" s="18">
        <v>0</v>
      </c>
      <c r="K212" s="109">
        <v>0</v>
      </c>
      <c r="L212" s="128">
        <f>D212+G212+J212</f>
        <v>-4752</v>
      </c>
      <c r="M212" s="80">
        <v>0</v>
      </c>
      <c r="N212" s="57">
        <v>0</v>
      </c>
      <c r="O212" s="51"/>
    </row>
    <row r="213" spans="1:16" hidden="1" x14ac:dyDescent="0.25">
      <c r="A213" s="160" t="s">
        <v>130</v>
      </c>
      <c r="B213" s="134"/>
      <c r="C213" s="82">
        <v>0</v>
      </c>
      <c r="D213" s="20">
        <v>0</v>
      </c>
      <c r="E213" s="109" t="e">
        <f t="shared" ref="E213:E216" si="72">D213/C213</f>
        <v>#DIV/0!</v>
      </c>
      <c r="F213" s="82">
        <v>0</v>
      </c>
      <c r="G213" s="17">
        <v>0</v>
      </c>
      <c r="H213" s="114">
        <v>0</v>
      </c>
      <c r="I213" s="82">
        <v>0</v>
      </c>
      <c r="J213" s="17">
        <v>0</v>
      </c>
      <c r="K213" s="114">
        <v>0</v>
      </c>
      <c r="L213" s="124">
        <f t="shared" ref="L213:L225" si="73">D213+G213+J213</f>
        <v>0</v>
      </c>
      <c r="M213" s="82">
        <v>0</v>
      </c>
      <c r="N213" s="58">
        <v>0</v>
      </c>
      <c r="O213" s="51"/>
    </row>
    <row r="214" spans="1:16" hidden="1" x14ac:dyDescent="0.25">
      <c r="A214" s="160" t="s">
        <v>433</v>
      </c>
      <c r="B214" s="134"/>
      <c r="C214" s="82">
        <v>0</v>
      </c>
      <c r="D214" s="20">
        <v>0</v>
      </c>
      <c r="E214" s="109" t="e">
        <f t="shared" si="72"/>
        <v>#DIV/0!</v>
      </c>
      <c r="F214" s="82">
        <v>0</v>
      </c>
      <c r="G214" s="17">
        <v>0</v>
      </c>
      <c r="H214" s="114">
        <v>0</v>
      </c>
      <c r="I214" s="82">
        <v>0</v>
      </c>
      <c r="J214" s="17">
        <v>0</v>
      </c>
      <c r="K214" s="114">
        <v>0</v>
      </c>
      <c r="L214" s="124">
        <f t="shared" si="73"/>
        <v>0</v>
      </c>
      <c r="M214" s="82">
        <v>0</v>
      </c>
      <c r="N214" s="58">
        <v>0</v>
      </c>
      <c r="O214" s="51"/>
    </row>
    <row r="215" spans="1:16" x14ac:dyDescent="0.25">
      <c r="A215" s="160" t="s">
        <v>463</v>
      </c>
      <c r="B215" s="135"/>
      <c r="C215" s="80">
        <v>0</v>
      </c>
      <c r="D215" s="18">
        <v>0</v>
      </c>
      <c r="E215" s="109">
        <v>0</v>
      </c>
      <c r="F215" s="80">
        <v>0</v>
      </c>
      <c r="G215" s="18">
        <v>0</v>
      </c>
      <c r="H215" s="109">
        <v>0</v>
      </c>
      <c r="I215" s="80">
        <v>84071</v>
      </c>
      <c r="J215" s="36">
        <f>13180+3</f>
        <v>13183</v>
      </c>
      <c r="K215" s="105">
        <f>J215/I215</f>
        <v>0.15680793614920721</v>
      </c>
      <c r="L215" s="128">
        <f t="shared" si="73"/>
        <v>13183</v>
      </c>
      <c r="M215" s="80">
        <v>0</v>
      </c>
      <c r="N215" s="57">
        <v>0</v>
      </c>
      <c r="O215" s="51"/>
    </row>
    <row r="216" spans="1:16" ht="27.6" hidden="1" x14ac:dyDescent="0.25">
      <c r="A216" s="164" t="s">
        <v>136</v>
      </c>
      <c r="B216" s="134"/>
      <c r="C216" s="82">
        <v>0</v>
      </c>
      <c r="D216" s="17">
        <v>0</v>
      </c>
      <c r="E216" s="109" t="e">
        <f t="shared" si="72"/>
        <v>#DIV/0!</v>
      </c>
      <c r="F216" s="82">
        <v>0</v>
      </c>
      <c r="G216" s="17">
        <v>0</v>
      </c>
      <c r="H216" s="114">
        <v>0</v>
      </c>
      <c r="I216" s="96">
        <v>0</v>
      </c>
      <c r="J216" s="35">
        <v>0</v>
      </c>
      <c r="K216" s="110">
        <v>0</v>
      </c>
      <c r="L216" s="124">
        <f t="shared" si="73"/>
        <v>0</v>
      </c>
      <c r="M216" s="82">
        <v>0</v>
      </c>
      <c r="N216" s="58">
        <v>0</v>
      </c>
      <c r="O216" s="194"/>
    </row>
    <row r="217" spans="1:16" x14ac:dyDescent="0.25">
      <c r="A217" s="164" t="s">
        <v>526</v>
      </c>
      <c r="B217" s="134"/>
      <c r="C217" s="80">
        <v>0</v>
      </c>
      <c r="D217" s="18">
        <v>0</v>
      </c>
      <c r="E217" s="109">
        <v>0</v>
      </c>
      <c r="F217" s="80">
        <v>0</v>
      </c>
      <c r="G217" s="18">
        <f>614440+185560</f>
        <v>800000</v>
      </c>
      <c r="H217" s="109">
        <v>1</v>
      </c>
      <c r="I217" s="93">
        <v>0</v>
      </c>
      <c r="J217" s="38">
        <v>0</v>
      </c>
      <c r="K217" s="196">
        <v>0</v>
      </c>
      <c r="L217" s="128">
        <f t="shared" ref="L217" si="74">D217+G217+J217</f>
        <v>800000</v>
      </c>
      <c r="M217" s="80">
        <v>0</v>
      </c>
      <c r="N217" s="57">
        <v>0</v>
      </c>
      <c r="O217" s="194" t="s">
        <v>523</v>
      </c>
    </row>
    <row r="218" spans="1:16" s="33" customFormat="1" ht="27.6" x14ac:dyDescent="0.25">
      <c r="A218" s="164" t="s">
        <v>472</v>
      </c>
      <c r="B218" s="135"/>
      <c r="C218" s="80">
        <v>0</v>
      </c>
      <c r="D218" s="18">
        <v>0</v>
      </c>
      <c r="E218" s="109">
        <v>0</v>
      </c>
      <c r="F218" s="80">
        <v>40100000</v>
      </c>
      <c r="G218" s="18">
        <f>-8800000</f>
        <v>-8800000</v>
      </c>
      <c r="H218" s="109">
        <f>G218/F218</f>
        <v>-0.21945137157107231</v>
      </c>
      <c r="I218" s="93">
        <v>0</v>
      </c>
      <c r="J218" s="38">
        <v>0</v>
      </c>
      <c r="K218" s="196">
        <v>0</v>
      </c>
      <c r="L218" s="128">
        <f t="shared" si="73"/>
        <v>-8800000</v>
      </c>
      <c r="M218" s="80">
        <v>0</v>
      </c>
      <c r="N218" s="57">
        <v>0</v>
      </c>
      <c r="O218" s="194" t="s">
        <v>569</v>
      </c>
      <c r="P218" s="32"/>
    </row>
    <row r="219" spans="1:16" ht="27.6" x14ac:dyDescent="0.25">
      <c r="A219" s="164" t="s">
        <v>314</v>
      </c>
      <c r="B219" s="134"/>
      <c r="C219" s="80">
        <v>0</v>
      </c>
      <c r="D219" s="18">
        <v>0</v>
      </c>
      <c r="E219" s="109">
        <v>0</v>
      </c>
      <c r="F219" s="80">
        <v>7074360</v>
      </c>
      <c r="G219" s="18">
        <f>2000000-832485</f>
        <v>1167515</v>
      </c>
      <c r="H219" s="109">
        <f>G219/F219</f>
        <v>0.16503471692138935</v>
      </c>
      <c r="I219" s="93">
        <v>0</v>
      </c>
      <c r="J219" s="37">
        <v>0</v>
      </c>
      <c r="K219" s="196">
        <v>0</v>
      </c>
      <c r="L219" s="128">
        <f t="shared" ref="L219" si="75">D219+G219+J219</f>
        <v>1167515</v>
      </c>
      <c r="M219" s="80">
        <v>0</v>
      </c>
      <c r="N219" s="57">
        <v>0</v>
      </c>
      <c r="O219" s="194" t="s">
        <v>590</v>
      </c>
    </row>
    <row r="220" spans="1:16" s="33" customFormat="1" ht="42" thickBot="1" x14ac:dyDescent="0.3">
      <c r="A220" s="164" t="s">
        <v>376</v>
      </c>
      <c r="B220" s="135"/>
      <c r="C220" s="80">
        <v>0</v>
      </c>
      <c r="D220" s="18">
        <v>0</v>
      </c>
      <c r="E220" s="109">
        <v>0</v>
      </c>
      <c r="F220" s="80">
        <v>1000000</v>
      </c>
      <c r="G220" s="18">
        <f>120000-927122</f>
        <v>-807122</v>
      </c>
      <c r="H220" s="109">
        <f>G220/F220</f>
        <v>-0.80712200000000001</v>
      </c>
      <c r="I220" s="93">
        <v>0</v>
      </c>
      <c r="J220" s="37">
        <v>0</v>
      </c>
      <c r="K220" s="196">
        <v>0</v>
      </c>
      <c r="L220" s="128">
        <f t="shared" si="73"/>
        <v>-807122</v>
      </c>
      <c r="M220" s="80">
        <v>0</v>
      </c>
      <c r="N220" s="57">
        <v>0</v>
      </c>
      <c r="O220" s="194" t="s">
        <v>589</v>
      </c>
      <c r="P220" s="32"/>
    </row>
    <row r="221" spans="1:16" ht="27.6" hidden="1" x14ac:dyDescent="0.25">
      <c r="A221" s="164"/>
      <c r="B221" s="134"/>
      <c r="C221" s="80">
        <v>0</v>
      </c>
      <c r="D221" s="18">
        <v>0</v>
      </c>
      <c r="E221" s="109">
        <v>0</v>
      </c>
      <c r="F221" s="80">
        <v>0</v>
      </c>
      <c r="G221" s="18">
        <v>0</v>
      </c>
      <c r="H221" s="109" t="e">
        <f>G221/F221</f>
        <v>#DIV/0!</v>
      </c>
      <c r="I221" s="93">
        <v>0</v>
      </c>
      <c r="J221" s="37">
        <v>0</v>
      </c>
      <c r="K221" s="196">
        <v>0</v>
      </c>
      <c r="L221" s="128">
        <f t="shared" ref="L221" si="76">D221+G221+J221</f>
        <v>0</v>
      </c>
      <c r="M221" s="80">
        <v>0</v>
      </c>
      <c r="N221" s="57">
        <v>0</v>
      </c>
      <c r="O221" s="194" t="s">
        <v>588</v>
      </c>
    </row>
    <row r="222" spans="1:16" ht="14.4" hidden="1" thickBot="1" x14ac:dyDescent="0.3">
      <c r="A222" s="164" t="s">
        <v>319</v>
      </c>
      <c r="B222" s="152"/>
      <c r="C222" s="96">
        <v>0</v>
      </c>
      <c r="D222" s="23">
        <v>0</v>
      </c>
      <c r="E222" s="110">
        <v>0</v>
      </c>
      <c r="F222" s="82">
        <v>0</v>
      </c>
      <c r="G222" s="17">
        <v>0</v>
      </c>
      <c r="H222" s="114">
        <v>0</v>
      </c>
      <c r="I222" s="96">
        <v>0</v>
      </c>
      <c r="J222" s="23">
        <v>0</v>
      </c>
      <c r="K222" s="110">
        <v>0</v>
      </c>
      <c r="L222" s="124">
        <f t="shared" si="73"/>
        <v>0</v>
      </c>
      <c r="M222" s="96">
        <v>0</v>
      </c>
      <c r="N222" s="64">
        <v>0</v>
      </c>
      <c r="O222" s="194"/>
    </row>
    <row r="223" spans="1:16" ht="26.4" customHeight="1" thickBot="1" x14ac:dyDescent="0.3">
      <c r="A223" s="188" t="s">
        <v>388</v>
      </c>
      <c r="B223" s="155"/>
      <c r="C223" s="106">
        <f>C224+C225</f>
        <v>0</v>
      </c>
      <c r="D223" s="25">
        <f>D224+D225</f>
        <v>75000</v>
      </c>
      <c r="E223" s="107">
        <v>1</v>
      </c>
      <c r="F223" s="106">
        <f>F224+F225</f>
        <v>0</v>
      </c>
      <c r="G223" s="25">
        <f>G224+G225</f>
        <v>0</v>
      </c>
      <c r="H223" s="26">
        <f>H224+H225</f>
        <v>0</v>
      </c>
      <c r="I223" s="106">
        <f t="shared" ref="I223:K223" si="77">I224</f>
        <v>0</v>
      </c>
      <c r="J223" s="25">
        <f t="shared" si="77"/>
        <v>0</v>
      </c>
      <c r="K223" s="107">
        <f t="shared" si="77"/>
        <v>0</v>
      </c>
      <c r="L223" s="129">
        <f t="shared" ref="L223:N223" si="78">L224+L225</f>
        <v>75000</v>
      </c>
      <c r="M223" s="106">
        <f t="shared" si="78"/>
        <v>0</v>
      </c>
      <c r="N223" s="26">
        <f t="shared" si="78"/>
        <v>0</v>
      </c>
      <c r="O223" s="194"/>
    </row>
    <row r="224" spans="1:16" ht="24" hidden="1" customHeight="1" x14ac:dyDescent="0.25">
      <c r="A224" s="187"/>
      <c r="B224" s="157"/>
      <c r="C224" s="108">
        <v>0</v>
      </c>
      <c r="D224" s="41">
        <v>0</v>
      </c>
      <c r="E224" s="109">
        <v>1</v>
      </c>
      <c r="F224" s="108">
        <v>0</v>
      </c>
      <c r="G224" s="19">
        <v>0</v>
      </c>
      <c r="H224" s="115">
        <v>0</v>
      </c>
      <c r="I224" s="108">
        <v>0</v>
      </c>
      <c r="J224" s="19">
        <v>0</v>
      </c>
      <c r="K224" s="109">
        <v>0</v>
      </c>
      <c r="L224" s="128">
        <f t="shared" si="73"/>
        <v>0</v>
      </c>
      <c r="M224" s="108">
        <v>0</v>
      </c>
      <c r="N224" s="73">
        <v>0</v>
      </c>
      <c r="O224" s="51"/>
    </row>
    <row r="225" spans="1:15" ht="30.6" customHeight="1" x14ac:dyDescent="0.25">
      <c r="A225" s="160" t="s">
        <v>511</v>
      </c>
      <c r="B225" s="135"/>
      <c r="C225" s="80">
        <v>0</v>
      </c>
      <c r="D225" s="36">
        <v>75000</v>
      </c>
      <c r="E225" s="105">
        <v>1</v>
      </c>
      <c r="F225" s="80">
        <v>0</v>
      </c>
      <c r="G225" s="18">
        <v>0</v>
      </c>
      <c r="H225" s="116">
        <v>0</v>
      </c>
      <c r="I225" s="80">
        <v>0</v>
      </c>
      <c r="J225" s="18">
        <v>0</v>
      </c>
      <c r="K225" s="105">
        <v>0</v>
      </c>
      <c r="L225" s="128">
        <f t="shared" si="73"/>
        <v>75000</v>
      </c>
      <c r="M225" s="80">
        <v>0</v>
      </c>
      <c r="N225" s="57">
        <v>0</v>
      </c>
      <c r="O225" s="51" t="s">
        <v>525</v>
      </c>
    </row>
    <row r="226" spans="1:15" ht="30" customHeight="1" thickBot="1" x14ac:dyDescent="0.3">
      <c r="A226" s="189" t="s">
        <v>135</v>
      </c>
      <c r="B226" s="130"/>
      <c r="C226" s="111">
        <f>C210+C211+C223</f>
        <v>-33609453</v>
      </c>
      <c r="D226" s="69">
        <f>D210+D211+D223</f>
        <v>36058852.75</v>
      </c>
      <c r="E226" s="112">
        <v>1</v>
      </c>
      <c r="F226" s="111">
        <f>F210+F211+F223</f>
        <v>688393870</v>
      </c>
      <c r="G226" s="69">
        <f>G210+G211+G223</f>
        <v>50813289</v>
      </c>
      <c r="H226" s="117">
        <v>0</v>
      </c>
      <c r="I226" s="111">
        <f>I210+I211+I223</f>
        <v>106336528</v>
      </c>
      <c r="J226" s="69">
        <f>J210+J211+J223</f>
        <v>76194947</v>
      </c>
      <c r="K226" s="112">
        <f>J226/I226</f>
        <v>0.71654537187823175</v>
      </c>
      <c r="L226" s="130">
        <f>L210+L211+L223</f>
        <v>163067088.75</v>
      </c>
      <c r="M226" s="111">
        <f>M210+M211+M223</f>
        <v>97336039</v>
      </c>
      <c r="N226" s="70">
        <f>N210+N211</f>
        <v>6292000</v>
      </c>
      <c r="O226" s="197"/>
    </row>
    <row r="227" spans="1:15" hidden="1" x14ac:dyDescent="0.25">
      <c r="H227" s="52"/>
      <c r="I227" s="53" t="s">
        <v>562</v>
      </c>
      <c r="J227" s="54" t="s">
        <v>499</v>
      </c>
      <c r="K227" s="52" t="s">
        <v>500</v>
      </c>
      <c r="L227" s="53"/>
    </row>
    <row r="228" spans="1:15" hidden="1" x14ac:dyDescent="0.25">
      <c r="C228" s="14" t="s">
        <v>381</v>
      </c>
      <c r="D228" s="27">
        <f>Доходы!D27-Доходы!D94</f>
        <v>36058852.75</v>
      </c>
      <c r="H228" s="31" t="s">
        <v>495</v>
      </c>
      <c r="I228" s="28">
        <v>75461</v>
      </c>
      <c r="J228" s="28">
        <v>75461</v>
      </c>
      <c r="K228" s="28">
        <f>J228-I228</f>
        <v>0</v>
      </c>
      <c r="L228" s="28"/>
    </row>
    <row r="229" spans="1:15" ht="14.4" hidden="1" x14ac:dyDescent="0.25">
      <c r="C229" s="14" t="s">
        <v>380</v>
      </c>
      <c r="D229" s="29">
        <f>D228-D226</f>
        <v>0</v>
      </c>
      <c r="H229" s="31" t="s">
        <v>563</v>
      </c>
      <c r="I229" s="28">
        <v>12382302.039999999</v>
      </c>
      <c r="J229" s="28">
        <v>12382302.039999999</v>
      </c>
      <c r="K229" s="28">
        <f t="shared" ref="K229:K232" si="79">J229-I229</f>
        <v>0</v>
      </c>
      <c r="L229" s="28"/>
    </row>
    <row r="230" spans="1:15" ht="18" hidden="1" customHeight="1" x14ac:dyDescent="0.25">
      <c r="D230" s="29"/>
      <c r="H230" s="31" t="s">
        <v>496</v>
      </c>
      <c r="I230" s="28">
        <v>3713128</v>
      </c>
      <c r="J230" s="28">
        <v>4943841</v>
      </c>
      <c r="K230" s="28">
        <f t="shared" si="79"/>
        <v>1230713</v>
      </c>
      <c r="L230" s="28"/>
    </row>
    <row r="231" spans="1:15" hidden="1" x14ac:dyDescent="0.25">
      <c r="H231" s="31" t="s">
        <v>494</v>
      </c>
      <c r="I231" s="28">
        <v>352021</v>
      </c>
      <c r="J231" s="28">
        <v>967575</v>
      </c>
      <c r="K231" s="28">
        <f t="shared" si="79"/>
        <v>615554</v>
      </c>
      <c r="L231" s="28"/>
    </row>
    <row r="232" spans="1:15" hidden="1" x14ac:dyDescent="0.25">
      <c r="H232" s="31" t="s">
        <v>497</v>
      </c>
      <c r="I232" s="28">
        <v>426938125</v>
      </c>
      <c r="J232" s="28">
        <f>498500228+3061105</f>
        <v>501561333</v>
      </c>
      <c r="K232" s="28">
        <f t="shared" si="79"/>
        <v>74623208</v>
      </c>
      <c r="L232" s="28"/>
    </row>
    <row r="233" spans="1:15" ht="27.6" hidden="1" x14ac:dyDescent="0.25">
      <c r="C233" s="14" t="s">
        <v>382</v>
      </c>
      <c r="D233" s="27">
        <f>Доходы!D94</f>
        <v>76194947</v>
      </c>
      <c r="H233" s="71" t="s">
        <v>498</v>
      </c>
      <c r="I233" s="28">
        <f>SUM(I228:I232)</f>
        <v>443461037.04000002</v>
      </c>
      <c r="J233" s="28">
        <f t="shared" ref="J233:K233" si="80">SUM(J228:J232)</f>
        <v>519930512.04000002</v>
      </c>
      <c r="K233" s="28">
        <f t="shared" si="80"/>
        <v>76469475</v>
      </c>
      <c r="L233" s="72"/>
    </row>
    <row r="234" spans="1:15" hidden="1" x14ac:dyDescent="0.25">
      <c r="C234" s="14" t="s">
        <v>380</v>
      </c>
      <c r="D234" s="30">
        <f>D233-J226</f>
        <v>0</v>
      </c>
    </row>
    <row r="235" spans="1:15" hidden="1" x14ac:dyDescent="0.25">
      <c r="D235" s="30"/>
    </row>
    <row r="236" spans="1:15" hidden="1" x14ac:dyDescent="0.25">
      <c r="D236" s="30"/>
    </row>
    <row r="237" spans="1:15" ht="27.6" hidden="1" x14ac:dyDescent="0.25">
      <c r="C237" s="14" t="s">
        <v>529</v>
      </c>
      <c r="D237" s="27">
        <f>Доходы!D7</f>
        <v>38910000</v>
      </c>
    </row>
    <row r="238" spans="1:15" hidden="1" x14ac:dyDescent="0.25">
      <c r="C238" s="14" t="s">
        <v>380</v>
      </c>
      <c r="D238" s="30">
        <v>0</v>
      </c>
      <c r="H238" s="14">
        <f>D226+G226+J226</f>
        <v>163067088.75</v>
      </c>
    </row>
    <row r="239" spans="1:15" hidden="1" x14ac:dyDescent="0.25">
      <c r="D239" s="30"/>
    </row>
    <row r="240" spans="1:15" hidden="1" x14ac:dyDescent="0.25">
      <c r="D240" s="30"/>
    </row>
    <row r="241" spans="2:11" hidden="1" x14ac:dyDescent="0.25">
      <c r="E241" s="31" t="s">
        <v>386</v>
      </c>
      <c r="F241" s="28">
        <f>Доходы!D131</f>
        <v>151163799.75</v>
      </c>
      <c r="H241" s="14"/>
    </row>
    <row r="242" spans="2:11" hidden="1" x14ac:dyDescent="0.25">
      <c r="E242" s="31" t="s">
        <v>387</v>
      </c>
      <c r="F242" s="28">
        <f>D226+G226+J226</f>
        <v>163067088.75</v>
      </c>
    </row>
    <row r="243" spans="2:11" ht="27.6" hidden="1" x14ac:dyDescent="0.25">
      <c r="C243" s="14" t="s">
        <v>484</v>
      </c>
      <c r="D243" s="14">
        <f>D228+D233+D237</f>
        <v>151163799.75</v>
      </c>
      <c r="E243" s="31" t="s">
        <v>531</v>
      </c>
      <c r="F243" s="28">
        <f>F241-F242-D234</f>
        <v>-11903289</v>
      </c>
    </row>
    <row r="244" spans="2:11" ht="55.2" hidden="1" x14ac:dyDescent="0.25">
      <c r="E244" s="31" t="s">
        <v>533</v>
      </c>
      <c r="F244" s="28">
        <f>58307078.68-30790000</f>
        <v>27517078.68</v>
      </c>
    </row>
    <row r="245" spans="2:11" ht="27.6" hidden="1" x14ac:dyDescent="0.25">
      <c r="B245" s="31"/>
      <c r="C245" s="39" t="s">
        <v>506</v>
      </c>
      <c r="D245" s="39">
        <f>D224+D206+D124+D83+D67+D40+D18+D7+D225</f>
        <v>18692318</v>
      </c>
      <c r="E245" s="31" t="s">
        <v>532</v>
      </c>
      <c r="F245" s="28">
        <v>-30790000</v>
      </c>
    </row>
    <row r="246" spans="2:11" ht="78.599999999999994" hidden="1" customHeight="1" x14ac:dyDescent="0.25">
      <c r="B246" s="31"/>
      <c r="C246" s="42" t="s">
        <v>509</v>
      </c>
      <c r="D246" s="42">
        <f>D63+D39+D29</f>
        <v>7300000</v>
      </c>
      <c r="E246" s="31" t="s">
        <v>534</v>
      </c>
      <c r="F246" s="28">
        <v>58307078</v>
      </c>
      <c r="J246" s="30"/>
    </row>
    <row r="247" spans="2:11" ht="24" hidden="1" customHeight="1" x14ac:dyDescent="0.25">
      <c r="B247" s="31"/>
      <c r="C247" s="42" t="s">
        <v>510</v>
      </c>
      <c r="D247" s="42">
        <f>D47</f>
        <v>1500000</v>
      </c>
      <c r="E247" s="31"/>
      <c r="F247" s="28"/>
    </row>
    <row r="248" spans="2:11" ht="41.4" hidden="1" x14ac:dyDescent="0.25">
      <c r="E248" s="31" t="s">
        <v>530</v>
      </c>
      <c r="F248" s="28">
        <f>F243+F244</f>
        <v>15613789.68</v>
      </c>
    </row>
    <row r="249" spans="2:11" hidden="1" x14ac:dyDescent="0.25"/>
    <row r="250" spans="2:11" hidden="1" x14ac:dyDescent="0.25"/>
    <row r="251" spans="2:11" ht="34.799999999999997" hidden="1" x14ac:dyDescent="0.25">
      <c r="D251" s="198" t="s">
        <v>536</v>
      </c>
      <c r="E251" s="199"/>
      <c r="F251" s="198">
        <f>F245+F243</f>
        <v>-42693289</v>
      </c>
      <c r="G251" s="198"/>
      <c r="K251" s="14"/>
    </row>
    <row r="252" spans="2:11" hidden="1" x14ac:dyDescent="0.25"/>
    <row r="253" spans="2:11" hidden="1" x14ac:dyDescent="0.25"/>
    <row r="254" spans="2:11" hidden="1" x14ac:dyDescent="0.25"/>
    <row r="255" spans="2:11" hidden="1" x14ac:dyDescent="0.25"/>
  </sheetData>
  <mergeCells count="8">
    <mergeCell ref="A1:Q1"/>
    <mergeCell ref="C3:E3"/>
    <mergeCell ref="F3:H3"/>
    <mergeCell ref="I3:K3"/>
    <mergeCell ref="O3:O4"/>
    <mergeCell ref="A3:A4"/>
    <mergeCell ref="B3:B4"/>
    <mergeCell ref="L3:L4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4"/>
  <sheetViews>
    <sheetView workbookViewId="0">
      <selection activeCell="H8" sqref="H8"/>
    </sheetView>
  </sheetViews>
  <sheetFormatPr defaultRowHeight="14.4" x14ac:dyDescent="0.3"/>
  <cols>
    <col min="1" max="1" width="32.44140625" customWidth="1"/>
    <col min="2" max="6" width="0" hidden="1" customWidth="1"/>
    <col min="7" max="7" width="22.33203125" customWidth="1"/>
    <col min="8" max="8" width="21.33203125" customWidth="1"/>
    <col min="9" max="9" width="20.5546875" customWidth="1"/>
    <col min="10" max="10" width="21.33203125" customWidth="1"/>
  </cols>
  <sheetData>
    <row r="2" spans="1:11" hidden="1" x14ac:dyDescent="0.3"/>
    <row r="3" spans="1:11" ht="15.6" x14ac:dyDescent="0.3">
      <c r="A3" s="327" t="s">
        <v>329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</row>
    <row r="4" spans="1:11" ht="15.6" x14ac:dyDescent="0.3">
      <c r="A4" s="1"/>
      <c r="B4" s="2"/>
      <c r="C4" s="3"/>
      <c r="D4" s="337"/>
      <c r="E4" s="337"/>
      <c r="F4" s="337"/>
      <c r="G4" s="337"/>
      <c r="H4" s="3"/>
      <c r="I4" s="3"/>
      <c r="J4" s="3"/>
      <c r="K4" s="3"/>
    </row>
    <row r="5" spans="1:11" ht="31.2" x14ac:dyDescent="0.3">
      <c r="A5" s="4"/>
      <c r="B5" s="4"/>
      <c r="C5" s="4"/>
      <c r="D5" s="4"/>
      <c r="E5" s="4"/>
      <c r="F5" s="4"/>
      <c r="G5" s="5" t="s">
        <v>327</v>
      </c>
      <c r="H5" s="6" t="s">
        <v>114</v>
      </c>
      <c r="I5" s="6" t="s">
        <v>115</v>
      </c>
      <c r="J5" s="5" t="s">
        <v>328</v>
      </c>
      <c r="K5" s="7"/>
    </row>
    <row r="6" spans="1:11" ht="15.6" x14ac:dyDescent="0.3">
      <c r="A6" s="8"/>
      <c r="B6" s="338">
        <f>+G7</f>
        <v>0</v>
      </c>
      <c r="C6" s="338"/>
      <c r="D6" s="339"/>
      <c r="E6" s="339"/>
      <c r="F6" s="339"/>
      <c r="G6" s="339"/>
      <c r="H6" s="10">
        <f>H7+H9+H8</f>
        <v>151163799.75</v>
      </c>
      <c r="I6" s="10">
        <f>Расходы!D226+Расходы!G226+Расходы!J226</f>
        <v>163067088.75</v>
      </c>
      <c r="J6" s="10">
        <f>B6-H6+I6</f>
        <v>11903289</v>
      </c>
      <c r="K6" s="7"/>
    </row>
    <row r="7" spans="1:11" ht="15.6" x14ac:dyDescent="0.3">
      <c r="A7" s="9" t="s">
        <v>116</v>
      </c>
      <c r="B7" s="11"/>
      <c r="C7" s="11"/>
      <c r="D7" s="11"/>
      <c r="E7" s="11"/>
      <c r="F7" s="11"/>
      <c r="G7" s="11">
        <v>0</v>
      </c>
      <c r="H7" s="11">
        <v>0</v>
      </c>
      <c r="I7" s="11">
        <f>21508377</f>
        <v>21508377</v>
      </c>
      <c r="J7" s="11">
        <f>J6</f>
        <v>11903289</v>
      </c>
      <c r="K7" s="7"/>
    </row>
    <row r="8" spans="1:11" ht="31.2" x14ac:dyDescent="0.3">
      <c r="A8" s="9" t="s">
        <v>117</v>
      </c>
      <c r="B8" s="11"/>
      <c r="C8" s="11"/>
      <c r="D8" s="11"/>
      <c r="E8" s="11"/>
      <c r="F8" s="11"/>
      <c r="G8" s="11"/>
      <c r="H8" s="11">
        <f>Доходы!D7</f>
        <v>38910000</v>
      </c>
      <c r="I8" s="11">
        <v>0</v>
      </c>
      <c r="J8" s="11">
        <v>0</v>
      </c>
      <c r="K8" s="7"/>
    </row>
    <row r="9" spans="1:11" ht="15.6" x14ac:dyDescent="0.3">
      <c r="A9" s="9" t="s">
        <v>118</v>
      </c>
      <c r="B9" s="11"/>
      <c r="C9" s="11"/>
      <c r="D9" s="11"/>
      <c r="E9" s="11"/>
      <c r="F9" s="11"/>
      <c r="G9" s="11"/>
      <c r="H9" s="11">
        <f>Доходы!D27</f>
        <v>112253799.75</v>
      </c>
      <c r="I9" s="11">
        <v>0</v>
      </c>
      <c r="J9" s="11">
        <v>0</v>
      </c>
      <c r="K9" s="7"/>
    </row>
    <row r="10" spans="1:11" ht="15.6" x14ac:dyDescent="0.3">
      <c r="A10" s="9" t="s">
        <v>119</v>
      </c>
      <c r="B10" s="11"/>
      <c r="C10" s="11"/>
      <c r="D10" s="11"/>
      <c r="E10" s="11"/>
      <c r="F10" s="11"/>
      <c r="G10" s="11"/>
      <c r="H10" s="11"/>
      <c r="I10" s="11"/>
      <c r="J10" s="11"/>
      <c r="K10" s="7"/>
    </row>
    <row r="11" spans="1:11" ht="15.6" x14ac:dyDescent="0.3">
      <c r="A11" s="9" t="s">
        <v>120</v>
      </c>
      <c r="B11" s="11"/>
      <c r="C11" s="11"/>
      <c r="D11" s="11"/>
      <c r="E11" s="11"/>
      <c r="F11" s="11"/>
      <c r="G11" s="11"/>
      <c r="H11" s="11"/>
      <c r="I11" s="11"/>
      <c r="J11" s="11"/>
      <c r="K11" s="7"/>
    </row>
    <row r="12" spans="1:1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</sheetData>
  <mergeCells count="3">
    <mergeCell ref="A3:K3"/>
    <mergeCell ref="D4:G4"/>
    <mergeCell ref="B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Доходы</vt:lpstr>
      <vt:lpstr>Расходы</vt:lpstr>
      <vt:lpstr>Источники</vt:lpstr>
      <vt:lpstr>Лист1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2025-07-14T12:03:20Z</dcterms:modified>
</cp:coreProperties>
</file>