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ЭтаКнига" defaultThemeVersion="124226"/>
  <xr:revisionPtr revIDLastSave="0" documentId="13_ncr:1_{112FDE47-B86B-4052-8A61-C7CADEF48B22}" xr6:coauthVersionLast="47" xr6:coauthVersionMax="47" xr10:uidLastSave="{00000000-0000-0000-0000-000000000000}"/>
  <workbookProtection workbookAlgorithmName="SHA-512" workbookHashValue="NTWq4lSBmD/k9vI4b8yoIwWN6ttw2oP+Lgce4cLCfFgAR1pDqi4A/HiNdnECjGL3pgBZCqOn7CIwj4R1r66bRg==" workbookSaltValue="Cao0itB3l//YgC9Qy/08Lg==" workbookSpinCount="100000" lockStructure="1"/>
  <bookViews>
    <workbookView xWindow="-108" yWindow="-108" windowWidth="30936" windowHeight="16896" activeTab="1" xr2:uid="{00000000-000D-0000-FFFF-FFFF00000000}"/>
  </bookViews>
  <sheets>
    <sheet name="Доходы 2026" sheetId="6" r:id="rId1"/>
    <sheet name="Расходы 2026" sheetId="5" r:id="rId2"/>
    <sheet name="Расходы" sheetId="1" state="hidden" r:id="rId3"/>
    <sheet name="Источники" sheetId="3" state="hidden" r:id="rId4"/>
    <sheet name="Лист1" sheetId="4" state="hidden" r:id="rId5"/>
  </sheets>
  <definedNames>
    <definedName name="_xlnm.Print_Area" localSheetId="0">'Доходы 2026'!$A$1:$F$3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8" i="5" l="1"/>
  <c r="K338" i="5"/>
  <c r="I190" i="5"/>
  <c r="M253" i="5"/>
  <c r="M248" i="5"/>
  <c r="K248" i="5"/>
  <c r="K253" i="5"/>
  <c r="K254" i="5"/>
  <c r="M339" i="5"/>
  <c r="K339" i="5"/>
  <c r="I41" i="5"/>
  <c r="E44" i="5"/>
  <c r="G44" i="5"/>
  <c r="H223" i="5"/>
  <c r="G220" i="5"/>
  <c r="G279" i="5"/>
  <c r="D273" i="5"/>
  <c r="D278" i="5"/>
  <c r="G380" i="5" l="1"/>
  <c r="I34" i="5"/>
  <c r="D14" i="5"/>
  <c r="H93" i="5"/>
  <c r="G378" i="5"/>
  <c r="G132" i="5"/>
  <c r="G146" i="5"/>
  <c r="H146" i="5" s="1"/>
  <c r="G391" i="5" l="1"/>
  <c r="I147" i="5"/>
  <c r="H147" i="5"/>
  <c r="G154" i="5"/>
  <c r="I133" i="5"/>
  <c r="G169" i="5"/>
  <c r="I249" i="5"/>
  <c r="I263" i="5"/>
  <c r="I323" i="5"/>
  <c r="G267" i="5"/>
  <c r="D378" i="5" l="1"/>
  <c r="E378" i="5" s="1"/>
  <c r="K393" i="5" l="1"/>
  <c r="C194" i="5"/>
  <c r="D194" i="5"/>
  <c r="F194" i="5"/>
  <c r="G194" i="5"/>
  <c r="J194" i="5"/>
  <c r="K194" i="5"/>
  <c r="L194" i="5"/>
  <c r="M194" i="5"/>
  <c r="H195" i="5"/>
  <c r="I45" i="5"/>
  <c r="D399" i="5"/>
  <c r="G16" i="5"/>
  <c r="H137" i="5"/>
  <c r="D132" i="5"/>
  <c r="I137" i="5"/>
  <c r="G94" i="5"/>
  <c r="G163" i="5"/>
  <c r="D24" i="6"/>
  <c r="C222" i="5"/>
  <c r="I123" i="5"/>
  <c r="I122" i="5" s="1"/>
  <c r="K343" i="5"/>
  <c r="K342" i="5" s="1"/>
  <c r="G186" i="5"/>
  <c r="I186" i="5" s="1"/>
  <c r="H380" i="5"/>
  <c r="F347" i="5"/>
  <c r="G347" i="5"/>
  <c r="I163" i="5" l="1"/>
  <c r="H163" i="5"/>
  <c r="I194" i="5"/>
  <c r="H194" i="5"/>
  <c r="G50" i="5"/>
  <c r="G17" i="5"/>
  <c r="G13" i="5"/>
  <c r="D13" i="5"/>
  <c r="I17" i="5" l="1"/>
  <c r="I341" i="5"/>
  <c r="H341" i="5"/>
  <c r="D236" i="5"/>
  <c r="E236" i="5" s="1"/>
  <c r="I142" i="5"/>
  <c r="G122" i="5"/>
  <c r="I333" i="5"/>
  <c r="I302" i="5"/>
  <c r="I301" i="5"/>
  <c r="H301" i="5"/>
  <c r="I26" i="5"/>
  <c r="I27" i="5"/>
  <c r="D21" i="5"/>
  <c r="I19" i="5"/>
  <c r="H249" i="5"/>
  <c r="H227" i="5"/>
  <c r="H142" i="5"/>
  <c r="G292" i="5"/>
  <c r="J316" i="5"/>
  <c r="H269" i="5"/>
  <c r="H270" i="5"/>
  <c r="G268" i="5"/>
  <c r="H268" i="5" s="1"/>
  <c r="I381" i="5"/>
  <c r="H381" i="5"/>
  <c r="I379" i="5"/>
  <c r="H379" i="5"/>
  <c r="G343" i="5"/>
  <c r="F343" i="5"/>
  <c r="H343" i="5" l="1"/>
  <c r="M314" i="5"/>
  <c r="K314" i="5"/>
  <c r="G282" i="5"/>
  <c r="L403" i="5" l="1"/>
  <c r="J403" i="5"/>
  <c r="I399" i="5"/>
  <c r="I400" i="5"/>
  <c r="I401" i="5"/>
  <c r="I403" i="5"/>
  <c r="J398" i="5"/>
  <c r="G396" i="5"/>
  <c r="I396" i="5" s="1"/>
  <c r="I215" i="5"/>
  <c r="I148" i="5"/>
  <c r="I146" i="5"/>
  <c r="I353" i="5"/>
  <c r="I347" i="5"/>
  <c r="I295" i="5"/>
  <c r="I287" i="5"/>
  <c r="I268" i="5"/>
  <c r="I269" i="5"/>
  <c r="I270" i="5"/>
  <c r="I271" i="5"/>
  <c r="I272" i="5"/>
  <c r="I274" i="5"/>
  <c r="I267" i="5"/>
  <c r="L254" i="5"/>
  <c r="M254" i="5"/>
  <c r="J254" i="5"/>
  <c r="I227" i="5"/>
  <c r="I228" i="5"/>
  <c r="I229" i="5"/>
  <c r="I226" i="5"/>
  <c r="I169" i="5"/>
  <c r="D161" i="5"/>
  <c r="J161" i="5" s="1"/>
  <c r="I153" i="5"/>
  <c r="I154" i="5"/>
  <c r="I155" i="5"/>
  <c r="I156" i="5"/>
  <c r="I157" i="5"/>
  <c r="I158" i="5"/>
  <c r="I152" i="5"/>
  <c r="L145" i="5"/>
  <c r="L144" i="5" s="1"/>
  <c r="M145" i="5"/>
  <c r="M144" i="5" s="1"/>
  <c r="K145" i="5"/>
  <c r="K144" i="5" s="1"/>
  <c r="I141" i="5"/>
  <c r="I135" i="5"/>
  <c r="I134" i="5"/>
  <c r="I93" i="5"/>
  <c r="I52" i="5"/>
  <c r="I20" i="5"/>
  <c r="I18" i="5"/>
  <c r="I15" i="5"/>
  <c r="I220" i="5"/>
  <c r="H226" i="5"/>
  <c r="H229" i="5"/>
  <c r="I16" i="5"/>
  <c r="G395" i="5" l="1"/>
  <c r="H220" i="5"/>
  <c r="I25" i="5"/>
  <c r="H25" i="5" l="1"/>
  <c r="I55" i="5"/>
  <c r="I76" i="5"/>
  <c r="H75" i="5"/>
  <c r="M75" i="5"/>
  <c r="L75" i="5"/>
  <c r="K75" i="5"/>
  <c r="J75" i="5"/>
  <c r="G75" i="5"/>
  <c r="F75" i="5"/>
  <c r="E75" i="5"/>
  <c r="D75" i="5"/>
  <c r="C75" i="5"/>
  <c r="H11" i="5"/>
  <c r="D402" i="5"/>
  <c r="D20" i="6"/>
  <c r="I402" i="5" l="1"/>
  <c r="D395" i="5"/>
  <c r="I75" i="5"/>
  <c r="I46" i="5"/>
  <c r="I47" i="5"/>
  <c r="I48" i="5"/>
  <c r="I44" i="5"/>
  <c r="H378" i="5"/>
  <c r="I382" i="5"/>
  <c r="I383" i="5"/>
  <c r="I384" i="5"/>
  <c r="H353" i="5"/>
  <c r="H347" i="5"/>
  <c r="G317" i="5"/>
  <c r="H317" i="5" s="1"/>
  <c r="H267" i="5"/>
  <c r="H228" i="5"/>
  <c r="H169" i="5"/>
  <c r="E295" i="5"/>
  <c r="E14" i="6"/>
  <c r="F14" i="6"/>
  <c r="D14" i="6"/>
  <c r="E8" i="6"/>
  <c r="E6" i="6" s="1"/>
  <c r="F8" i="6"/>
  <c r="F6" i="6" s="1"/>
  <c r="D8" i="6"/>
  <c r="J152" i="5" l="1"/>
  <c r="J147" i="5"/>
  <c r="J143" i="5"/>
  <c r="J149" i="5"/>
  <c r="J144" i="5" s="1"/>
  <c r="H148" i="5"/>
  <c r="H141" i="5"/>
  <c r="H44" i="5"/>
  <c r="D6" i="6" l="1"/>
  <c r="M391" i="5" l="1"/>
  <c r="L391" i="5"/>
  <c r="K391" i="5"/>
  <c r="J391" i="5"/>
  <c r="F391" i="5"/>
  <c r="I380" i="5"/>
  <c r="I385" i="5"/>
  <c r="I386" i="5"/>
  <c r="I387" i="5"/>
  <c r="I388" i="5"/>
  <c r="I389" i="5"/>
  <c r="I390" i="5"/>
  <c r="I378" i="5"/>
  <c r="I13" i="5"/>
  <c r="I11" i="5"/>
  <c r="C10" i="5"/>
  <c r="E27" i="5"/>
  <c r="I279" i="5"/>
  <c r="I278" i="5"/>
  <c r="F266" i="5"/>
  <c r="M266" i="5"/>
  <c r="L266" i="5"/>
  <c r="K266" i="5"/>
  <c r="J266" i="5"/>
  <c r="I236" i="5"/>
  <c r="I221" i="5"/>
  <c r="I218" i="5" s="1"/>
  <c r="L218" i="5"/>
  <c r="K218" i="5"/>
  <c r="J218" i="5"/>
  <c r="G218" i="5"/>
  <c r="F218" i="5"/>
  <c r="D218" i="5"/>
  <c r="M43" i="5"/>
  <c r="L43" i="5"/>
  <c r="K43" i="5"/>
  <c r="J43" i="5"/>
  <c r="D43" i="5"/>
  <c r="D10" i="5"/>
  <c r="D9" i="5" s="1"/>
  <c r="F265" i="5" l="1"/>
  <c r="I273" i="5"/>
  <c r="D266" i="5"/>
  <c r="I12" i="5"/>
  <c r="I266" i="5"/>
  <c r="F55" i="6"/>
  <c r="E55" i="6"/>
  <c r="D55" i="6"/>
  <c r="F41" i="6"/>
  <c r="E41" i="6"/>
  <c r="D41" i="6"/>
  <c r="F25" i="6"/>
  <c r="E25" i="6"/>
  <c r="D25" i="6"/>
  <c r="F22" i="6"/>
  <c r="E22" i="6"/>
  <c r="D22" i="6"/>
  <c r="I118" i="5"/>
  <c r="D391" i="5"/>
  <c r="I391" i="5" s="1"/>
  <c r="D122" i="5"/>
  <c r="C21" i="5"/>
  <c r="C9" i="5" s="1"/>
  <c r="I116" i="5"/>
  <c r="I115" i="5"/>
  <c r="I117" i="5"/>
  <c r="I211" i="5"/>
  <c r="I210" i="5"/>
  <c r="E211" i="5"/>
  <c r="E210" i="5"/>
  <c r="I50" i="5"/>
  <c r="I49" i="5"/>
  <c r="N184" i="5"/>
  <c r="I51" i="5"/>
  <c r="I94" i="5"/>
  <c r="I92" i="5" s="1"/>
  <c r="D92" i="5"/>
  <c r="F92" i="5"/>
  <c r="G92" i="5"/>
  <c r="J92" i="5"/>
  <c r="K92" i="5"/>
  <c r="L92" i="5"/>
  <c r="M92" i="5"/>
  <c r="C92" i="5"/>
  <c r="I355" i="5"/>
  <c r="E355" i="5"/>
  <c r="E317" i="5"/>
  <c r="E191" i="5"/>
  <c r="I193" i="5"/>
  <c r="M192" i="5"/>
  <c r="L192" i="5"/>
  <c r="K192" i="5"/>
  <c r="J192" i="5"/>
  <c r="F192" i="5"/>
  <c r="D192" i="5"/>
  <c r="C192" i="5"/>
  <c r="K187" i="5"/>
  <c r="L187" i="5"/>
  <c r="M187" i="5"/>
  <c r="J187" i="5"/>
  <c r="G187" i="5"/>
  <c r="F187" i="5"/>
  <c r="C187" i="5"/>
  <c r="I189" i="5"/>
  <c r="I187" i="5" s="1"/>
  <c r="E49" i="5"/>
  <c r="E19" i="5"/>
  <c r="F395" i="5"/>
  <c r="F275" i="5"/>
  <c r="H178" i="5"/>
  <c r="G176" i="5"/>
  <c r="H115" i="5"/>
  <c r="H68" i="5"/>
  <c r="J185" i="5"/>
  <c r="K222" i="5"/>
  <c r="L222" i="5"/>
  <c r="M222" i="5"/>
  <c r="J222" i="5"/>
  <c r="H314" i="5"/>
  <c r="H315" i="5"/>
  <c r="H333" i="5"/>
  <c r="K32" i="5"/>
  <c r="L32" i="5"/>
  <c r="M32" i="5"/>
  <c r="K10" i="5"/>
  <c r="L10" i="5"/>
  <c r="M10" i="5"/>
  <c r="H279" i="5"/>
  <c r="G140" i="5"/>
  <c r="G131" i="5" s="1"/>
  <c r="H154" i="5"/>
  <c r="H92" i="5" l="1"/>
  <c r="E21" i="6"/>
  <c r="E67" i="6" s="1"/>
  <c r="I43" i="5"/>
  <c r="F21" i="6"/>
  <c r="F67" i="6" s="1"/>
  <c r="D21" i="6"/>
  <c r="D67" i="6" s="1"/>
  <c r="D418" i="5" s="1"/>
  <c r="J184" i="5"/>
  <c r="G192" i="5"/>
  <c r="G275" i="5"/>
  <c r="H275" i="5" s="1"/>
  <c r="D105" i="5"/>
  <c r="E105" i="5"/>
  <c r="F105" i="5"/>
  <c r="G105" i="5"/>
  <c r="H105" i="5"/>
  <c r="J105" i="5"/>
  <c r="K105" i="5"/>
  <c r="L105" i="5"/>
  <c r="M105" i="5"/>
  <c r="C105" i="5"/>
  <c r="I111" i="5"/>
  <c r="I105" i="5" s="1"/>
  <c r="F43" i="5"/>
  <c r="G43" i="5"/>
  <c r="F32" i="5"/>
  <c r="J32" i="5"/>
  <c r="D32" i="5"/>
  <c r="F10" i="5"/>
  <c r="G10" i="5"/>
  <c r="J10" i="5"/>
  <c r="J14" i="5"/>
  <c r="H16" i="5"/>
  <c r="K21" i="5"/>
  <c r="L21" i="5"/>
  <c r="M21" i="5"/>
  <c r="H287" i="5"/>
  <c r="H282" i="5"/>
  <c r="H283" i="5"/>
  <c r="H285" i="5"/>
  <c r="H286" i="5"/>
  <c r="K275" i="5"/>
  <c r="L275" i="5"/>
  <c r="M275" i="5"/>
  <c r="J275" i="5"/>
  <c r="D275" i="5"/>
  <c r="G266" i="5"/>
  <c r="H266" i="5" s="1"/>
  <c r="K201" i="5"/>
  <c r="L201" i="5"/>
  <c r="M201" i="5"/>
  <c r="D201" i="5"/>
  <c r="F214" i="5"/>
  <c r="G214" i="5"/>
  <c r="H214" i="5"/>
  <c r="J214" i="5"/>
  <c r="K214" i="5"/>
  <c r="L214" i="5"/>
  <c r="M214" i="5"/>
  <c r="D214" i="5"/>
  <c r="K241" i="5"/>
  <c r="K217" i="5" s="1"/>
  <c r="L241" i="5"/>
  <c r="M241" i="5"/>
  <c r="M217" i="5" s="1"/>
  <c r="J241" i="5"/>
  <c r="F14" i="5"/>
  <c r="K14" i="5"/>
  <c r="L14" i="5"/>
  <c r="M14" i="5"/>
  <c r="H376" i="5"/>
  <c r="H377" i="5"/>
  <c r="H384" i="5"/>
  <c r="H386" i="5"/>
  <c r="H387" i="5"/>
  <c r="H388" i="5"/>
  <c r="H389" i="5"/>
  <c r="H390" i="5"/>
  <c r="I397" i="5"/>
  <c r="K69" i="5"/>
  <c r="L69" i="5"/>
  <c r="M69" i="5"/>
  <c r="K77" i="5"/>
  <c r="L77" i="5"/>
  <c r="M77" i="5"/>
  <c r="K83" i="5"/>
  <c r="L83" i="5"/>
  <c r="M83" i="5"/>
  <c r="H10" i="5" l="1"/>
  <c r="I192" i="5"/>
  <c r="G14" i="5"/>
  <c r="H14" i="5" s="1"/>
  <c r="H43" i="5"/>
  <c r="K265" i="5"/>
  <c r="M9" i="5"/>
  <c r="G32" i="5"/>
  <c r="I32" i="5" s="1"/>
  <c r="L265" i="5"/>
  <c r="J265" i="5"/>
  <c r="M265" i="5"/>
  <c r="K9" i="5"/>
  <c r="I214" i="5"/>
  <c r="E81" i="5"/>
  <c r="F81" i="5"/>
  <c r="G81" i="5"/>
  <c r="H81" i="5"/>
  <c r="J81" i="5"/>
  <c r="K81" i="5"/>
  <c r="K31" i="5" s="1"/>
  <c r="L81" i="5"/>
  <c r="M81" i="5"/>
  <c r="M31" i="5" s="1"/>
  <c r="D81" i="5"/>
  <c r="D185" i="5"/>
  <c r="E185" i="5"/>
  <c r="F185" i="5"/>
  <c r="G185" i="5"/>
  <c r="I185" i="5"/>
  <c r="K185" i="5"/>
  <c r="K184" i="5" s="1"/>
  <c r="L185" i="5"/>
  <c r="L184" i="5" s="1"/>
  <c r="M185" i="5"/>
  <c r="M184" i="5" s="1"/>
  <c r="C185" i="5"/>
  <c r="D187" i="5"/>
  <c r="I191" i="5"/>
  <c r="K179" i="5"/>
  <c r="M179" i="5"/>
  <c r="M395" i="5"/>
  <c r="K395" i="5"/>
  <c r="I398" i="5"/>
  <c r="D184" i="5" l="1"/>
  <c r="H391" i="5"/>
  <c r="I81" i="5"/>
  <c r="D176" i="5"/>
  <c r="E176" i="5"/>
  <c r="F176" i="5"/>
  <c r="H176" i="5" s="1"/>
  <c r="J176" i="5"/>
  <c r="K176" i="5"/>
  <c r="L176" i="5"/>
  <c r="M176" i="5"/>
  <c r="C176" i="5"/>
  <c r="I178" i="5"/>
  <c r="I177" i="5"/>
  <c r="D172" i="5"/>
  <c r="E172" i="5"/>
  <c r="F172" i="5"/>
  <c r="G172" i="5"/>
  <c r="H172" i="5"/>
  <c r="J172" i="5"/>
  <c r="K172" i="5"/>
  <c r="K167" i="5" s="1"/>
  <c r="L172" i="5"/>
  <c r="M172" i="5"/>
  <c r="M167" i="5" s="1"/>
  <c r="C172" i="5"/>
  <c r="D159" i="5"/>
  <c r="E159" i="5"/>
  <c r="F159" i="5"/>
  <c r="G159" i="5"/>
  <c r="J159" i="5"/>
  <c r="K159" i="5"/>
  <c r="L159" i="5"/>
  <c r="M159" i="5"/>
  <c r="C159" i="5"/>
  <c r="K162" i="5"/>
  <c r="L162" i="5"/>
  <c r="M162" i="5"/>
  <c r="I161" i="5"/>
  <c r="K132" i="5"/>
  <c r="L132" i="5"/>
  <c r="M132" i="5"/>
  <c r="K151" i="5"/>
  <c r="L151" i="5"/>
  <c r="M151" i="5"/>
  <c r="K140" i="5"/>
  <c r="L140" i="5"/>
  <c r="M140" i="5"/>
  <c r="D126" i="5"/>
  <c r="F126" i="5"/>
  <c r="G126" i="5"/>
  <c r="H126" i="5"/>
  <c r="J126" i="5"/>
  <c r="K126" i="5"/>
  <c r="L126" i="5"/>
  <c r="M126" i="5"/>
  <c r="C126" i="5"/>
  <c r="I317" i="5"/>
  <c r="I316" i="5" s="1"/>
  <c r="D305" i="5"/>
  <c r="F305" i="5"/>
  <c r="G305" i="5"/>
  <c r="H305" i="5"/>
  <c r="J305" i="5"/>
  <c r="K305" i="5"/>
  <c r="K299" i="5" s="1"/>
  <c r="L305" i="5"/>
  <c r="M305" i="5"/>
  <c r="M299" i="5" s="1"/>
  <c r="C305" i="5"/>
  <c r="D284" i="5"/>
  <c r="F284" i="5"/>
  <c r="G284" i="5"/>
  <c r="J284" i="5"/>
  <c r="K284" i="5"/>
  <c r="K280" i="5" s="1"/>
  <c r="K247" i="5" s="1"/>
  <c r="L284" i="5"/>
  <c r="M284" i="5"/>
  <c r="M280" i="5" s="1"/>
  <c r="M247" i="5" s="1"/>
  <c r="C284" i="5"/>
  <c r="M293" i="5"/>
  <c r="M289" i="5" s="1"/>
  <c r="M288" i="5" s="1"/>
  <c r="K293" i="5"/>
  <c r="K289" i="5" s="1"/>
  <c r="K288" i="5" s="1"/>
  <c r="I297" i="5"/>
  <c r="K313" i="5"/>
  <c r="K307" i="5" s="1"/>
  <c r="L313" i="5"/>
  <c r="M313" i="5"/>
  <c r="M307" i="5" s="1"/>
  <c r="K321" i="5"/>
  <c r="L321" i="5"/>
  <c r="M321" i="5"/>
  <c r="K331" i="5"/>
  <c r="L331" i="5"/>
  <c r="M331" i="5"/>
  <c r="M166" i="5" l="1"/>
  <c r="K166" i="5"/>
  <c r="I305" i="5"/>
  <c r="H284" i="5"/>
  <c r="I176" i="5"/>
  <c r="L320" i="5"/>
  <c r="K131" i="5"/>
  <c r="I126" i="5"/>
  <c r="K298" i="5"/>
  <c r="I172" i="5"/>
  <c r="L131" i="5"/>
  <c r="I284" i="5"/>
  <c r="M298" i="5"/>
  <c r="M131" i="5"/>
  <c r="I159" i="5"/>
  <c r="K150" i="5"/>
  <c r="M150" i="5"/>
  <c r="M320" i="5"/>
  <c r="M319" i="5" s="1"/>
  <c r="K320" i="5"/>
  <c r="K319" i="5" s="1"/>
  <c r="D114" i="5" l="1"/>
  <c r="D112" i="5" s="1"/>
  <c r="F114" i="5"/>
  <c r="G114" i="5"/>
  <c r="G112" i="5" s="1"/>
  <c r="J114" i="5"/>
  <c r="J112" i="5" s="1"/>
  <c r="K114" i="5"/>
  <c r="L114" i="5"/>
  <c r="L112" i="5" s="1"/>
  <c r="M114" i="5"/>
  <c r="C114" i="5"/>
  <c r="C112" i="5" s="1"/>
  <c r="J83" i="5"/>
  <c r="D83" i="5"/>
  <c r="I83" i="5" s="1"/>
  <c r="D168" i="5"/>
  <c r="D167" i="5" s="1"/>
  <c r="K112" i="5" l="1"/>
  <c r="K8" i="5" s="1"/>
  <c r="K374" i="5" s="1"/>
  <c r="K392" i="5" s="1"/>
  <c r="K394" i="5" s="1"/>
  <c r="K404" i="5" s="1"/>
  <c r="M112" i="5"/>
  <c r="M8" i="5" s="1"/>
  <c r="M374" i="5" s="1"/>
  <c r="M392" i="5" s="1"/>
  <c r="M394" i="5" s="1"/>
  <c r="M404" i="5" s="1"/>
  <c r="I114" i="5"/>
  <c r="I112" i="5" s="1"/>
  <c r="D162" i="5" l="1"/>
  <c r="D151" i="5"/>
  <c r="D354" i="5"/>
  <c r="D63" i="5"/>
  <c r="D53" i="5"/>
  <c r="D180" i="5"/>
  <c r="D179" i="5" s="1"/>
  <c r="D331" i="5"/>
  <c r="D321" i="5"/>
  <c r="D313" i="5"/>
  <c r="I14" i="5"/>
  <c r="D222" i="5"/>
  <c r="D343" i="5"/>
  <c r="J69" i="5"/>
  <c r="D69" i="5"/>
  <c r="C395" i="5"/>
  <c r="C359" i="5"/>
  <c r="L9" i="5"/>
  <c r="H21" i="5"/>
  <c r="J21" i="5"/>
  <c r="J9" i="5" s="1"/>
  <c r="G21" i="5"/>
  <c r="G9" i="5" s="1"/>
  <c r="C32" i="5"/>
  <c r="C43" i="5"/>
  <c r="E43" i="5" s="1"/>
  <c r="C53" i="5"/>
  <c r="E53" i="5"/>
  <c r="J53" i="5"/>
  <c r="L53" i="5"/>
  <c r="G53" i="5"/>
  <c r="H53" i="5"/>
  <c r="C63" i="5"/>
  <c r="E63" i="5"/>
  <c r="F63" i="5"/>
  <c r="G63" i="5"/>
  <c r="J63" i="5"/>
  <c r="L63" i="5"/>
  <c r="C69" i="5"/>
  <c r="E69" i="5"/>
  <c r="F69" i="5"/>
  <c r="G69" i="5"/>
  <c r="C77" i="5"/>
  <c r="D77" i="5"/>
  <c r="E77" i="5"/>
  <c r="F77" i="5"/>
  <c r="G77" i="5"/>
  <c r="H77" i="5"/>
  <c r="J77" i="5"/>
  <c r="C79" i="5"/>
  <c r="D79" i="5"/>
  <c r="E79" i="5"/>
  <c r="F79" i="5"/>
  <c r="G79" i="5"/>
  <c r="I79" i="5"/>
  <c r="J79" i="5"/>
  <c r="L79" i="5"/>
  <c r="D87" i="5"/>
  <c r="H87" i="5"/>
  <c r="C87" i="5"/>
  <c r="F87" i="5"/>
  <c r="G87" i="5"/>
  <c r="I87" i="5"/>
  <c r="J87" i="5"/>
  <c r="L87" i="5"/>
  <c r="C95" i="5"/>
  <c r="D95" i="5"/>
  <c r="E95" i="5"/>
  <c r="G95" i="5"/>
  <c r="H95" i="5"/>
  <c r="I95" i="5"/>
  <c r="J95" i="5"/>
  <c r="L95" i="5"/>
  <c r="F95" i="5"/>
  <c r="C101" i="5"/>
  <c r="D101" i="5"/>
  <c r="F101" i="5"/>
  <c r="G101" i="5"/>
  <c r="I101" i="5"/>
  <c r="J101" i="5"/>
  <c r="L101" i="5"/>
  <c r="E101" i="5"/>
  <c r="H112" i="5"/>
  <c r="F119" i="5"/>
  <c r="F112" i="5" s="1"/>
  <c r="C125" i="5"/>
  <c r="D125" i="5"/>
  <c r="G125" i="5"/>
  <c r="I125" i="5"/>
  <c r="J125" i="5"/>
  <c r="L125" i="5"/>
  <c r="C128" i="5"/>
  <c r="D128" i="5"/>
  <c r="E128" i="5"/>
  <c r="F128" i="5"/>
  <c r="G128" i="5"/>
  <c r="I128" i="5"/>
  <c r="J128" i="5"/>
  <c r="L128" i="5"/>
  <c r="I132" i="5"/>
  <c r="J132" i="5"/>
  <c r="F132" i="5"/>
  <c r="H132" i="5" s="1"/>
  <c r="C132" i="5"/>
  <c r="C140" i="5"/>
  <c r="D140" i="5"/>
  <c r="F140" i="5"/>
  <c r="H140" i="5" s="1"/>
  <c r="J140" i="5"/>
  <c r="E140" i="5"/>
  <c r="C144" i="5"/>
  <c r="D144" i="5"/>
  <c r="E145" i="5"/>
  <c r="F145" i="5"/>
  <c r="F144" i="5" s="1"/>
  <c r="G145" i="5"/>
  <c r="E151" i="5"/>
  <c r="H151" i="5"/>
  <c r="J151" i="5"/>
  <c r="C151" i="5"/>
  <c r="F151" i="5"/>
  <c r="G151" i="5"/>
  <c r="J162" i="5"/>
  <c r="L150" i="5"/>
  <c r="C162" i="5"/>
  <c r="E162" i="5"/>
  <c r="F162" i="5"/>
  <c r="G162" i="5"/>
  <c r="C168" i="5"/>
  <c r="E168" i="5"/>
  <c r="F168" i="5"/>
  <c r="F167" i="5" s="1"/>
  <c r="G168" i="5"/>
  <c r="H168" i="5"/>
  <c r="H167" i="5" s="1"/>
  <c r="J168" i="5"/>
  <c r="J167" i="5" s="1"/>
  <c r="L168" i="5"/>
  <c r="L167" i="5" s="1"/>
  <c r="H180" i="5"/>
  <c r="H179" i="5" s="1"/>
  <c r="J180" i="5"/>
  <c r="J179" i="5" s="1"/>
  <c r="L180" i="5"/>
  <c r="L179" i="5" s="1"/>
  <c r="C180" i="5"/>
  <c r="C179" i="5" s="1"/>
  <c r="F180" i="5"/>
  <c r="F179" i="5" s="1"/>
  <c r="G180" i="5"/>
  <c r="G179" i="5" s="1"/>
  <c r="C184" i="5"/>
  <c r="E184" i="5" s="1"/>
  <c r="F184" i="5"/>
  <c r="G184" i="5"/>
  <c r="E197" i="5"/>
  <c r="F197" i="5"/>
  <c r="G197" i="5"/>
  <c r="H197" i="5"/>
  <c r="I197" i="5"/>
  <c r="J197" i="5"/>
  <c r="L197" i="5"/>
  <c r="C197" i="5"/>
  <c r="D197" i="5"/>
  <c r="D196" i="5" s="1"/>
  <c r="H201" i="5"/>
  <c r="J201" i="5"/>
  <c r="J196" i="5" s="1"/>
  <c r="C201" i="5"/>
  <c r="F201" i="5"/>
  <c r="G201" i="5"/>
  <c r="I201" i="5" s="1"/>
  <c r="C214" i="5"/>
  <c r="C218" i="5"/>
  <c r="H218" i="5"/>
  <c r="G222" i="5"/>
  <c r="F237" i="5"/>
  <c r="G237" i="5"/>
  <c r="H237" i="5"/>
  <c r="I237" i="5"/>
  <c r="J237" i="5"/>
  <c r="L237" i="5"/>
  <c r="E237" i="5"/>
  <c r="H241" i="5"/>
  <c r="C241" i="5"/>
  <c r="D241" i="5"/>
  <c r="E241" i="5"/>
  <c r="F241" i="5"/>
  <c r="G241" i="5"/>
  <c r="C244" i="5"/>
  <c r="D244" i="5"/>
  <c r="F244" i="5"/>
  <c r="G244" i="5"/>
  <c r="H244" i="5"/>
  <c r="I244" i="5"/>
  <c r="J244" i="5"/>
  <c r="L244" i="5"/>
  <c r="E244" i="5"/>
  <c r="C248" i="5"/>
  <c r="D248" i="5"/>
  <c r="G248" i="5"/>
  <c r="I248" i="5"/>
  <c r="J248" i="5"/>
  <c r="L248" i="5"/>
  <c r="E248" i="5"/>
  <c r="F248" i="5"/>
  <c r="C254" i="5"/>
  <c r="D254" i="5"/>
  <c r="E254" i="5"/>
  <c r="G254" i="5"/>
  <c r="H254" i="5"/>
  <c r="I254" i="5"/>
  <c r="D257" i="5"/>
  <c r="H257" i="5"/>
  <c r="I257" i="5"/>
  <c r="J257" i="5"/>
  <c r="L257" i="5"/>
  <c r="G257" i="5"/>
  <c r="C257" i="5"/>
  <c r="C266" i="5"/>
  <c r="C275" i="5"/>
  <c r="E275" i="5"/>
  <c r="C281" i="5"/>
  <c r="D281" i="5"/>
  <c r="D280" i="5" s="1"/>
  <c r="I281" i="5"/>
  <c r="J281" i="5"/>
  <c r="L281" i="5"/>
  <c r="L280" i="5" s="1"/>
  <c r="E281" i="5"/>
  <c r="F281" i="5"/>
  <c r="G281" i="5"/>
  <c r="C290" i="5"/>
  <c r="D290" i="5"/>
  <c r="E290" i="5"/>
  <c r="F290" i="5"/>
  <c r="H290" i="5"/>
  <c r="I290" i="5"/>
  <c r="J290" i="5"/>
  <c r="L290" i="5"/>
  <c r="C293" i="5"/>
  <c r="D293" i="5"/>
  <c r="E293" i="5"/>
  <c r="F293" i="5"/>
  <c r="G293" i="5"/>
  <c r="H293" i="5"/>
  <c r="J293" i="5"/>
  <c r="L293" i="5"/>
  <c r="C296" i="5"/>
  <c r="D296" i="5"/>
  <c r="F296" i="5"/>
  <c r="G296" i="5"/>
  <c r="H296" i="5"/>
  <c r="J296" i="5"/>
  <c r="L296" i="5"/>
  <c r="E296" i="5"/>
  <c r="E300" i="5"/>
  <c r="F300" i="5"/>
  <c r="H300" i="5"/>
  <c r="I300" i="5"/>
  <c r="L300" i="5"/>
  <c r="C300" i="5"/>
  <c r="D300" i="5"/>
  <c r="G300" i="5"/>
  <c r="C303" i="5"/>
  <c r="D303" i="5"/>
  <c r="E303" i="5"/>
  <c r="F303" i="5"/>
  <c r="G303" i="5"/>
  <c r="H303" i="5"/>
  <c r="I303" i="5"/>
  <c r="J303" i="5"/>
  <c r="L303" i="5"/>
  <c r="F309" i="5"/>
  <c r="G309" i="5"/>
  <c r="H309" i="5"/>
  <c r="I309" i="5"/>
  <c r="J309" i="5"/>
  <c r="L309" i="5"/>
  <c r="L307" i="5" s="1"/>
  <c r="C309" i="5"/>
  <c r="D309" i="5"/>
  <c r="C313" i="5"/>
  <c r="E313" i="5"/>
  <c r="J313" i="5"/>
  <c r="F313" i="5"/>
  <c r="G313" i="5"/>
  <c r="C316" i="5"/>
  <c r="D316" i="5"/>
  <c r="G316" i="5"/>
  <c r="H316" i="5"/>
  <c r="L316" i="5"/>
  <c r="E316" i="5"/>
  <c r="C321" i="5"/>
  <c r="J321" i="5"/>
  <c r="G321" i="5"/>
  <c r="G331" i="5"/>
  <c r="H331" i="5"/>
  <c r="J331" i="5"/>
  <c r="C331" i="5"/>
  <c r="C339" i="5"/>
  <c r="C338" i="5" s="1"/>
  <c r="D339" i="5"/>
  <c r="D338" i="5" s="1"/>
  <c r="F339" i="5"/>
  <c r="F338" i="5" s="1"/>
  <c r="G339" i="5"/>
  <c r="G338" i="5" s="1"/>
  <c r="H339" i="5"/>
  <c r="H338" i="5" s="1"/>
  <c r="I339" i="5"/>
  <c r="I338" i="5" s="1"/>
  <c r="J339" i="5"/>
  <c r="J338" i="5" s="1"/>
  <c r="L339" i="5"/>
  <c r="L338" i="5" s="1"/>
  <c r="L319" i="5" s="1"/>
  <c r="E339" i="5"/>
  <c r="E338" i="5" s="1"/>
  <c r="C343" i="5"/>
  <c r="J343" i="5"/>
  <c r="L343" i="5"/>
  <c r="C348" i="5"/>
  <c r="D348" i="5"/>
  <c r="E348" i="5"/>
  <c r="F348" i="5"/>
  <c r="G348" i="5"/>
  <c r="H348" i="5"/>
  <c r="I348" i="5"/>
  <c r="J348" i="5"/>
  <c r="L348" i="5"/>
  <c r="C352" i="5"/>
  <c r="D352" i="5"/>
  <c r="F352" i="5"/>
  <c r="G352" i="5"/>
  <c r="J352" i="5"/>
  <c r="L352" i="5"/>
  <c r="E352" i="5"/>
  <c r="C354" i="5"/>
  <c r="E354" i="5"/>
  <c r="G354" i="5"/>
  <c r="H354" i="5"/>
  <c r="L354" i="5"/>
  <c r="F354" i="5"/>
  <c r="J354" i="5"/>
  <c r="D359" i="5"/>
  <c r="G359" i="5"/>
  <c r="H359" i="5"/>
  <c r="I359" i="5"/>
  <c r="J359" i="5"/>
  <c r="L359" i="5"/>
  <c r="E359" i="5"/>
  <c r="C364" i="5"/>
  <c r="D364" i="5"/>
  <c r="E364" i="5"/>
  <c r="G364" i="5"/>
  <c r="H364" i="5"/>
  <c r="I364" i="5"/>
  <c r="J364" i="5"/>
  <c r="L364" i="5"/>
  <c r="F364" i="5"/>
  <c r="C367" i="5"/>
  <c r="D367" i="5"/>
  <c r="E367" i="5"/>
  <c r="F367" i="5"/>
  <c r="G367" i="5"/>
  <c r="H367" i="5"/>
  <c r="I367" i="5"/>
  <c r="J367" i="5"/>
  <c r="L367" i="5"/>
  <c r="C372" i="5"/>
  <c r="D372" i="5"/>
  <c r="E372" i="5"/>
  <c r="F372" i="5"/>
  <c r="G372" i="5"/>
  <c r="H372" i="5"/>
  <c r="I372" i="5"/>
  <c r="J372" i="5"/>
  <c r="L372" i="5"/>
  <c r="C391" i="5"/>
  <c r="H162" i="5" l="1"/>
  <c r="I145" i="5"/>
  <c r="I144" i="5" s="1"/>
  <c r="H145" i="5"/>
  <c r="H248" i="5"/>
  <c r="I21" i="5"/>
  <c r="J166" i="5"/>
  <c r="G342" i="5"/>
  <c r="G320" i="5"/>
  <c r="G319" i="5" s="1"/>
  <c r="I222" i="5"/>
  <c r="G144" i="5"/>
  <c r="H144" i="5" s="1"/>
  <c r="D31" i="5"/>
  <c r="J217" i="5"/>
  <c r="G217" i="5"/>
  <c r="L217" i="5"/>
  <c r="D265" i="5"/>
  <c r="I343" i="5"/>
  <c r="L289" i="5"/>
  <c r="L288" i="5" s="1"/>
  <c r="H313" i="5"/>
  <c r="H307" i="5" s="1"/>
  <c r="C31" i="5"/>
  <c r="I53" i="5"/>
  <c r="L31" i="5"/>
  <c r="L8" i="5" s="1"/>
  <c r="J31" i="5"/>
  <c r="J8" i="5" s="1"/>
  <c r="G31" i="5"/>
  <c r="I10" i="5"/>
  <c r="H63" i="5"/>
  <c r="H281" i="5"/>
  <c r="I241" i="5"/>
  <c r="I77" i="5"/>
  <c r="I395" i="5"/>
  <c r="I69" i="5"/>
  <c r="I296" i="5"/>
  <c r="I63" i="5"/>
  <c r="I354" i="5"/>
  <c r="I168" i="5"/>
  <c r="I167" i="5" s="1"/>
  <c r="G167" i="5"/>
  <c r="I184" i="5"/>
  <c r="I313" i="5"/>
  <c r="I307" i="5" s="1"/>
  <c r="L395" i="5"/>
  <c r="J395" i="5"/>
  <c r="I180" i="5"/>
  <c r="I179" i="5" s="1"/>
  <c r="L299" i="5"/>
  <c r="L298" i="5" s="1"/>
  <c r="I151" i="5"/>
  <c r="I162" i="5"/>
  <c r="I352" i="5"/>
  <c r="I293" i="5"/>
  <c r="I289" i="5" s="1"/>
  <c r="I331" i="5"/>
  <c r="I321" i="5"/>
  <c r="J299" i="5"/>
  <c r="H358" i="5"/>
  <c r="I299" i="5"/>
  <c r="G196" i="5"/>
  <c r="I196" i="5" s="1"/>
  <c r="H366" i="5"/>
  <c r="E366" i="5"/>
  <c r="J358" i="5"/>
  <c r="G299" i="5"/>
  <c r="D299" i="5"/>
  <c r="E358" i="5"/>
  <c r="D307" i="5"/>
  <c r="C307" i="5"/>
  <c r="G280" i="5"/>
  <c r="C280" i="5"/>
  <c r="C265" i="5"/>
  <c r="F331" i="5"/>
  <c r="J320" i="5"/>
  <c r="J319" i="5" s="1"/>
  <c r="G307" i="5"/>
  <c r="H289" i="5"/>
  <c r="H288" i="5" s="1"/>
  <c r="L366" i="5"/>
  <c r="E331" i="5"/>
  <c r="E309" i="5"/>
  <c r="E307" i="5" s="1"/>
  <c r="F289" i="5"/>
  <c r="F288" i="5" s="1"/>
  <c r="D253" i="5"/>
  <c r="L253" i="5"/>
  <c r="L247" i="5" s="1"/>
  <c r="G290" i="5"/>
  <c r="G289" i="5" s="1"/>
  <c r="G288" i="5" s="1"/>
  <c r="F254" i="5"/>
  <c r="C150" i="5"/>
  <c r="G366" i="5"/>
  <c r="H299" i="5"/>
  <c r="J253" i="5"/>
  <c r="F366" i="5"/>
  <c r="F280" i="5"/>
  <c r="I253" i="5"/>
  <c r="C237" i="5"/>
  <c r="H196" i="5"/>
  <c r="C167" i="5"/>
  <c r="D150" i="5"/>
  <c r="C253" i="5"/>
  <c r="F299" i="5"/>
  <c r="E289" i="5"/>
  <c r="H131" i="5"/>
  <c r="G358" i="5"/>
  <c r="F342" i="5"/>
  <c r="C299" i="5"/>
  <c r="C298" i="5" s="1"/>
  <c r="D289" i="5"/>
  <c r="D288" i="5" s="1"/>
  <c r="I275" i="5"/>
  <c r="E222" i="5"/>
  <c r="D131" i="5"/>
  <c r="F21" i="5"/>
  <c r="F9" i="5" s="1"/>
  <c r="D366" i="5"/>
  <c r="I358" i="5"/>
  <c r="F359" i="5"/>
  <c r="F358" i="5" s="1"/>
  <c r="D358" i="5"/>
  <c r="D320" i="5"/>
  <c r="D319" i="5" s="1"/>
  <c r="C289" i="5"/>
  <c r="C288" i="5" s="1"/>
  <c r="J150" i="5"/>
  <c r="C131" i="5"/>
  <c r="F53" i="5"/>
  <c r="C320" i="5"/>
  <c r="C319" i="5" s="1"/>
  <c r="C366" i="5"/>
  <c r="C358" i="5"/>
  <c r="D342" i="5"/>
  <c r="F307" i="5"/>
  <c r="J307" i="5"/>
  <c r="H253" i="5"/>
  <c r="F222" i="5"/>
  <c r="C196" i="5"/>
  <c r="J366" i="5"/>
  <c r="L342" i="5"/>
  <c r="C342" i="5"/>
  <c r="J289" i="5"/>
  <c r="J288" i="5" s="1"/>
  <c r="J280" i="5"/>
  <c r="D237" i="5"/>
  <c r="D217" i="5" s="1"/>
  <c r="D166" i="5" s="1"/>
  <c r="E180" i="5"/>
  <c r="E179" i="5" s="1"/>
  <c r="I366" i="5"/>
  <c r="L358" i="5"/>
  <c r="I280" i="5"/>
  <c r="E257" i="5"/>
  <c r="E253" i="5" s="1"/>
  <c r="L196" i="5"/>
  <c r="E150" i="5"/>
  <c r="E144" i="5"/>
  <c r="J131" i="5"/>
  <c r="F125" i="5"/>
  <c r="F150" i="5"/>
  <c r="E87" i="5"/>
  <c r="F196" i="5"/>
  <c r="E131" i="5"/>
  <c r="F131" i="5"/>
  <c r="F257" i="5"/>
  <c r="G253" i="5"/>
  <c r="J342" i="5"/>
  <c r="G150" i="5"/>
  <c r="F321" i="5"/>
  <c r="F316" i="5"/>
  <c r="I9" i="5" l="1"/>
  <c r="F217" i="5"/>
  <c r="H217" i="5" s="1"/>
  <c r="H222" i="5"/>
  <c r="G8" i="5"/>
  <c r="J124" i="5"/>
  <c r="I217" i="5"/>
  <c r="I166" i="5" s="1"/>
  <c r="H150" i="5"/>
  <c r="H342" i="5"/>
  <c r="I342" i="5"/>
  <c r="L166" i="5"/>
  <c r="H9" i="5"/>
  <c r="D247" i="5"/>
  <c r="G166" i="5"/>
  <c r="D8" i="5"/>
  <c r="H280" i="5"/>
  <c r="I31" i="5"/>
  <c r="F31" i="5"/>
  <c r="I288" i="5"/>
  <c r="I298" i="5"/>
  <c r="I150" i="5"/>
  <c r="G124" i="5"/>
  <c r="I140" i="5"/>
  <c r="I131" i="5" s="1"/>
  <c r="I320" i="5"/>
  <c r="I319" i="5" s="1"/>
  <c r="F320" i="5"/>
  <c r="J298" i="5"/>
  <c r="G298" i="5"/>
  <c r="D298" i="5"/>
  <c r="L124" i="5"/>
  <c r="G265" i="5"/>
  <c r="C247" i="5"/>
  <c r="F253" i="5"/>
  <c r="F247" i="5" s="1"/>
  <c r="E320" i="5"/>
  <c r="E319" i="5" s="1"/>
  <c r="C124" i="5"/>
  <c r="C217" i="5"/>
  <c r="C166" i="5" s="1"/>
  <c r="D124" i="5"/>
  <c r="J247" i="5"/>
  <c r="E247" i="5"/>
  <c r="F124" i="5"/>
  <c r="C8" i="5"/>
  <c r="F298" i="5"/>
  <c r="F166" i="5" l="1"/>
  <c r="H166" i="5" s="1"/>
  <c r="H265" i="5"/>
  <c r="G247" i="5"/>
  <c r="I247" i="5" s="1"/>
  <c r="I265" i="5"/>
  <c r="J374" i="5"/>
  <c r="J392" i="5" s="1"/>
  <c r="J394" i="5" s="1"/>
  <c r="J404" i="5" s="1"/>
  <c r="H298" i="5"/>
  <c r="E298" i="5"/>
  <c r="D374" i="5"/>
  <c r="D392" i="5" s="1"/>
  <c r="D394" i="5" s="1"/>
  <c r="D407" i="5" s="1"/>
  <c r="H124" i="5"/>
  <c r="F319" i="5"/>
  <c r="H320" i="5"/>
  <c r="H319" i="5" s="1"/>
  <c r="F8" i="5"/>
  <c r="H31" i="5"/>
  <c r="L374" i="5"/>
  <c r="L392" i="5" s="1"/>
  <c r="L394" i="5" s="1"/>
  <c r="L404" i="5" s="1"/>
  <c r="I124" i="5"/>
  <c r="I8" i="5"/>
  <c r="C374" i="5"/>
  <c r="C392" i="5" s="1"/>
  <c r="C394" i="5" l="1"/>
  <c r="E394" i="5" s="1"/>
  <c r="E392" i="5"/>
  <c r="G374" i="5"/>
  <c r="G392" i="5" s="1"/>
  <c r="F374" i="5"/>
  <c r="H8" i="5"/>
  <c r="H247" i="5"/>
  <c r="I374" i="5"/>
  <c r="L407" i="5"/>
  <c r="J407" i="5"/>
  <c r="I6" i="1"/>
  <c r="J6" i="1"/>
  <c r="I14" i="1"/>
  <c r="J14" i="1"/>
  <c r="K14" i="1"/>
  <c r="I17" i="1"/>
  <c r="J17" i="1"/>
  <c r="K30" i="1"/>
  <c r="I32" i="1"/>
  <c r="J32" i="1"/>
  <c r="I59" i="1"/>
  <c r="J59" i="1"/>
  <c r="I61" i="1"/>
  <c r="J61" i="1"/>
  <c r="I67" i="1"/>
  <c r="J67" i="1"/>
  <c r="I71" i="1"/>
  <c r="J71" i="1"/>
  <c r="I74" i="1"/>
  <c r="J74" i="1"/>
  <c r="K85" i="1"/>
  <c r="I86" i="1"/>
  <c r="J86" i="1"/>
  <c r="I88" i="1"/>
  <c r="J88" i="1"/>
  <c r="I91" i="1"/>
  <c r="J91" i="1"/>
  <c r="I93" i="1"/>
  <c r="J93" i="1"/>
  <c r="I96" i="1"/>
  <c r="J96" i="1"/>
  <c r="I100" i="1"/>
  <c r="J100" i="1"/>
  <c r="K101" i="1"/>
  <c r="I104" i="1"/>
  <c r="J104" i="1"/>
  <c r="I106" i="1"/>
  <c r="J106" i="1"/>
  <c r="K107" i="1"/>
  <c r="I109" i="1"/>
  <c r="J109" i="1"/>
  <c r="I112" i="1"/>
  <c r="J112" i="1"/>
  <c r="I115" i="1"/>
  <c r="J115" i="1"/>
  <c r="I120" i="1"/>
  <c r="J120" i="1"/>
  <c r="I124" i="1"/>
  <c r="J124" i="1"/>
  <c r="I135" i="1"/>
  <c r="J135" i="1"/>
  <c r="I140" i="1"/>
  <c r="J140" i="1"/>
  <c r="I142" i="1"/>
  <c r="J142" i="1"/>
  <c r="I144" i="1"/>
  <c r="J144" i="1"/>
  <c r="I147" i="1"/>
  <c r="J147" i="1"/>
  <c r="K148" i="1"/>
  <c r="I149" i="1"/>
  <c r="J149" i="1"/>
  <c r="I152" i="1"/>
  <c r="J152" i="1"/>
  <c r="I158" i="1"/>
  <c r="J158" i="1"/>
  <c r="K159" i="1"/>
  <c r="I161" i="1"/>
  <c r="J161" i="1"/>
  <c r="I163" i="1"/>
  <c r="J163" i="1"/>
  <c r="K164" i="1"/>
  <c r="K165" i="1"/>
  <c r="I167" i="1"/>
  <c r="J167" i="1"/>
  <c r="K168" i="1"/>
  <c r="K172" i="1"/>
  <c r="I174" i="1"/>
  <c r="I166" i="1" s="1"/>
  <c r="J174" i="1"/>
  <c r="K174" i="1" s="1"/>
  <c r="K180" i="1"/>
  <c r="I184" i="1"/>
  <c r="J184" i="1"/>
  <c r="I186" i="1"/>
  <c r="J186" i="1"/>
  <c r="I189" i="1"/>
  <c r="K190" i="1"/>
  <c r="I192" i="1"/>
  <c r="J192" i="1"/>
  <c r="I194" i="1"/>
  <c r="J194" i="1"/>
  <c r="K195" i="1"/>
  <c r="I199" i="1"/>
  <c r="I198" i="1" s="1"/>
  <c r="J199" i="1"/>
  <c r="J201" i="1"/>
  <c r="I204" i="1"/>
  <c r="J204" i="1"/>
  <c r="K205" i="1"/>
  <c r="I206" i="1"/>
  <c r="J206" i="1"/>
  <c r="I208" i="1"/>
  <c r="J208" i="1"/>
  <c r="I210" i="1"/>
  <c r="J210" i="1"/>
  <c r="K211" i="1"/>
  <c r="I213" i="1"/>
  <c r="K216" i="1"/>
  <c r="K217" i="1"/>
  <c r="K219" i="1"/>
  <c r="K222" i="1"/>
  <c r="I223" i="1"/>
  <c r="J223" i="1"/>
  <c r="K224" i="1"/>
  <c r="I226" i="1"/>
  <c r="J226" i="1"/>
  <c r="I235" i="1"/>
  <c r="J235" i="1"/>
  <c r="K235" i="1"/>
  <c r="I240" i="1"/>
  <c r="I241" i="1"/>
  <c r="J242" i="1"/>
  <c r="J245" i="1" s="1"/>
  <c r="I244" i="1"/>
  <c r="K244" i="1"/>
  <c r="K245" i="1"/>
  <c r="H374" i="5" l="1"/>
  <c r="I392" i="5"/>
  <c r="F392" i="5"/>
  <c r="F394" i="5" s="1"/>
  <c r="I151" i="1"/>
  <c r="J108" i="1"/>
  <c r="I108" i="1"/>
  <c r="I31" i="1"/>
  <c r="G394" i="5"/>
  <c r="G404" i="5" s="1"/>
  <c r="I245" i="1"/>
  <c r="K223" i="1"/>
  <c r="K210" i="1"/>
  <c r="J183" i="1"/>
  <c r="J198" i="1"/>
  <c r="K106" i="1"/>
  <c r="K161" i="1"/>
  <c r="J139" i="1"/>
  <c r="I139" i="1"/>
  <c r="I114" i="1"/>
  <c r="J73" i="1"/>
  <c r="J146" i="1"/>
  <c r="J114" i="1"/>
  <c r="I73" i="1"/>
  <c r="I183" i="1"/>
  <c r="I146" i="1"/>
  <c r="J31" i="1"/>
  <c r="I212" i="1"/>
  <c r="I203" i="1"/>
  <c r="J203" i="1"/>
  <c r="I188" i="1"/>
  <c r="J166" i="1"/>
  <c r="J103" i="1"/>
  <c r="I103" i="1"/>
  <c r="J90" i="1"/>
  <c r="I90" i="1"/>
  <c r="K100" i="1"/>
  <c r="J5" i="1"/>
  <c r="I5" i="1"/>
  <c r="K152" i="1"/>
  <c r="J151" i="1"/>
  <c r="K151" i="1" s="1"/>
  <c r="K229" i="1"/>
  <c r="J189" i="1"/>
  <c r="J188" i="1" s="1"/>
  <c r="K188" i="1" s="1"/>
  <c r="J213" i="1"/>
  <c r="J212" i="1" s="1"/>
  <c r="K162" i="1"/>
  <c r="K193" i="1"/>
  <c r="K153" i="1"/>
  <c r="H392" i="5" l="1"/>
  <c r="I394" i="5"/>
  <c r="I404" i="5" s="1"/>
  <c r="I417" i="5"/>
  <c r="G407" i="5"/>
  <c r="H394" i="5"/>
  <c r="I225" i="1"/>
  <c r="I238" i="1" s="1"/>
  <c r="J225" i="1"/>
  <c r="K225" i="1" l="1"/>
  <c r="J238" i="1"/>
  <c r="N244" i="1"/>
  <c r="L34" i="1"/>
  <c r="H34" i="1"/>
  <c r="H178" i="1"/>
  <c r="H133" i="1"/>
  <c r="K238" i="1" l="1"/>
  <c r="L130" i="1" l="1"/>
  <c r="H132" i="1"/>
  <c r="L131" i="1"/>
  <c r="H72" i="1"/>
  <c r="H58" i="1"/>
  <c r="H57" i="1"/>
  <c r="H214" i="1"/>
  <c r="H232" i="1"/>
  <c r="H13" i="1"/>
  <c r="L172" i="1"/>
  <c r="E84" i="1"/>
  <c r="H131" i="1" l="1"/>
  <c r="H130" i="1"/>
  <c r="L45" i="1"/>
  <c r="E45" i="1" l="1"/>
  <c r="H241" i="1" l="1"/>
  <c r="L165" i="1" l="1"/>
  <c r="M163" i="1"/>
  <c r="G163" i="1"/>
  <c r="F163" i="1"/>
  <c r="D163" i="1"/>
  <c r="C163" i="1"/>
  <c r="H244" i="1" l="1"/>
  <c r="M244" i="1"/>
  <c r="F124" i="1"/>
  <c r="L129" i="1"/>
  <c r="H129" i="1"/>
  <c r="L244" i="1"/>
  <c r="G245" i="1" l="1"/>
  <c r="F245" i="1"/>
  <c r="H243" i="1"/>
  <c r="H242" i="1"/>
  <c r="H240" i="1"/>
  <c r="H78" i="1"/>
  <c r="E44" i="1"/>
  <c r="H36" i="1"/>
  <c r="L36" i="1"/>
  <c r="H128" i="1"/>
  <c r="H219" i="1"/>
  <c r="K247" i="1" l="1"/>
  <c r="H245" i="1"/>
  <c r="H191" i="1"/>
  <c r="C17" i="1" l="1"/>
  <c r="F32" i="1"/>
  <c r="F74" i="1"/>
  <c r="M124" i="1"/>
  <c r="G124" i="1"/>
  <c r="D124" i="1"/>
  <c r="C124" i="1"/>
  <c r="M167" i="1"/>
  <c r="G167" i="1"/>
  <c r="F167" i="1"/>
  <c r="D167" i="1"/>
  <c r="C167" i="1"/>
  <c r="C166" i="1"/>
  <c r="M226" i="1"/>
  <c r="G226" i="1"/>
  <c r="F226" i="1"/>
  <c r="D226" i="1"/>
  <c r="C226" i="1"/>
  <c r="E127" i="1"/>
  <c r="E18" i="1"/>
  <c r="E52" i="1"/>
  <c r="E79" i="1"/>
  <c r="L126" i="1"/>
  <c r="E126" i="1"/>
  <c r="E125" i="1"/>
  <c r="L125" i="1"/>
  <c r="E78" i="1"/>
  <c r="E50" i="1"/>
  <c r="E51" i="1"/>
  <c r="C32" i="1"/>
  <c r="D32" i="1"/>
  <c r="C74" i="1" l="1"/>
  <c r="E81" i="1"/>
  <c r="E77" i="1"/>
  <c r="N245" i="1"/>
  <c r="M245" i="1"/>
  <c r="L245" i="1"/>
  <c r="H224" i="1" l="1"/>
  <c r="H185" i="1"/>
  <c r="L177" i="1"/>
  <c r="L176" i="1"/>
  <c r="H177" i="1"/>
  <c r="H176" i="1"/>
  <c r="H137" i="1"/>
  <c r="L23" i="1" l="1"/>
  <c r="L24" i="1"/>
  <c r="L25" i="1"/>
  <c r="F256" i="1"/>
  <c r="H117" i="1" l="1"/>
  <c r="M135" i="1"/>
  <c r="N135" i="1"/>
  <c r="F135" i="1"/>
  <c r="H92" i="1"/>
  <c r="L65" i="1"/>
  <c r="L38" i="1"/>
  <c r="H38" i="1"/>
  <c r="H220" i="1"/>
  <c r="L138" i="1"/>
  <c r="H228" i="1"/>
  <c r="L133" i="1"/>
  <c r="H236" i="1"/>
  <c r="L236" i="1"/>
  <c r="L179" i="1"/>
  <c r="D135" i="1"/>
  <c r="C135" i="1"/>
  <c r="L136" i="1"/>
  <c r="D257" i="1" l="1"/>
  <c r="G135" i="1"/>
  <c r="H138" i="1"/>
  <c r="L127" i="1"/>
  <c r="E76" i="1"/>
  <c r="E75" i="1"/>
  <c r="E22" i="1"/>
  <c r="E41" i="1" l="1"/>
  <c r="G6" i="1" l="1"/>
  <c r="L209" i="1"/>
  <c r="L222" i="1"/>
  <c r="H233" i="1"/>
  <c r="H65" i="1"/>
  <c r="L64" i="1"/>
  <c r="H26" i="1"/>
  <c r="H25" i="1"/>
  <c r="F17" i="1"/>
  <c r="H27" i="1"/>
  <c r="H28" i="1"/>
  <c r="M70" i="1"/>
  <c r="H121" i="1" l="1"/>
  <c r="E49" i="1"/>
  <c r="E227" i="1"/>
  <c r="H43" i="1"/>
  <c r="H47" i="1"/>
  <c r="H37" i="1" l="1"/>
  <c r="H35" i="1"/>
  <c r="G32" i="1" l="1"/>
  <c r="L230" i="1" l="1"/>
  <c r="L232" i="1"/>
  <c r="D235" i="1" l="1"/>
  <c r="D201" i="1"/>
  <c r="C201" i="1"/>
  <c r="N67" i="1"/>
  <c r="M67" i="1"/>
  <c r="G67" i="1"/>
  <c r="F67" i="1"/>
  <c r="D67" i="1"/>
  <c r="C67" i="1"/>
  <c r="D6" i="1"/>
  <c r="L9" i="1"/>
  <c r="D259" i="1"/>
  <c r="L39" i="1"/>
  <c r="D258" i="1"/>
  <c r="L82" i="1"/>
  <c r="H67" i="1" l="1"/>
  <c r="L53" i="1"/>
  <c r="L81" i="1"/>
  <c r="L7" i="1" l="1"/>
  <c r="L40" i="1"/>
  <c r="D213" i="1" l="1"/>
  <c r="L22" i="1"/>
  <c r="M152" i="1"/>
  <c r="N152" i="1"/>
  <c r="G152" i="1"/>
  <c r="F152" i="1"/>
  <c r="D152" i="1"/>
  <c r="C152" i="1"/>
  <c r="L157" i="1"/>
  <c r="L102" i="1"/>
  <c r="L16" i="1"/>
  <c r="N235" i="1"/>
  <c r="M235" i="1"/>
  <c r="G235" i="1"/>
  <c r="F235" i="1"/>
  <c r="C235" i="1"/>
  <c r="L235" i="1" l="1"/>
  <c r="E14" i="1" l="1"/>
  <c r="F14" i="1"/>
  <c r="G14" i="1"/>
  <c r="M14" i="1"/>
  <c r="N14" i="1"/>
  <c r="D14" i="1"/>
  <c r="L19" i="1"/>
  <c r="L220" i="1"/>
  <c r="L83" i="1" l="1"/>
  <c r="G120" i="1" l="1"/>
  <c r="F120" i="1"/>
  <c r="L15" i="1"/>
  <c r="L14" i="1" s="1"/>
  <c r="L72" i="1"/>
  <c r="L69" i="1"/>
  <c r="L211" i="1"/>
  <c r="L122" i="1"/>
  <c r="H120" i="1" l="1"/>
  <c r="F6" i="1"/>
  <c r="H6" i="1" s="1"/>
  <c r="L48" i="1"/>
  <c r="C14" i="1"/>
  <c r="L37" i="1" l="1"/>
  <c r="N61" i="1" l="1"/>
  <c r="M61" i="1"/>
  <c r="G61" i="1"/>
  <c r="F61" i="1"/>
  <c r="D61" i="1"/>
  <c r="C61" i="1"/>
  <c r="L66" i="1"/>
  <c r="L63" i="1"/>
  <c r="L62" i="1"/>
  <c r="N93" i="1"/>
  <c r="M93" i="1"/>
  <c r="G93" i="1"/>
  <c r="F93" i="1"/>
  <c r="D93" i="1"/>
  <c r="C93" i="1"/>
  <c r="L95" i="1"/>
  <c r="H61" i="1" l="1"/>
  <c r="G189" i="1"/>
  <c r="F189" i="1"/>
  <c r="D189" i="1"/>
  <c r="C189" i="1"/>
  <c r="N100" i="1"/>
  <c r="M100" i="1"/>
  <c r="G100" i="1"/>
  <c r="F100" i="1"/>
  <c r="D100" i="1"/>
  <c r="C100" i="1"/>
  <c r="L111" i="1"/>
  <c r="L110" i="1"/>
  <c r="H189" i="1" l="1"/>
  <c r="L221" i="1"/>
  <c r="L219" i="1"/>
  <c r="L218" i="1"/>
  <c r="L217" i="1"/>
  <c r="L216" i="1"/>
  <c r="L215" i="1"/>
  <c r="L214" i="1"/>
  <c r="L224" i="1"/>
  <c r="L207" i="1"/>
  <c r="L205" i="1"/>
  <c r="L202" i="1"/>
  <c r="L200" i="1"/>
  <c r="L197" i="1"/>
  <c r="L196" i="1"/>
  <c r="L195" i="1"/>
  <c r="L193" i="1"/>
  <c r="L191" i="1"/>
  <c r="L190" i="1"/>
  <c r="L185" i="1"/>
  <c r="L181" i="1"/>
  <c r="L180" i="1"/>
  <c r="L171" i="1"/>
  <c r="L170" i="1"/>
  <c r="L162" i="1"/>
  <c r="L160" i="1"/>
  <c r="L159" i="1"/>
  <c r="L156" i="1"/>
  <c r="L155" i="1"/>
  <c r="L154" i="1"/>
  <c r="L153" i="1"/>
  <c r="L150" i="1"/>
  <c r="L148" i="1"/>
  <c r="L145" i="1"/>
  <c r="L143" i="1"/>
  <c r="L141" i="1"/>
  <c r="L137" i="1"/>
  <c r="L135" i="1" s="1"/>
  <c r="L123" i="1"/>
  <c r="L121" i="1"/>
  <c r="L119" i="1"/>
  <c r="L118" i="1"/>
  <c r="L117" i="1"/>
  <c r="L116" i="1"/>
  <c r="L134" i="1"/>
  <c r="L132" i="1"/>
  <c r="L107" i="1"/>
  <c r="L105" i="1"/>
  <c r="L101" i="1"/>
  <c r="L99" i="1"/>
  <c r="L98" i="1"/>
  <c r="L97" i="1"/>
  <c r="L92" i="1"/>
  <c r="L94" i="1"/>
  <c r="L85" i="1"/>
  <c r="L84" i="1"/>
  <c r="L80" i="1"/>
  <c r="L79" i="1"/>
  <c r="L78" i="1"/>
  <c r="L76" i="1"/>
  <c r="L75" i="1"/>
  <c r="L30" i="1"/>
  <c r="L29" i="1"/>
  <c r="L28" i="1"/>
  <c r="L27" i="1"/>
  <c r="L26" i="1"/>
  <c r="L10" i="1"/>
  <c r="L12" i="1"/>
  <c r="L13" i="1"/>
  <c r="L8" i="1"/>
  <c r="L164" i="1"/>
  <c r="L163" i="1" s="1"/>
  <c r="L178" i="1"/>
  <c r="L175" i="1"/>
  <c r="L182" i="1"/>
  <c r="L168" i="1"/>
  <c r="L169" i="1"/>
  <c r="L167" i="1" l="1"/>
  <c r="L213" i="1"/>
  <c r="L152" i="1"/>
  <c r="L35" i="1" l="1"/>
  <c r="L42" i="1"/>
  <c r="L46" i="1"/>
  <c r="L49" i="1"/>
  <c r="L50" i="1"/>
  <c r="L51" i="1"/>
  <c r="L52" i="1"/>
  <c r="L54" i="1"/>
  <c r="L55" i="1"/>
  <c r="L56" i="1"/>
  <c r="L57" i="1"/>
  <c r="L58" i="1"/>
  <c r="L33" i="1"/>
  <c r="L128" i="1"/>
  <c r="L124" i="1" s="1"/>
  <c r="H135" i="1" l="1"/>
  <c r="N124" i="1"/>
  <c r="L228" i="1"/>
  <c r="L229" i="1"/>
  <c r="L231" i="1"/>
  <c r="L233" i="1"/>
  <c r="L234" i="1"/>
  <c r="L227" i="1"/>
  <c r="L11" i="1"/>
  <c r="L43" i="1"/>
  <c r="L77" i="1"/>
  <c r="L18" i="1"/>
  <c r="L47" i="1"/>
  <c r="L44" i="1"/>
  <c r="L41" i="1"/>
  <c r="L21" i="1"/>
  <c r="L20" i="1"/>
  <c r="N210" i="1"/>
  <c r="M210" i="1"/>
  <c r="L210" i="1"/>
  <c r="G210" i="1"/>
  <c r="F210" i="1"/>
  <c r="D210" i="1"/>
  <c r="C210" i="1"/>
  <c r="N208" i="1"/>
  <c r="M208" i="1"/>
  <c r="L208" i="1"/>
  <c r="G208" i="1"/>
  <c r="F208" i="1"/>
  <c r="D208" i="1"/>
  <c r="C208" i="1"/>
  <c r="N213" i="1"/>
  <c r="M213" i="1"/>
  <c r="G213" i="1"/>
  <c r="F213" i="1"/>
  <c r="C213" i="1"/>
  <c r="N223" i="1"/>
  <c r="M223" i="1"/>
  <c r="L223" i="1"/>
  <c r="G223" i="1"/>
  <c r="F223" i="1"/>
  <c r="D223" i="1"/>
  <c r="C223" i="1"/>
  <c r="N194" i="1"/>
  <c r="M194" i="1"/>
  <c r="L194" i="1"/>
  <c r="G194" i="1"/>
  <c r="F194" i="1"/>
  <c r="D194" i="1"/>
  <c r="C194" i="1"/>
  <c r="L212" i="1" l="1"/>
  <c r="L226" i="1"/>
  <c r="H223" i="1"/>
  <c r="H213" i="1"/>
  <c r="H124" i="1"/>
  <c r="M212" i="1"/>
  <c r="C212" i="1"/>
  <c r="N212" i="1"/>
  <c r="D212" i="1"/>
  <c r="F212" i="1"/>
  <c r="G212" i="1"/>
  <c r="H212" i="1" l="1"/>
  <c r="H226" i="1"/>
  <c r="D147" i="1" l="1"/>
  <c r="G17" i="1" l="1"/>
  <c r="G5" i="1" s="1"/>
  <c r="N226" i="1"/>
  <c r="N17" i="1"/>
  <c r="M17" i="1"/>
  <c r="F5" i="1"/>
  <c r="H17" i="1" l="1"/>
  <c r="H5" i="1"/>
  <c r="D245" i="1" l="1"/>
  <c r="H33" i="1"/>
  <c r="N206" i="1" l="1"/>
  <c r="M206" i="1"/>
  <c r="G206" i="1"/>
  <c r="F206" i="1"/>
  <c r="D206" i="1"/>
  <c r="C206" i="1"/>
  <c r="N204" i="1"/>
  <c r="M204" i="1"/>
  <c r="G204" i="1"/>
  <c r="F204" i="1"/>
  <c r="D204" i="1"/>
  <c r="C204" i="1"/>
  <c r="F203" i="1" l="1"/>
  <c r="D203" i="1"/>
  <c r="G203" i="1"/>
  <c r="M203" i="1"/>
  <c r="N203" i="1"/>
  <c r="C203" i="1"/>
  <c r="L204" i="1"/>
  <c r="L206" i="1"/>
  <c r="L203" i="1" l="1"/>
  <c r="N158" i="1"/>
  <c r="M158" i="1"/>
  <c r="G158" i="1"/>
  <c r="F158" i="1"/>
  <c r="D158" i="1"/>
  <c r="C158" i="1"/>
  <c r="N96" i="1" l="1"/>
  <c r="M96" i="1"/>
  <c r="G96" i="1"/>
  <c r="F96" i="1"/>
  <c r="D96" i="1"/>
  <c r="C96" i="1"/>
  <c r="D17" i="1" l="1"/>
  <c r="N6" i="1"/>
  <c r="M6" i="1"/>
  <c r="L6" i="1"/>
  <c r="C6" i="1"/>
  <c r="D5" i="1" l="1"/>
  <c r="E17" i="1"/>
  <c r="I7" i="3"/>
  <c r="N32" i="1" l="1"/>
  <c r="M32" i="1"/>
  <c r="H32" i="1"/>
  <c r="H8" i="3" l="1"/>
  <c r="D249" i="1"/>
  <c r="F253" i="1"/>
  <c r="H9" i="3"/>
  <c r="D240" i="1"/>
  <c r="D255" i="1" l="1"/>
  <c r="N74" i="1"/>
  <c r="M74" i="1"/>
  <c r="G74" i="1"/>
  <c r="H74" i="1" l="1"/>
  <c r="D74" i="1"/>
  <c r="L74" i="1" l="1"/>
  <c r="E74" i="1"/>
  <c r="E32" i="1"/>
  <c r="B6" i="3"/>
  <c r="L32" i="1" l="1"/>
  <c r="H6" i="3"/>
  <c r="N201" i="1"/>
  <c r="M201" i="1"/>
  <c r="N199" i="1"/>
  <c r="M199" i="1"/>
  <c r="F201" i="1"/>
  <c r="G199" i="1"/>
  <c r="F199" i="1"/>
  <c r="D199" i="1"/>
  <c r="C199" i="1"/>
  <c r="N192" i="1"/>
  <c r="M192" i="1"/>
  <c r="N189" i="1"/>
  <c r="M189" i="1"/>
  <c r="G192" i="1"/>
  <c r="F192" i="1"/>
  <c r="D192" i="1"/>
  <c r="C192" i="1"/>
  <c r="N186" i="1"/>
  <c r="M186" i="1"/>
  <c r="N184" i="1"/>
  <c r="M184" i="1"/>
  <c r="G186" i="1"/>
  <c r="F186" i="1"/>
  <c r="G184" i="1"/>
  <c r="F184" i="1"/>
  <c r="D184" i="1"/>
  <c r="D186" i="1"/>
  <c r="C186" i="1"/>
  <c r="C184" i="1"/>
  <c r="N174" i="1"/>
  <c r="M174" i="1"/>
  <c r="N167" i="1"/>
  <c r="G174" i="1"/>
  <c r="F174" i="1"/>
  <c r="D174" i="1"/>
  <c r="C174" i="1"/>
  <c r="H184" i="1" l="1"/>
  <c r="G188" i="1"/>
  <c r="C188" i="1"/>
  <c r="C198" i="1"/>
  <c r="F188" i="1"/>
  <c r="M188" i="1"/>
  <c r="D188" i="1"/>
  <c r="L174" i="1"/>
  <c r="L186" i="1"/>
  <c r="L192" i="1"/>
  <c r="L201" i="1"/>
  <c r="L199" i="1"/>
  <c r="L184" i="1"/>
  <c r="L189" i="1"/>
  <c r="F183" i="1"/>
  <c r="M183" i="1"/>
  <c r="F198" i="1"/>
  <c r="M198" i="1"/>
  <c r="G183" i="1"/>
  <c r="N183" i="1"/>
  <c r="G198" i="1"/>
  <c r="M166" i="1"/>
  <c r="C183" i="1"/>
  <c r="D166" i="1"/>
  <c r="F166" i="1"/>
  <c r="D183" i="1"/>
  <c r="N188" i="1"/>
  <c r="G166" i="1"/>
  <c r="N198" i="1"/>
  <c r="N166" i="1"/>
  <c r="D198" i="1"/>
  <c r="N163" i="1"/>
  <c r="N161" i="1"/>
  <c r="M161" i="1"/>
  <c r="G161" i="1"/>
  <c r="F161" i="1"/>
  <c r="D161" i="1"/>
  <c r="C161" i="1"/>
  <c r="N149" i="1"/>
  <c r="M149" i="1"/>
  <c r="N147" i="1"/>
  <c r="M147" i="1"/>
  <c r="G149" i="1"/>
  <c r="F149" i="1"/>
  <c r="G147" i="1"/>
  <c r="F147" i="1"/>
  <c r="D149" i="1"/>
  <c r="C149" i="1"/>
  <c r="C147" i="1"/>
  <c r="N144" i="1"/>
  <c r="M144" i="1"/>
  <c r="G144" i="1"/>
  <c r="F144" i="1"/>
  <c r="D144" i="1"/>
  <c r="C144" i="1"/>
  <c r="N142" i="1"/>
  <c r="M142" i="1"/>
  <c r="G142" i="1"/>
  <c r="F142" i="1"/>
  <c r="D142" i="1"/>
  <c r="C142" i="1"/>
  <c r="N140" i="1"/>
  <c r="M140" i="1"/>
  <c r="G140" i="1"/>
  <c r="F140" i="1"/>
  <c r="D140" i="1"/>
  <c r="C140" i="1"/>
  <c r="N120" i="1"/>
  <c r="M120" i="1"/>
  <c r="D120" i="1"/>
  <c r="C120" i="1"/>
  <c r="N115" i="1"/>
  <c r="M115" i="1"/>
  <c r="G115" i="1"/>
  <c r="F115" i="1"/>
  <c r="D115" i="1"/>
  <c r="C115" i="1"/>
  <c r="N112" i="1"/>
  <c r="M112" i="1"/>
  <c r="G112" i="1"/>
  <c r="F112" i="1"/>
  <c r="D112" i="1"/>
  <c r="C112" i="1"/>
  <c r="N109" i="1"/>
  <c r="M109" i="1"/>
  <c r="F109" i="1"/>
  <c r="D109" i="1"/>
  <c r="C109" i="1"/>
  <c r="N106" i="1"/>
  <c r="M106" i="1"/>
  <c r="G106" i="1"/>
  <c r="F106" i="1"/>
  <c r="N104" i="1"/>
  <c r="M104" i="1"/>
  <c r="G104" i="1"/>
  <c r="F104" i="1"/>
  <c r="D106" i="1"/>
  <c r="C106" i="1"/>
  <c r="D104" i="1"/>
  <c r="C104" i="1"/>
  <c r="N91" i="1"/>
  <c r="M91" i="1"/>
  <c r="G91" i="1"/>
  <c r="F91" i="1"/>
  <c r="D91" i="1"/>
  <c r="C91" i="1"/>
  <c r="N88" i="1"/>
  <c r="M88" i="1"/>
  <c r="G88" i="1"/>
  <c r="F88" i="1"/>
  <c r="D88" i="1"/>
  <c r="C88" i="1"/>
  <c r="N86" i="1"/>
  <c r="M86" i="1"/>
  <c r="G86" i="1"/>
  <c r="F86" i="1"/>
  <c r="D86" i="1"/>
  <c r="C86" i="1"/>
  <c r="H183" i="1" l="1"/>
  <c r="G114" i="1"/>
  <c r="H115" i="1"/>
  <c r="H91" i="1"/>
  <c r="D114" i="1"/>
  <c r="C114" i="1"/>
  <c r="L166" i="1"/>
  <c r="L188" i="1"/>
  <c r="N114" i="1"/>
  <c r="M114" i="1"/>
  <c r="F114" i="1"/>
  <c r="M139" i="1"/>
  <c r="M73" i="1"/>
  <c r="M90" i="1"/>
  <c r="L198" i="1"/>
  <c r="L158" i="1"/>
  <c r="L161" i="1"/>
  <c r="L88" i="1"/>
  <c r="L96" i="1"/>
  <c r="L104" i="1"/>
  <c r="N103" i="1"/>
  <c r="L109" i="1"/>
  <c r="L112" i="1"/>
  <c r="L115" i="1"/>
  <c r="L120" i="1"/>
  <c r="L140" i="1"/>
  <c r="L142" i="1"/>
  <c r="L144" i="1"/>
  <c r="L86" i="1"/>
  <c r="L93" i="1"/>
  <c r="L147" i="1"/>
  <c r="L91" i="1"/>
  <c r="L100" i="1"/>
  <c r="L106" i="1"/>
  <c r="L149" i="1"/>
  <c r="L183" i="1"/>
  <c r="M146" i="1"/>
  <c r="D146" i="1"/>
  <c r="F90" i="1"/>
  <c r="C151" i="1"/>
  <c r="F146" i="1"/>
  <c r="N146" i="1"/>
  <c r="M151" i="1"/>
  <c r="G103" i="1"/>
  <c r="N151" i="1"/>
  <c r="C146" i="1"/>
  <c r="F151" i="1"/>
  <c r="D151" i="1"/>
  <c r="G146" i="1"/>
  <c r="G151" i="1"/>
  <c r="C139" i="1"/>
  <c r="N139" i="1"/>
  <c r="F139" i="1"/>
  <c r="G139" i="1"/>
  <c r="D139" i="1"/>
  <c r="M108" i="1"/>
  <c r="N108" i="1"/>
  <c r="F108" i="1"/>
  <c r="G108" i="1"/>
  <c r="D108" i="1"/>
  <c r="C108" i="1"/>
  <c r="M103" i="1"/>
  <c r="F103" i="1"/>
  <c r="D103" i="1"/>
  <c r="F73" i="1"/>
  <c r="C103" i="1"/>
  <c r="N90" i="1"/>
  <c r="G90" i="1"/>
  <c r="D90" i="1"/>
  <c r="C90" i="1"/>
  <c r="N73" i="1"/>
  <c r="G73" i="1"/>
  <c r="D73" i="1"/>
  <c r="C73" i="1"/>
  <c r="N71" i="1"/>
  <c r="M71" i="1"/>
  <c r="G71" i="1"/>
  <c r="F71" i="1"/>
  <c r="D71" i="1"/>
  <c r="C71" i="1"/>
  <c r="N59" i="1"/>
  <c r="M59" i="1"/>
  <c r="G59" i="1"/>
  <c r="F59" i="1"/>
  <c r="D59" i="1"/>
  <c r="C59" i="1"/>
  <c r="N5" i="1"/>
  <c r="M5" i="1"/>
  <c r="L5" i="1"/>
  <c r="C5" i="1"/>
  <c r="E5" i="1" s="1"/>
  <c r="D31" i="1" l="1"/>
  <c r="C31" i="1"/>
  <c r="E73" i="1"/>
  <c r="H114" i="1"/>
  <c r="H90" i="1"/>
  <c r="H73" i="1"/>
  <c r="L114" i="1"/>
  <c r="G31" i="1"/>
  <c r="G225" i="1" s="1"/>
  <c r="M31" i="1"/>
  <c r="M225" i="1" s="1"/>
  <c r="N31" i="1"/>
  <c r="N225" i="1" s="1"/>
  <c r="N238" i="1" s="1"/>
  <c r="F31" i="1"/>
  <c r="L61" i="1"/>
  <c r="L71" i="1"/>
  <c r="L108" i="1"/>
  <c r="L67" i="1"/>
  <c r="L73" i="1"/>
  <c r="L139" i="1"/>
  <c r="L151" i="1"/>
  <c r="L59" i="1"/>
  <c r="L146" i="1"/>
  <c r="L90" i="1"/>
  <c r="L103" i="1"/>
  <c r="L17" i="1"/>
  <c r="C225" i="1"/>
  <c r="F225" i="1" l="1"/>
  <c r="F238" i="1" s="1"/>
  <c r="H31" i="1"/>
  <c r="L31" i="1"/>
  <c r="D225" i="1"/>
  <c r="E225" i="1" s="1"/>
  <c r="E31" i="1"/>
  <c r="M238" i="1"/>
  <c r="C238" i="1"/>
  <c r="D246" i="1" l="1"/>
  <c r="L225" i="1"/>
  <c r="L238" i="1" s="1"/>
  <c r="G238" i="1"/>
  <c r="H238" i="1" s="1"/>
  <c r="H225" i="1"/>
  <c r="D238" i="1"/>
  <c r="I256" i="1" l="1"/>
  <c r="F254" i="1"/>
  <c r="F255" i="1" s="1"/>
  <c r="F260" i="1" s="1"/>
  <c r="D241" i="1"/>
  <c r="I6" i="3"/>
  <c r="J6" i="3" s="1"/>
  <c r="J7" i="3" s="1"/>
  <c r="F263" i="1" l="1"/>
</calcChain>
</file>

<file path=xl/sharedStrings.xml><?xml version="1.0" encoding="utf-8"?>
<sst xmlns="http://schemas.openxmlformats.org/spreadsheetml/2006/main" count="1160" uniqueCount="1018">
  <si>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</si>
  <si>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</si>
  <si>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</si>
  <si>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</si>
  <si>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</si>
  <si>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</si>
  <si>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01.4.00</t>
  </si>
  <si>
    <t>Ведомственная целевая программа "Сохранение и развитие культуры Тутаевского муниципального района"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</si>
  <si>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</si>
  <si>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</si>
  <si>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</si>
  <si>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</si>
  <si>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</si>
  <si>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</si>
  <si>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</si>
  <si>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</si>
  <si>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</si>
  <si>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</si>
  <si>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</si>
  <si>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</si>
  <si>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</si>
  <si>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</si>
  <si>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</si>
  <si>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</si>
  <si>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</si>
  <si>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</si>
  <si>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</si>
  <si>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</si>
  <si>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</si>
  <si>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</si>
  <si>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</si>
  <si>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</si>
  <si>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</si>
  <si>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</si>
  <si>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</si>
  <si>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</si>
  <si>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</si>
  <si>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</si>
  <si>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</si>
  <si>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</si>
  <si>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</si>
  <si>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</si>
  <si>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</si>
  <si>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</si>
  <si>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</si>
  <si>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</si>
  <si>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</si>
  <si>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</si>
  <si>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</si>
  <si>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</si>
  <si>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</si>
  <si>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</si>
  <si>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</si>
  <si>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</si>
  <si>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</si>
  <si>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</si>
  <si>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</si>
  <si>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</si>
  <si>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</si>
  <si>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</si>
  <si>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</si>
  <si>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</si>
  <si>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</si>
  <si>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</si>
  <si>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</si>
  <si>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</si>
  <si>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</si>
  <si>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</si>
  <si>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</si>
  <si>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</si>
  <si>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</si>
  <si>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</si>
  <si>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</si>
  <si>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</si>
  <si>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</si>
  <si>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</si>
  <si>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</si>
  <si>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</si>
  <si>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</si>
  <si>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</si>
  <si>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</si>
  <si>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</si>
  <si>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</si>
  <si>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</si>
  <si>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</si>
  <si>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</si>
  <si>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</si>
  <si>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</si>
  <si>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</si>
  <si>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</si>
  <si>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</si>
  <si>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</si>
  <si>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</si>
  <si>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</si>
  <si>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</si>
  <si>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</si>
  <si>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</si>
  <si>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</si>
  <si>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</si>
  <si>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</si>
  <si>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</si>
  <si>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</si>
  <si>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</si>
  <si>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</si>
  <si>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Средства вышестоящих бюджетов</t>
  </si>
  <si>
    <t>Средства бюджета поселения</t>
  </si>
  <si>
    <t>% изменения</t>
  </si>
  <si>
    <t>Увеличение (+), уменьшение (-), руб.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</si>
  <si>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</si>
  <si>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</si>
  <si>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</si>
  <si>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</si>
  <si>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</si>
  <si>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</si>
  <si>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</si>
  <si>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</si>
  <si>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</si>
  <si>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</si>
  <si>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</si>
  <si>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</si>
  <si>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Субсидия на комплектование книжных фондов</t>
  </si>
  <si>
    <t>Субвенция на организация присмотра за детьми</t>
  </si>
  <si>
    <t>Субвенция на вознаграждение за классное руководство</t>
  </si>
  <si>
    <t>Субвенция на обеспечение деятельности органов опеки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</si>
  <si>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</si>
  <si>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</si>
  <si>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Субвенция освобождение проезда детей из многодетных семей</t>
  </si>
  <si>
    <t>Субвенция освобождение проезда лиц, находящихся под наблюдением в связи с туберкулезом</t>
  </si>
  <si>
    <t>Субсидия на оплату стоимости наборов продуктов питания в лагерях</t>
  </si>
  <si>
    <t>Субвенция на обеспечение отдыха и оздоровления детей погибших сотрудников правоохранительных органов</t>
  </si>
  <si>
    <t>ВСЕГО</t>
  </si>
  <si>
    <t>Расходы на обеспечение мероприятий по организации населению услуг бань  в общих отделениях</t>
  </si>
  <si>
    <t>Обеспечение мероприятий по безопасности жителей города</t>
  </si>
  <si>
    <t>Поддержки деятельности социально-ориентированных некоммерческих организаций</t>
  </si>
  <si>
    <t xml:space="preserve">Обеспечение мероприятий по содержанию  военно-мемориального комплекса 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</si>
  <si>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</si>
  <si>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</si>
  <si>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</si>
  <si>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</si>
  <si>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</si>
  <si>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</si>
  <si>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</si>
  <si>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</si>
  <si>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</si>
  <si>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</si>
  <si>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</si>
  <si>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по уличному освещению</t>
  </si>
  <si>
    <t>Доплаты к пенсиям муниципальным служащим поселений</t>
  </si>
  <si>
    <t>Мероприятия в области спорта и физической культуры</t>
  </si>
  <si>
    <t>Наименование источника дохода</t>
  </si>
  <si>
    <t xml:space="preserve">Основание </t>
  </si>
  <si>
    <t>Уведомления из областного бюджета</t>
  </si>
  <si>
    <t>Субсидия на реализацию мероприятий по патриотическому воспитанию граждан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</si>
  <si>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</si>
  <si>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</si>
  <si>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организацию питания обучающихся образовательных организаций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</si>
  <si>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</si>
  <si>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реализацию отдельных полномочий в сфере законодательства об административных правонарушениях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</si>
  <si>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</si>
  <si>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Иные межбюджетные трансферты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</si>
  <si>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</si>
  <si>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Всего</t>
  </si>
  <si>
    <t>Субсидия на финансирование дорожного хозяйства</t>
  </si>
  <si>
    <t xml:space="preserve">Субвенция на организацию образовательного процесса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</si>
  <si>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</si>
  <si>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Межбюджетные трансферты на реализацию мероприятий по борьбе с борщевиком Сосновского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</si>
  <si>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</si>
  <si>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</si>
  <si>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Субвенция на компенсацию расходов за присмотр и уход за детьми</t>
  </si>
  <si>
    <t xml:space="preserve">Субвенция на господдержку опеки и попечительства </t>
  </si>
  <si>
    <t>Субвенция на мероприятия обращению с животными без владельцев</t>
  </si>
  <si>
    <t>ФП "Успех каждого ребенка" обновление базы для занятий физической культурой</t>
  </si>
  <si>
    <t>Субвенция на оказание соц. помощи на основании соц. контракта</t>
  </si>
  <si>
    <t>Обеспечение деятельности ОМС в сфере соц. защиты населения</t>
  </si>
  <si>
    <t>Обеспечение мероприятий по благоустройству территории , предусмотренных по НПА ЯО (Чебаковское с/п)</t>
  </si>
  <si>
    <t>Обеспечение деятельности д/садов</t>
  </si>
  <si>
    <t>Дефицит  бюджета                         1 - я редакция</t>
  </si>
  <si>
    <t>Дефицит  бюджета                                   2-я редакция</t>
  </si>
  <si>
    <t xml:space="preserve">3. Изменения  источников дефицита  бюджета  Тутаевского муниципального района на 2024 год </t>
  </si>
  <si>
    <t>Содержание ребенка в семье опекуна</t>
  </si>
  <si>
    <t>Обеспечение работы спортивных площадок общеобразовательных организаций</t>
  </si>
  <si>
    <t>Обеспечение деятельности советников директора по воспитанию</t>
  </si>
  <si>
    <t>Мероприятия по строительству и реконструкции объектов теплоснабжения</t>
  </si>
  <si>
    <t>Мероприятия по благоустройству воинских захоронений</t>
  </si>
  <si>
    <t>Оказание услуг по захоронению невостребованных трупов</t>
  </si>
  <si>
    <t>Поддержка ТОС</t>
  </si>
  <si>
    <t>Выявление и ликвидация вреда окружающей среде</t>
  </si>
  <si>
    <t>15.0.00</t>
  </si>
  <si>
    <t>15.1.00</t>
  </si>
  <si>
    <t>15.2.00</t>
  </si>
  <si>
    <t>Муниципальная  программ "Обеспечение доступным и комфортным жильем населения  Тутаевского муниципального района"</t>
  </si>
  <si>
    <t>Муниципальная  целевая программа "Переселение граждан из аварийного жилищного фонда Тутаевского муниципального района»</t>
  </si>
  <si>
    <t>Муниципальная 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 Тутаевского муниципального района "</t>
  </si>
  <si>
    <t>Расходы на демонтаж аварийных жилых домов</t>
  </si>
  <si>
    <t>Расходы на приобретение квартир</t>
  </si>
  <si>
    <t>Содержание учреждений спорта</t>
  </si>
  <si>
    <t>Обеспечение деятельности школ</t>
  </si>
  <si>
    <t>Дотация по НПА ОГВ ЯО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</si>
  <si>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</si>
  <si>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мероприятий по выполнению иных обязательств органами местного самоуправления</t>
  </si>
  <si>
    <t>Выплата стипендии Главы</t>
  </si>
  <si>
    <t>Обеспечение мероприятий по капремонту тепловой сети</t>
  </si>
  <si>
    <t>Содержание учреждений (Галактика)</t>
  </si>
  <si>
    <t>разница</t>
  </si>
  <si>
    <t>доходы обл.</t>
  </si>
  <si>
    <t>доходы поселения</t>
  </si>
  <si>
    <t>Инициативное бюджетирование (депутатские средства)</t>
  </si>
  <si>
    <t xml:space="preserve">Изготовление ПСД и госэкспертиза на ремонт участков теплосетей, контроль </t>
  </si>
  <si>
    <t>Субсидия на повышение оплаты труда отдельных категорий работников</t>
  </si>
  <si>
    <t>доходы</t>
  </si>
  <si>
    <t>расходы</t>
  </si>
  <si>
    <t>Межбюджетные трансферты</t>
  </si>
  <si>
    <t>Муниципальная целевая программа "Развитие потребительского рынка Тутаевского муниципального района"</t>
  </si>
  <si>
    <t>Муниципальная целевая программа "Развитие предпринимательства в Тутаевском муниципальном районе"</t>
  </si>
  <si>
    <t>Муниципальная целевая программа "Санитарно- эпидемиологическая безопасность в Тутаевском  муниципальном районе"</t>
  </si>
  <si>
    <t>2026год</t>
  </si>
  <si>
    <t>2027год</t>
  </si>
  <si>
    <t>Муниципальная целевая программа "Управление муниципальным имуществом"</t>
  </si>
  <si>
    <t xml:space="preserve">взносы на кап. ремонт </t>
  </si>
  <si>
    <t>Оценка имущества</t>
  </si>
  <si>
    <t>Муниципальная целевая программа "Управление земельными ресурсами Тутаевского муниципального района"</t>
  </si>
  <si>
    <t>Эффективное управление и распоряжение земельными участками на территории Тутаевского муниципального района</t>
  </si>
  <si>
    <t>16.0.00</t>
  </si>
  <si>
    <t>16.2.00</t>
  </si>
  <si>
    <t xml:space="preserve">МЦП 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
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</si>
  <si>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</si>
  <si>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в Администрации Тутаевского муниципального района, ее структурных подразделениях и в муниципальных учреждениях ТМР</t>
  </si>
  <si>
    <t>Обеспечение сбалансированности и устойчивости бюджетной системы Тутаевского муниципального района</t>
  </si>
  <si>
    <t>Обеспечение эффективного управления муниципальным имуществом Тутаевского муниципального района, в том числе земельными ресурсами района</t>
  </si>
  <si>
    <t>Обеспечение эффективной деятельности структурных подразделений Администрации Тутаевского муниципального района</t>
  </si>
  <si>
    <t>Ведомственная  целевая  программа "Содержание  Администрации Тутаевского муниципального района"</t>
  </si>
  <si>
    <t>Ведомственная целевая  программа "Содержание финансовых органов Тутаевского муниципального района"</t>
  </si>
  <si>
    <t>Содержание Администрации</t>
  </si>
  <si>
    <t>13.3.00</t>
  </si>
  <si>
    <t>Мероприятия по финансовому оздоровлению МУПов</t>
  </si>
  <si>
    <t>07.3.00</t>
  </si>
  <si>
    <t>07.4.00</t>
  </si>
  <si>
    <t>Расходы на обеспечение безопасности жителей района</t>
  </si>
  <si>
    <t>Реализация мероприятий по профилактике правонарушений</t>
  </si>
  <si>
    <t>Воспрепятствование проявлениям терроризма и экстремизма</t>
  </si>
  <si>
    <t>Развитие системы профилактики немедицинского потребления наркотиков</t>
  </si>
  <si>
    <t>Муниципальная целевая программа "Обеспечение жильем отдельных категорий граждан в Тутаевском муниципальном районе"</t>
  </si>
  <si>
    <t xml:space="preserve">Приобретение жилых помещений для граждан, состоящих на учете нуждающихся в жилых помещениях, предоставляемых по договорам социального найма </t>
  </si>
  <si>
    <t>15.4.00</t>
  </si>
  <si>
    <t>15.3.00</t>
  </si>
  <si>
    <t>Субсидия на реализацию региональных практик поддержки волонтерства по итогам Всероссийского конкурса "Регион добрых дел"</t>
  </si>
  <si>
    <t>Реализация   проекта "Формирование комфортной городской среды" гп Тутаев</t>
  </si>
  <si>
    <t>Реализация   проекта "Формирование комфортной городской среды" сп Константиновское</t>
  </si>
  <si>
    <t>Муниципальная целевая программа " Комплексное развитие сельских территорий в Тутаевском муниципальном районе"</t>
  </si>
  <si>
    <t>Содержание и организация деятельности аварийно-спасательной службы</t>
  </si>
  <si>
    <t>Муниципальная целевая программа "Содержание муниципального имущества Тутаевского муниципального района"</t>
  </si>
  <si>
    <t>Содержание санитарно- бытовых помещений</t>
  </si>
  <si>
    <t>16.3.00</t>
  </si>
  <si>
    <t>Работы, услуги по содержанию имущества казны</t>
  </si>
  <si>
    <t>Коммунальные услуги за муниципальное имущество</t>
  </si>
  <si>
    <t>Повышение уровня благоустройства территорий "Наши дворы"</t>
  </si>
  <si>
    <t>Транспортные расходы на участие в соревнованиях</t>
  </si>
  <si>
    <t>Строительство ледовой арены</t>
  </si>
  <si>
    <t>Обеспечение мероприятий по разработке схем коммунальной инфраструктуры округа</t>
  </si>
  <si>
    <t>Резервный фонд АТМР</t>
  </si>
  <si>
    <t>Культурно-массовые мероприятия (обустройство катков)</t>
  </si>
  <si>
    <t>Обеспечение мероприятий по реализации муниципального имущества ( НДС)</t>
  </si>
  <si>
    <t>Патриотические мероприятия</t>
  </si>
  <si>
    <t>доходы всего</t>
  </si>
  <si>
    <t>Левобережное сп</t>
  </si>
  <si>
    <t>Артемьевское сп</t>
  </si>
  <si>
    <t>Константиновское сп</t>
  </si>
  <si>
    <t>гп Тутаев</t>
  </si>
  <si>
    <t>ИТОГО</t>
  </si>
  <si>
    <t>откл</t>
  </si>
  <si>
    <t>Демонтаж недостроенного причала гТутаев левобережная часть</t>
  </si>
  <si>
    <t>Субсидия на развитие и укрепление МТБ домов культуры</t>
  </si>
  <si>
    <t>Субвенция организация  образовательного процесса</t>
  </si>
  <si>
    <t>дотация НПА ЯО</t>
  </si>
  <si>
    <t>МБТ на проведение ремонта жилых помещений отдельным категориям граждан</t>
  </si>
  <si>
    <t xml:space="preserve">Дотация НПА ОГВ ЯО </t>
  </si>
  <si>
    <t>инициативное</t>
  </si>
  <si>
    <t>уч.инициативное</t>
  </si>
  <si>
    <t>Межбюджетные трансферты на поощрение</t>
  </si>
  <si>
    <t>Расходы на содержание Муниципального Совета округа</t>
  </si>
  <si>
    <t>Школьное инициативное бюджетирование (ученическое самоуправление)</t>
  </si>
  <si>
    <t xml:space="preserve">доходы собственные </t>
  </si>
  <si>
    <t xml:space="preserve">разница с учетом остатков на начало года </t>
  </si>
  <si>
    <t>утвержденный дефицит</t>
  </si>
  <si>
    <t>остаток на начало года не внесенный в бюджет</t>
  </si>
  <si>
    <t>допустимый дефицит предельный (остаток на начало года)</t>
  </si>
  <si>
    <t>Проведение культурных мероприятий</t>
  </si>
  <si>
    <t>Содержание финансовых органов</t>
  </si>
  <si>
    <t xml:space="preserve">Доп. Образование </t>
  </si>
  <si>
    <t>Субвенция на обеспечение пунктов проката для новорожденных</t>
  </si>
  <si>
    <t>Обеспечение мероприятий по обеспечению пандусами в МКД</t>
  </si>
  <si>
    <t>Формирование СГС доп. работы</t>
  </si>
  <si>
    <t>Муниципальная целевая программа "Обеспечение безопасности гражданина водных объектах, охрана их жизни и здоровья  на территории  Тутаевского муниципального района"</t>
  </si>
  <si>
    <t>Мероприятия по начислению и сбору платы за найм</t>
  </si>
  <si>
    <t>Наименование</t>
  </si>
  <si>
    <t>Субсидия на осуществление деятельности в сфере молодежной политики</t>
  </si>
  <si>
    <t>МБТ на выплату денежных поощрений лучшим сельским учреждениям культуры</t>
  </si>
  <si>
    <t>Расходы на проведение мероприятий по благоустройству сельских территорий</t>
  </si>
  <si>
    <t>Содержание ОМС</t>
  </si>
  <si>
    <t>Субсидия на капитальный ремонт и ремонт дорожных объектов муниципальной собственности</t>
  </si>
  <si>
    <t xml:space="preserve">Дотация НПА </t>
  </si>
  <si>
    <t>Дотация НПА ОГВ ЯО</t>
  </si>
  <si>
    <t>Расходы на  строительство а/д</t>
  </si>
  <si>
    <t>Мероприятия на снос фактически погибших объектов</t>
  </si>
  <si>
    <t xml:space="preserve">Межбюджетные трансферты </t>
  </si>
  <si>
    <t>Содержание подведомственных учреждений ( ИАЦ)</t>
  </si>
  <si>
    <t>Содержание подведомственных учреждений ( ЕДДС)</t>
  </si>
  <si>
    <t>Содержание подведомственных учреждений финансовых органов</t>
  </si>
  <si>
    <t xml:space="preserve">невостребованные БА </t>
  </si>
  <si>
    <t>Доп. Образование (платные услуги)</t>
  </si>
  <si>
    <t>Содержание ЕДДС</t>
  </si>
  <si>
    <t>Мероприятия по водоснабжению на селе</t>
  </si>
  <si>
    <t>Мероприятия по поддержке предприятий АПК</t>
  </si>
  <si>
    <t>Субсидия на капремонт библиотек</t>
  </si>
  <si>
    <t>Субвенция на оказание соц. помощи отд. категориям граждан</t>
  </si>
  <si>
    <t>Мероприятия по кап. ремонту лифтов</t>
  </si>
  <si>
    <t>Обеспечение эффективности управления системой образования</t>
  </si>
  <si>
    <t>разница по 4 редакции</t>
  </si>
  <si>
    <t>Мероприятия по подготовке и внесению изменений в документы территориального планирования и градостроительного зонирования</t>
  </si>
  <si>
    <t>Расходы на ремонт дорог</t>
  </si>
  <si>
    <t>4 ред.</t>
  </si>
  <si>
    <t>ДФ</t>
  </si>
  <si>
    <t>благоустройство</t>
  </si>
  <si>
    <t>Субвенция на организацию  питания школьников</t>
  </si>
  <si>
    <t>Организация зон отдыха и катания на коньках</t>
  </si>
  <si>
    <t>Расходы на ремонт а/ дороги</t>
  </si>
  <si>
    <t>Содержание УО</t>
  </si>
  <si>
    <t>невостребованные БА</t>
  </si>
  <si>
    <t>доп. на расчет за декабрь</t>
  </si>
  <si>
    <t>корректировка остатков</t>
  </si>
  <si>
    <t>Уточнение доходов по родительской плате ДДУ</t>
  </si>
  <si>
    <t>жилье</t>
  </si>
  <si>
    <t>прочие</t>
  </si>
  <si>
    <t>01.12.2025</t>
  </si>
  <si>
    <t>Чебаковское сп</t>
  </si>
  <si>
    <t>Реализация мероприятий инфраструктурных проектов л/б</t>
  </si>
  <si>
    <t>Выполнение  иных полномочий по содержанию имущества</t>
  </si>
  <si>
    <t>ФОТ</t>
  </si>
  <si>
    <t>Подвоз детей в загородные лагеря</t>
  </si>
  <si>
    <t>Мероприятия по установке в неблагополучных семьях дымовых извещателей</t>
  </si>
  <si>
    <t>Содержание подведомственных учреждений (ЦОД)</t>
  </si>
  <si>
    <t>Содержание подведомственных учреждений ( ЦКО)</t>
  </si>
  <si>
    <t>ремонт системы отопления Фоминское, невостребованные БА (новогодние подарки)</t>
  </si>
  <si>
    <t>транспорт театр "Левый берег" на фестиваль  70,0т.р. Восстановление расходов</t>
  </si>
  <si>
    <t xml:space="preserve">доп. потребность ФОТ </t>
  </si>
  <si>
    <t>выплаты за привлечение СВО</t>
  </si>
  <si>
    <t>Содержание подведомственных учреждений (Агентство)</t>
  </si>
  <si>
    <t>невостребованные БА(КСП ТМР и КСП ТМО)</t>
  </si>
  <si>
    <t>Расходы на осуществление внешнего контроля (КСП)</t>
  </si>
  <si>
    <t>Галактика  13,020т.р.,УК иМП 6,510тр.,ЕДДС -26,040</t>
  </si>
  <si>
    <t>ФОТ зп+ выплаты при сокращении</t>
  </si>
  <si>
    <t>Содержание учреждений культуры</t>
  </si>
  <si>
    <t>Содержание учреждений по содержанию  дорог</t>
  </si>
  <si>
    <t>Печать периодического издания (газета)</t>
  </si>
  <si>
    <t>погиб. Объекты</t>
  </si>
  <si>
    <t>Мероприятия по содержанию учреждения</t>
  </si>
  <si>
    <t>Субвенция на организацию бесплатного горячего питания обучающихся</t>
  </si>
  <si>
    <t>Субвенция на гос. регистрацию актов гражданского состояния</t>
  </si>
  <si>
    <t>Субвенция на гос. полномочия по организации деятельности КДН</t>
  </si>
  <si>
    <t>Расходы на  содержание  а/д</t>
  </si>
  <si>
    <t>невостребованные БА (резерв 3 094,039т.р., разметка 1000,0т.р)</t>
  </si>
  <si>
    <t>Содержание Администрации ТМР</t>
  </si>
  <si>
    <t xml:space="preserve"> ФОТ 3 652,173.т.р., невостребованные БА- 221,115т.р.</t>
  </si>
  <si>
    <t>невостребованные БА (учебная комната по оказанию первой помощи)</t>
  </si>
  <si>
    <t>И/лист неустойка и госпошлина  ООО Яравтодор" (реконструкция а/д ул. Строителей) 1 163 ,914т.р.</t>
  </si>
  <si>
    <t xml:space="preserve"> ФОТ ДК 1 945,931т.р., ФОТ библиотеки  963,582т.р.,ЕДДС (культура) 2 656,399 т.р.;невостребованные БА -285,973т.р., </t>
  </si>
  <si>
    <t>Дефицит 5-я редакция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</si>
  <si>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ТМО "О внесении изменений в решение Муниципального Совета ТМО от 11.12.2025 №111 "О бюджете Тутаевского муниципального округа на 2026 год и на плановый период 2027 - 2028 годов"</t>
  </si>
  <si>
    <t xml:space="preserve">  2. Изменения  расходов  бюджета Тутаевского муниципального округа  на 2026 год и плановый период 2027-2028гг     (2-я редакция  февраль 2026 год)</t>
  </si>
  <si>
    <t>Средства округа</t>
  </si>
  <si>
    <t xml:space="preserve">Муниципальная программа "Социальное развитие  Тутаевского муниципального округа" </t>
  </si>
  <si>
    <t>Ведомственная целевая программа  "Сохранение и развитие культуры Тутаевского муниципального округа"</t>
  </si>
  <si>
    <t>01.1.01</t>
  </si>
  <si>
    <t>Реализация дополнительных образовательных программ в сфере культуры</t>
  </si>
  <si>
    <t>противопожарные мероприятия</t>
  </si>
  <si>
    <t>антитеррористические мероприятия</t>
  </si>
  <si>
    <t>ремонты мун. имущества</t>
  </si>
  <si>
    <t>01.1.02</t>
  </si>
  <si>
    <t>Содействие доступу граждан к культурным ценностям</t>
  </si>
  <si>
    <t>проведение мероприятий</t>
  </si>
  <si>
    <t>стипендии Главы</t>
  </si>
  <si>
    <t>01.1.03</t>
  </si>
  <si>
    <t>Поддержка доступа граждан к информационным библиотечным ресурсам</t>
  </si>
  <si>
    <t>содержание библиотек</t>
  </si>
  <si>
    <t>Ведомственная целевая программа "Развитие отрасли образования Тутаевского муниципального округа"</t>
  </si>
  <si>
    <t>01.2.01</t>
  </si>
  <si>
    <t>Обеспечение качества и доступности образовательных услуг в сфере дошкольного образования</t>
  </si>
  <si>
    <t>льготное питание</t>
  </si>
  <si>
    <t>ремонт учреждений</t>
  </si>
  <si>
    <t>устранение предписаний</t>
  </si>
  <si>
    <t>01.2.02</t>
  </si>
  <si>
    <t>Обеспечение качества и доступности образовательных услуг в сфере общего образования</t>
  </si>
  <si>
    <t>01.2.03</t>
  </si>
  <si>
    <t>Обеспечение качества и доступности образовательных услуг в сфере дополнительного образования</t>
  </si>
  <si>
    <t>01.2.04</t>
  </si>
  <si>
    <t>Повышение мотивации участников образовательного процесса</t>
  </si>
  <si>
    <t>01.2.07</t>
  </si>
  <si>
    <t>Обеспечение  детей организованными формами отдыха и оздоровления</t>
  </si>
  <si>
    <t>01.2.08</t>
  </si>
  <si>
    <t>Обеспечение компенсационных выплат</t>
  </si>
  <si>
    <t>01.2.09</t>
  </si>
  <si>
    <t xml:space="preserve">Обеспечение эффективности управления системой образования </t>
  </si>
  <si>
    <t>внешкольные мероприятия</t>
  </si>
  <si>
    <t>01.3.00</t>
  </si>
  <si>
    <t>Муниципальная целевая программа «Духовно-нравственное, патриотическое воспитание и просвещение населения Тутаевского муниципального округа»</t>
  </si>
  <si>
    <t>01.3.01</t>
  </si>
  <si>
    <t>Реализация системы мер по подготовке, просвещению и повышению квалификации кадров в области духовно-нравственного и патриотического воспитания</t>
  </si>
  <si>
    <t>01.3.02</t>
  </si>
  <si>
    <t>Создание организационно-методического, информационно-просветительского обеспечения системы духовно-нравственного и патриотического воспитания подрастающего поколения</t>
  </si>
  <si>
    <t>01.3.03</t>
  </si>
  <si>
    <t>Интеграция духовно-нравственного и патриотического содержания в социально-значимых проектах, реализуемых в Тутаевском муниципальном округе</t>
  </si>
  <si>
    <t>01.3.04</t>
  </si>
  <si>
    <t>Формирование гражданской позиции, патриотических чувств, уважения и любви к прошлому, настоящему, будущему своей семьи, школы, города на основе изучения традиций православия, литературы, культурного наследия</t>
  </si>
  <si>
    <t>01.3.05</t>
  </si>
  <si>
    <t>Реализация мер по проведению комплекса работ по благоустройству памятников, мемориалов, воинских захоронений, а также прилегающих к ним территорий</t>
  </si>
  <si>
    <t>Муниципальная целевая программа «Сохранение общественного здоровья населения Тутаевского муниципального округа»</t>
  </si>
  <si>
    <t>01.4.01</t>
  </si>
  <si>
    <t>Реализация мероприятий по профилактике заболеваний и формированию здорового образа жизни граждан</t>
  </si>
  <si>
    <t>01.4.02</t>
  </si>
  <si>
    <t>Реализация мероприятий по сокращению потребления алкоголя и снижению ассоциированной с ним смертности трудоспособного населения</t>
  </si>
  <si>
    <t>01.4.03</t>
  </si>
  <si>
    <t>01.4.04</t>
  </si>
  <si>
    <t>Усиление контроля за соблюдением антинаркотического законодательства</t>
  </si>
  <si>
    <t>01.5.00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</si>
  <si>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Тутаевского муниципального округа"</t>
  </si>
  <si>
    <t>01.5.01</t>
  </si>
  <si>
    <t>Профилактика безнадзорности и правонарушений несовершеннолетних через ранее выявление детского и семейного неблагополучия</t>
  </si>
  <si>
    <t>01.5.02</t>
  </si>
  <si>
    <t>Создание условий для комплексной реабилитации детей, оказавшихся в трудной жизненной ситуации, и семей, находящихся в социально опасном положении</t>
  </si>
  <si>
    <t>01.5.03</t>
  </si>
  <si>
    <t>Реализация комплекса мероприятий, направленных на профилактику безнадзорности, правонарушений и защиту прав несовершеннолетних</t>
  </si>
  <si>
    <t>01.6.00</t>
  </si>
  <si>
    <t>Муниципальная целевая программа 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округа"</t>
  </si>
  <si>
    <t>01.6.01</t>
  </si>
  <si>
    <t>Разработка нормативно правовых документов в сфере деятельности СОНКО ТМО на территории Тутаевского муниципального округа</t>
  </si>
  <si>
    <t>01.6.02</t>
  </si>
  <si>
    <t xml:space="preserve">Развитие механизмов участия СОНКО ТМО в реализации государственной политики в социальной сфере </t>
  </si>
  <si>
    <t>01.6.03</t>
  </si>
  <si>
    <t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округа</t>
  </si>
  <si>
    <t>01.6.04</t>
  </si>
  <si>
    <t>Предоставление СОНКО имущественной, информационной и консультационной поддержки</t>
  </si>
  <si>
    <t>01.6.05</t>
  </si>
  <si>
    <t>Развитие механизмов взаимодействия органов местного самоуправления Тутаевского муниципального округа и СОНКО</t>
  </si>
  <si>
    <t>01.7.00</t>
  </si>
  <si>
    <t>Муниципальная целевая программа  "Социальная поддержка населения Тутаевского муниципального округа"</t>
  </si>
  <si>
    <t>01.7.01</t>
  </si>
  <si>
    <t>Исполнение публичных обязательств округа по предоставлению выплат, пособий и компенсаций</t>
  </si>
  <si>
    <t>01.7.02</t>
  </si>
  <si>
    <t>Социальная защита семей с детьми, инвалидов, ветеранов, граждан и детей, оказавшихся в трудной жизненной ситуации</t>
  </si>
  <si>
    <t>01.7.03</t>
  </si>
  <si>
    <t>Улучшение условий и охраны труда по Тутаевскому муниципальному округ</t>
  </si>
  <si>
    <t>01.7.04</t>
  </si>
  <si>
    <t>Доступная среда</t>
  </si>
  <si>
    <t>Муниципальная программа "Экономическое развитие Тутаевского муниципального округа"</t>
  </si>
  <si>
    <t>Муниципальная целевая программа  "Развитие потребительского рынка Тутаевского муниципального округа"</t>
  </si>
  <si>
    <t>02.1.01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</si>
  <si>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</si>
  <si>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Муниципальная целевая программа  "Развитие агропромышленного комплекса в Тутаевском муниципальном округе"</t>
  </si>
  <si>
    <t>02.2.01</t>
  </si>
  <si>
    <t>стимулирование развития сельскохозяйственного производства</t>
  </si>
  <si>
    <t>02.2.02</t>
  </si>
  <si>
    <t>предупреждение и ликвидация болезней животных</t>
  </si>
  <si>
    <t>Муниципальная целевая программа «Развитие молодежной политики в Тутаевском муниципальном округе»</t>
  </si>
  <si>
    <t>02.3.01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</si>
  <si>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</si>
  <si>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ремонты</t>
  </si>
  <si>
    <t>02.3.02</t>
  </si>
  <si>
    <t>Обеспечение качества и доступности услуг (работ) в сфере молодежной политики</t>
  </si>
  <si>
    <t>мероприятия для молодежи</t>
  </si>
  <si>
    <t>Муниципальная целевая программа  "Развитие общественных связей и продвижение территорий Тутаевского муниципального округа"</t>
  </si>
  <si>
    <t>02.4.01</t>
  </si>
  <si>
    <t>Создание и продвижение позитивного образа Тутаевского муниципального округа как территории для жизни и отдыха</t>
  </si>
  <si>
    <t>мероприятия для продвижения  позитивного образа ТМО</t>
  </si>
  <si>
    <t>стратегия социально-экономического развития</t>
  </si>
  <si>
    <t>02.4.02</t>
  </si>
  <si>
    <t>Установление дружественных связей с другими территориями Российской Федерации и дружественными странами</t>
  </si>
  <si>
    <t>02.4.03</t>
  </si>
  <si>
    <t xml:space="preserve">Участие в  событийных мероприятиях  и продвижение местных брендов, продукции местных товаропроизводителей </t>
  </si>
  <si>
    <t>Муниципальная целевая программа  "Развитие физической культуры и массового спорта в Тутаевском муниципальном округе"</t>
  </si>
  <si>
    <t>02.5.01</t>
  </si>
  <si>
    <t xml:space="preserve">Организация и проведение физкультурно-оздоровительной и спортивно-массовой работы в образовательных учреждениях </t>
  </si>
  <si>
    <t>ремонт</t>
  </si>
  <si>
    <t>02.5.02</t>
  </si>
  <si>
    <t>Организация и проведение физкультурно оздоровительной и спортивно-массовой работы среди обучающейся молодежи, населения и людей с ограниченными возможностями здоровья</t>
  </si>
  <si>
    <t>02.5.03</t>
  </si>
  <si>
    <t>Строительство и реконструкция спортивных сооружений, капитальный ремонт и укрепление материальной базы</t>
  </si>
  <si>
    <t>02.5.04</t>
  </si>
  <si>
    <t>Содержание объектов спортивной инфраструктуры</t>
  </si>
  <si>
    <t>Муниципальная программа "Развитие инфраструктуры Тутаевского муниципального округа"</t>
  </si>
  <si>
    <t>Муниципальная целевая программа  "Обеспечение качественными коммунальными услугами  населения Тутаевского муниципального округа"</t>
  </si>
  <si>
    <t>03.1.01</t>
  </si>
  <si>
    <t>Повышение качества услуг в результате проведения ремонтов объектов коммунального назначения, расположенных в Тутаевском муниципальном округе и оплаты топливно-энергетических ресурсов</t>
  </si>
  <si>
    <t>схемы теплоснабжения</t>
  </si>
  <si>
    <t>03.1.02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</si>
  <si>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</si>
  <si>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строительство колодцев</t>
  </si>
  <si>
    <t>ремонт колодцев</t>
  </si>
  <si>
    <t>Муниципальная целевая программа "Развитие общественного транспорта в Тутаевском муниципальном округе"</t>
  </si>
  <si>
    <t>03.2.01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</si>
  <si>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</si>
  <si>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03.2.02</t>
  </si>
  <si>
    <t>Муниципальная целевая программа  "Обеспечение населения Тутаевского муниципального округа банными услугами"</t>
  </si>
  <si>
    <t>03.3.01</t>
  </si>
  <si>
    <t>Создание возможности предоставления качественных бытовых и оздоровительных услуг, соответствующих современным требованиям санитарных норм и правил</t>
  </si>
  <si>
    <t>субсидия на возмещение доходов (Константиновское СП)</t>
  </si>
  <si>
    <t>03.4.00</t>
  </si>
  <si>
    <t>Муниципальная целевая программа "Формирование современной городской среды"</t>
  </si>
  <si>
    <t>03.4.01</t>
  </si>
  <si>
    <t>Повышение уровня благоустройства территорий</t>
  </si>
  <si>
    <t>03.4.02</t>
  </si>
  <si>
    <t>Реализация проекта "Наши дворы"</t>
  </si>
  <si>
    <t>03.4.03</t>
  </si>
  <si>
    <t>Мероприятия инвестиционного проекта "Ярославия. Города у воды"</t>
  </si>
  <si>
    <t>03.4.04</t>
  </si>
  <si>
    <t>Мероприятия "Улучшение эстетического облика населенных пунктов Ярославской области"</t>
  </si>
  <si>
    <t>Организация зон отдыха и катания на коньках в зимний период на общественных территориях</t>
  </si>
  <si>
    <t>Федеральный проект "Формирование комфортной городской среды"</t>
  </si>
  <si>
    <t>03.5.00</t>
  </si>
  <si>
    <t>Муниципальная целевая программа "Развитие дорожного хозяйства в Тутаевском муниципальном округе"</t>
  </si>
  <si>
    <t>03.5.01</t>
  </si>
  <si>
    <t>Реализация мероприятий по повышению безопасности дорожного движения на автомобильных дорогах</t>
  </si>
  <si>
    <t>содержание светофоров</t>
  </si>
  <si>
    <t>знаки, разметка</t>
  </si>
  <si>
    <t>устройство дорожных  ограждений</t>
  </si>
  <si>
    <t>03.5.02</t>
  </si>
  <si>
    <t>Реализация мероприятий по обеспечению сохранности существующей дорожной сети и выполнение работ по содержанию и ремонту автомобильных дорог</t>
  </si>
  <si>
    <t>содержание учреждений в сфере ДХ</t>
  </si>
  <si>
    <t xml:space="preserve">содержание дорог </t>
  </si>
  <si>
    <t>содержание дорог части оплаты эл/эн</t>
  </si>
  <si>
    <t xml:space="preserve">составление и проверка ПСД </t>
  </si>
  <si>
    <t xml:space="preserve">лабораторные исследования дорожных покрытий </t>
  </si>
  <si>
    <t xml:space="preserve">аренда техники и помещения для ремонта, содержание ливневых колодцев,тек.ремонт </t>
  </si>
  <si>
    <t>ремонт автомобильной дороги ул. Моторостроителей г Тутаев</t>
  </si>
  <si>
    <t>ремонт объекта мост через р. Печегду</t>
  </si>
  <si>
    <t>мероприятия по строительств автомобильной дороги к индустриальному парку "Тутаев"</t>
  </si>
  <si>
    <t>прочие (ремонты, исполнение решений суда, резерв)</t>
  </si>
  <si>
    <t>03.5.03</t>
  </si>
  <si>
    <t>Реализация новых инвестиционных проектов в г. Тутаев</t>
  </si>
  <si>
    <t>03.6.00</t>
  </si>
  <si>
    <t>Муниципальная целевая  программа  "Благоустройство и озеленение территории, отвечающей современным экологическим, санитарно-гигиеническим требованиям, создающей безопасные и комфортные условия для проживания населения Тутаевского муниципального  округа"</t>
  </si>
  <si>
    <t>03.6.01</t>
  </si>
  <si>
    <t>Улучшение уровня внешнего благоустройства и санитарного состояния территории Тутаевского муниципального округа.</t>
  </si>
  <si>
    <t>содержание учреждения по благоустройству территорий</t>
  </si>
  <si>
    <t>03.6.02</t>
  </si>
  <si>
    <t>Обеспечение мероприятий по совершенствованию эстетического состояния территории</t>
  </si>
  <si>
    <t>ТБО</t>
  </si>
  <si>
    <t>несанкционированные свалки</t>
  </si>
  <si>
    <t>проведение субботников</t>
  </si>
  <si>
    <t>аккарицидная обработка</t>
  </si>
  <si>
    <t>выпиловка деревьев</t>
  </si>
  <si>
    <t>содержание туалетов</t>
  </si>
  <si>
    <t>содержание МАФОв</t>
  </si>
  <si>
    <t>обустройство пешеходных переходов, тротуаров</t>
  </si>
  <si>
    <t xml:space="preserve">прочие </t>
  </si>
  <si>
    <t>03.6.03</t>
  </si>
  <si>
    <t>вывоз мусора</t>
  </si>
  <si>
    <t>аккрицидная обработка</t>
  </si>
  <si>
    <t>содержание</t>
  </si>
  <si>
    <t>03.6.04</t>
  </si>
  <si>
    <t>Приведение и поддержание сетей уличного освещения в нормативном состоянии</t>
  </si>
  <si>
    <t>текущее содержание сетей</t>
  </si>
  <si>
    <t>03.6.05</t>
  </si>
  <si>
    <t>Создание механизма управления потреблением энергетических ресурсов и сокращение бюджетных затрат</t>
  </si>
  <si>
    <t>уличное освещение</t>
  </si>
  <si>
    <t>энергосервис</t>
  </si>
  <si>
    <t>Муниципальная программа "Повышение эффективности муниципального управления в Тутаевском муниципальном округе"</t>
  </si>
  <si>
    <t>Муниципальная целевая программа  "Развитие муниципальной службы и совершенствование функционирования Администрации Тутаевского муниципального округа и муниципальных учреждений в Тутаевском муниципальном округе"</t>
  </si>
  <si>
    <t>04.1.01</t>
  </si>
  <si>
    <t>04.1.02</t>
  </si>
  <si>
    <t>Развитие проектной деятельности  в Администрации Тутаевского муниципального округа, её структурных подразделениях и в муниципальных учреждениях ТМО</t>
  </si>
  <si>
    <t>04.1.03</t>
  </si>
  <si>
    <t>Совершенствование механизмов противодействия коррупции, предупреждения и урегулирования конфликта интересов на муниципальной службе</t>
  </si>
  <si>
    <t>04.1.04</t>
  </si>
  <si>
    <t>Формирование и использование кадрового резерва муниципальной службы</t>
  </si>
  <si>
    <t>Муниципальная целевая программа  "Информатизация управленческой деятельности Администрации Тутаевского муниципального округа"</t>
  </si>
  <si>
    <t>04.2.01</t>
  </si>
  <si>
    <t>Обеспечение сбалансированности и устойчивости бюджетной системы Тутаевского муниципального округа</t>
  </si>
  <si>
    <t>ЦБ</t>
  </si>
  <si>
    <t>04.2.02</t>
  </si>
  <si>
    <t>Обеспечение эффективной деятельности структурных подразделений Администрации Тутаевского муниципального округа</t>
  </si>
  <si>
    <t>гос. тайна ГОСЧ</t>
  </si>
  <si>
    <t xml:space="preserve">неисключительные права, ПО, лицензии </t>
  </si>
  <si>
    <t>антивирус</t>
  </si>
  <si>
    <t>Консультант</t>
  </si>
  <si>
    <t>заправка картриджей, обслуживание оргтехники</t>
  </si>
  <si>
    <t>моноблоки  (планшеты)</t>
  </si>
  <si>
    <t>прочее (ОС , МЗ)</t>
  </si>
  <si>
    <t>Ведомственная целевая программа  "Содержание Администрации Тутаевского муниципального округа"</t>
  </si>
  <si>
    <t>04.3.01</t>
  </si>
  <si>
    <t>Реализация мероприятий материально-технического и хозяйственного обеспечения деятельности органов местного самоуправления</t>
  </si>
  <si>
    <t>04.3.02</t>
  </si>
  <si>
    <t>Создание условий для стабильного и эффективного функционирования подведомственных учреждений</t>
  </si>
  <si>
    <t>Ведомственная целевая программа  "Содержание финансовых органов Тутаевского муниципального округа"</t>
  </si>
  <si>
    <t>04.4.01</t>
  </si>
  <si>
    <t>Обеспечение деятельности финансового органа</t>
  </si>
  <si>
    <t>ФОТ ДФ</t>
  </si>
  <si>
    <t xml:space="preserve">содержание, ремонт </t>
  </si>
  <si>
    <t>04.4.02</t>
  </si>
  <si>
    <t>Обеспечение деятельности подведомственных учреждений финансового органа</t>
  </si>
  <si>
    <t>ФОТ ЦБ</t>
  </si>
  <si>
    <t>содержание, ремонт</t>
  </si>
  <si>
    <t xml:space="preserve">Муниципальная программа "Охрана окружающей среды и природопользование в Тутаевском муниципальном округе" </t>
  </si>
  <si>
    <t>Муниципальная целевая программа "Санитарно-эпидемиологическая безопасность в Тутаевском муниципальном округе"</t>
  </si>
  <si>
    <t>05.1.01</t>
  </si>
  <si>
    <t>Реализация мероприятий по улучшению санитарно-гигиенического благополучия и оздоровления экологической обстановки в Тутаевском округе</t>
  </si>
  <si>
    <t>страхование</t>
  </si>
  <si>
    <t>контейнерные площадки</t>
  </si>
  <si>
    <t>05.1.02</t>
  </si>
  <si>
    <t>Муниципальная целевая программа "Ликвидация борщевика в Тутаевском муниципальном округе"</t>
  </si>
  <si>
    <t>05.2.01</t>
  </si>
  <si>
    <t>Обработка загрязненных земель и недопущение последующего распространения Борщевика Сосновского на территории Тутаевского муниципального округа</t>
  </si>
  <si>
    <t>Муниципальная программа "Обеспечение безопасности населения Тутаевского муниципального округа"</t>
  </si>
  <si>
    <t>Муниципальная целевая программа "Внедрение и развитие аппаратно-программного комплекса "Безопасный город" на территории  Тутаевского муниципального округа"</t>
  </si>
  <si>
    <t>06.1.01</t>
  </si>
  <si>
    <t>Реализация мероприятий по развитию системы видеонаблюдения в наиболее  криминогенных местах и местах массового пребывания граждан в Тутаевском муниципальном округе</t>
  </si>
  <si>
    <t>установка и обслуживание камер</t>
  </si>
  <si>
    <t>06.1.02</t>
  </si>
  <si>
    <t xml:space="preserve">Реализация мероприятий по обеспечению бесперебойного функционирования системы обеспечения вызова экстренных оперативных служб по единому номеру "112" Тутаевского муниципального округа </t>
  </si>
  <si>
    <t>06.1.03</t>
  </si>
  <si>
    <t>Реализация мероприятий по поддержанию в постоянной готовности муниципальной системы оповещения населения Тутаевского муниципального округа, приобретение резервов и установка технических средств оповещения, в том числе нового поколения</t>
  </si>
  <si>
    <t>Муниципальная целевая программа "Защита населения и территории Тутаевского муниципального округа от чрезвычайных ситуаций, обеспечение пожарной безопасности и безопасности людей на водных объектах"</t>
  </si>
  <si>
    <t>06.2.01</t>
  </si>
  <si>
    <t>Создание условий для гарантированной и качественной защите населения от чрезвычайных ситуаций</t>
  </si>
  <si>
    <t>06.2.02</t>
  </si>
  <si>
    <t xml:space="preserve">Создание условий для гарантированного и качественного предоставления муниципальных услуг (выполнения работ) в области обеспечение пожарной безопасности </t>
  </si>
  <si>
    <t>пожарные пруды (0310)</t>
  </si>
  <si>
    <t>содержание пожарного автомобиля (0310)</t>
  </si>
  <si>
    <t>опашка территорий вдоль лесополос (0310)</t>
  </si>
  <si>
    <t>06.2.03</t>
  </si>
  <si>
    <t>Создание условий для гарантированного и качественного предоставления муниципальных услуг (выполнения работ) в области обеспечение безопасности граждан на водных объектах</t>
  </si>
  <si>
    <t>06.3.00</t>
  </si>
  <si>
    <t>Муниципальная целевая программа "Профилактика правонарушений и усиление борьбы с преступностью в Тутаевском муниципальном округе"</t>
  </si>
  <si>
    <t>06.3.01</t>
  </si>
  <si>
    <t>Содействие в организации деятельности  и содержание деятельности добровольных дружин</t>
  </si>
  <si>
    <t>06.3.02</t>
  </si>
  <si>
    <t xml:space="preserve">Муниципальная программа "Управление и распоряжение муниципальной собственностью и земельными ресурсами Тутаевского муниципального округа" </t>
  </si>
  <si>
    <t>Муниципальная целевая программа  "Управление муниципальным имуществом Тутаевского муниципального округа"</t>
  </si>
  <si>
    <t>07.1.01</t>
  </si>
  <si>
    <t>Обеспечение эффективного управления, распоряжения и использования муниципального имущества</t>
  </si>
  <si>
    <t>начисление и сбор платы за найм</t>
  </si>
  <si>
    <t>НДС с продажи недвижимости (12080)</t>
  </si>
  <si>
    <t>оценка имущества</t>
  </si>
  <si>
    <t>07.1.02</t>
  </si>
  <si>
    <t>Приведение в нормативное состояние муниципального жилищного фонда</t>
  </si>
  <si>
    <t>ремонт общедомового имущества</t>
  </si>
  <si>
    <t>консервация мун.имущества</t>
  </si>
  <si>
    <t>приобретение и установка ком.оборудования в мун.жилфонд</t>
  </si>
  <si>
    <t>Муниципальная целевая программа  "Управление земельными ресурсами Тутаевского муниципального округа"</t>
  </si>
  <si>
    <t>07.2.01</t>
  </si>
  <si>
    <t>Обеспечение рационального и эффективного использования земельных ресурсов, проведение кадастровых работ, работ по землеустройству, формирование земельных участков, изъятие земельных участков для муниципальных нужд</t>
  </si>
  <si>
    <t>возмещение за изъятые з.у.</t>
  </si>
  <si>
    <t>Муниципальная программа "Обеспечение доступным и комфортным жильем населения Тутаевского муниципального округа"</t>
  </si>
  <si>
    <t>Муниципальная целевая программа "Переселение граждан из аварийного жилищного фонда Тутаевского муниципального округа"</t>
  </si>
  <si>
    <t>08.1.01</t>
  </si>
  <si>
    <t xml:space="preserve">Реализация мероприятий по приобретению (строительству) благоустроенных жилых помещений для предоставления гражданам, переселяемых из аварийного жилищного фонда </t>
  </si>
  <si>
    <t>08.1.02</t>
  </si>
  <si>
    <t>Возмещение стоимости за изымаемые жилые помещения в аварийном жилищном фонде</t>
  </si>
  <si>
    <t>08.1.03</t>
  </si>
  <si>
    <t>Демонтаж аварийного (непригодного) жилищного фонда</t>
  </si>
  <si>
    <t>Муниципальная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Тутаевского муниципального округа "</t>
  </si>
  <si>
    <t>08.2.01</t>
  </si>
  <si>
    <t>Приобретение жилых помещений в муниципальную собственность для обеспечения благоустроенными жилыми помещениями граждан, переселяемых из непригодного жилищного фонда</t>
  </si>
  <si>
    <t>08.2.02</t>
  </si>
  <si>
    <t>Возмещение стоимости за изымаемые жилые помещения в непригодном жилищном фонде</t>
  </si>
  <si>
    <t>08.2.03</t>
  </si>
  <si>
    <t>Демонтаж непригодного жилищного фонда</t>
  </si>
  <si>
    <t>Муниципальная целевая программа "Обеспечение жильем отдельных категорий граждан в Тутаевском муниципальном округе "</t>
  </si>
  <si>
    <t>08.3.01</t>
  </si>
  <si>
    <t>Приобретение жилых помещений в муниципальную собственность для предоставления по договору социального найма (мены) гражданам, нуждающимся в улучшении жилищных условий либо, по решению суда</t>
  </si>
  <si>
    <t>Муниципальная целевая программа "Предоставление молодым семьям социальных выплат на приобретение (строительство) жилья в Тутаевском муниципальном округе"</t>
  </si>
  <si>
    <t>08.4.01</t>
  </si>
  <si>
    <t>Муниципальная программа "Развитие архитектуры и градостроительства на территории Тутаевского муниципального округа"</t>
  </si>
  <si>
    <t>Муниципальная целевая программа "Градостроительная деятельность на территории Тутаевского муниципального округа"</t>
  </si>
  <si>
    <t>09.1.01</t>
  </si>
  <si>
    <t>Подготовка градостроительной документации</t>
  </si>
  <si>
    <t>09.1.02</t>
  </si>
  <si>
    <t>Организация хранения научно-технической документации</t>
  </si>
  <si>
    <t>09.1.03</t>
  </si>
  <si>
    <t>Изготовление архитектурных объектов (стеллы на въезде и выезде л/б Тутаев)</t>
  </si>
  <si>
    <t>09.1.04</t>
  </si>
  <si>
    <t xml:space="preserve">Организация работ выявлению и демонтажу остаточных элементов фактически погибших объектов 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</si>
  <si>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округа"</t>
  </si>
  <si>
    <t>09.2.01</t>
  </si>
  <si>
    <t xml:space="preserve">Реализация мероприятий в области сохранения, использования, популяризации и охраны объектов культурного наследия на территории Тутаевского муниципального округа  </t>
  </si>
  <si>
    <t xml:space="preserve">Муниципальная  программа  "Комплексное развитие сельских территорий  в Тутаевском муниципальном округе" </t>
  </si>
  <si>
    <t>Муниципальная целевая программа "Развитие сельских территорий Тутаевского муниципального округа"</t>
  </si>
  <si>
    <t>10.1.01</t>
  </si>
  <si>
    <t>Создание возможностей для улучшения жилищных условий семей, проживающих на сельских территориях (агломерациях)</t>
  </si>
  <si>
    <t>10.1.02</t>
  </si>
  <si>
    <t>Повышение комфортности среды проживания граждан в сельских населенных пунктах</t>
  </si>
  <si>
    <t>10.1.03</t>
  </si>
  <si>
    <t>Повышение транспортной доступности объектов, расположенных на сельских территориях, по дорогам, обеспечивающим транспортные связи с сельскими населенными пунктами и (или) проходящим по их территории</t>
  </si>
  <si>
    <t>10.1.04</t>
  </si>
  <si>
    <t>Обеспечение качественного улучшения и развития социальной и инженерной инфраструктуры на сельских территориях (агломерациях)</t>
  </si>
  <si>
    <t>Муниципальная целевая программа "Комплексное обустройство сельских территорий Тутаевского муниципального округа"</t>
  </si>
  <si>
    <t>10.2.01</t>
  </si>
  <si>
    <t>Обеспечение реализации проектов по строительству, ремонту и реконструкции социальных объектов</t>
  </si>
  <si>
    <t>ИТОГО ПРОГРАММНЫЕ РАСХОДЫ</t>
  </si>
  <si>
    <t>0103</t>
  </si>
  <si>
    <t xml:space="preserve">Содержание МС </t>
  </si>
  <si>
    <t>0106</t>
  </si>
  <si>
    <t>Содержание КСП</t>
  </si>
  <si>
    <t>0111</t>
  </si>
  <si>
    <t>0113</t>
  </si>
  <si>
    <t xml:space="preserve">Членские взносы </t>
  </si>
  <si>
    <t>Административные штрафы</t>
  </si>
  <si>
    <t>Почетный гражданин</t>
  </si>
  <si>
    <t>Старосты</t>
  </si>
  <si>
    <t>1202</t>
  </si>
  <si>
    <t>периодическая печать и издательства</t>
  </si>
  <si>
    <t>1300</t>
  </si>
  <si>
    <t>проценты за пользование бюджетным кредитом</t>
  </si>
  <si>
    <t>УСЛОВНО УТВЕРЖДЕННЫЕ РАСХОДЫ</t>
  </si>
  <si>
    <t>ВСЕГО РАСХОДОВ</t>
  </si>
  <si>
    <t>ВСЕГО ДОХОДОВ</t>
  </si>
  <si>
    <t>Собственные доходы</t>
  </si>
  <si>
    <t>в том числе дорожный фонд</t>
  </si>
  <si>
    <t>Дотация на выравнивание + решение вопросов местного значения</t>
  </si>
  <si>
    <t>Дотации бюджетам НПА ЯО</t>
  </si>
  <si>
    <t>Прочие безвозмездные</t>
  </si>
  <si>
    <t>ДЕФИЦИТ/ПРОФИЦИТ</t>
  </si>
  <si>
    <t xml:space="preserve"> ГРБС ( распорядители БС)- направление расхода</t>
  </si>
  <si>
    <t>2027 год</t>
  </si>
  <si>
    <t>2028 год</t>
  </si>
  <si>
    <t>Примечания (расшифровка) ДФ</t>
  </si>
  <si>
    <t>Код программы/направления расхода</t>
  </si>
  <si>
    <t>Средства бюджета округа</t>
  </si>
  <si>
    <t>8.3.00</t>
  </si>
  <si>
    <t>8.4.00</t>
  </si>
  <si>
    <t>01.2.Ю6</t>
  </si>
  <si>
    <t>организация и проведение культурных мероприятий, направленных на улучшение соц. самочувствия жителей</t>
  </si>
  <si>
    <t>08.1.И2</t>
  </si>
  <si>
    <t>03.4.И4</t>
  </si>
  <si>
    <t>0405</t>
  </si>
  <si>
    <t>2026 год</t>
  </si>
  <si>
    <t>дотация</t>
  </si>
  <si>
    <t>дотация НПА</t>
  </si>
  <si>
    <t>Дотация НПА</t>
  </si>
  <si>
    <t xml:space="preserve"> дотация НПА (кап. ремонт жилых помещений)</t>
  </si>
  <si>
    <t>Межбюджетные трансферты на реализацию мероприятий по строительству и реконструкции объектов водоснабжения и водоотведения за счет средств, высвобождаемых в рамках списания двух третей задолженности по отдельным бюджетным кредитам</t>
  </si>
  <si>
    <t>Межбюджетные трансферты на строительство и реконструкцию автомобильных дорог общего пользования муниципальной собственности и искусственных сооружений на них в целях реализации новых инвестиционных проектов за счет средств, высвобождаемых в рамках списания двух третей задолженности Ярославской области по отдельным бюджетным кредитам из федерального бюджета</t>
  </si>
  <si>
    <t>Межбюджетные трансферты на организацию зон отдыха и катания на коньках в зимний период на общественных территориях муниципальных образований Ярославской области</t>
  </si>
  <si>
    <t>Межбюджетные трансферты на предоставление ежемесячного денежного вознаграждения народным дружинникам за участие в мероприятиях по охране общественного порядка</t>
  </si>
  <si>
    <t>960 2 02 49999 14 4027 150</t>
  </si>
  <si>
    <t>Межбюджетные трансферты на реализацию мероприятий по содержанию и обслуживанию кислогудронных прудов</t>
  </si>
  <si>
    <t>960 2 02 49999 14 4018 150</t>
  </si>
  <si>
    <t>960 2 02 49999 14 4011 150</t>
  </si>
  <si>
    <t>000 2 02 40000 00 0000 150</t>
  </si>
  <si>
    <t xml:space="preserve">960 2 02 35304 14 0000 150 </t>
  </si>
  <si>
    <t>960 2 02 35303 14 0000 150</t>
  </si>
  <si>
    <t xml:space="preserve">960 2 02 35179 14 0000 150 </t>
  </si>
  <si>
    <t>960 2 02 35120 14 0000 150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</si>
  <si>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</si>
  <si>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960 2 02 35118 14 0000 150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</si>
  <si>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</si>
  <si>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960 2 02 35050 14 0000 150</t>
  </si>
  <si>
    <t>Субвенции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</si>
  <si>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960 2 02 30024 14 3043 150</t>
  </si>
  <si>
    <t>Субвенция на освобождение от взимаемой с родителей (законных представителей) платы за присмотр и уход за детьми</t>
  </si>
  <si>
    <t>960 2 02 30024 14 3031 150</t>
  </si>
  <si>
    <t>960 2 02 30024 14 3027 150</t>
  </si>
  <si>
    <t>960 2 02 30024 14 3015 150</t>
  </si>
  <si>
    <t>960 2 02 30024 14 3014 150</t>
  </si>
  <si>
    <t>960 2 02 30024 14 3007 150</t>
  </si>
  <si>
    <t>960 2 02 30024 14 3006 150</t>
  </si>
  <si>
    <t>Субвенция на обеспечение отдыха и оздоровления детей</t>
  </si>
  <si>
    <t>000 2 02 30000 00 0000 150</t>
  </si>
  <si>
    <t>Субвенции бюджетам бюджетной системы Российской Федерации</t>
  </si>
  <si>
    <t>960 2 02 29999 14 2056 150</t>
  </si>
  <si>
    <t>Субсидия на реализацию мероприятий по обеспечению обязательных требований охраны объектов образования I – III категорий опасности</t>
  </si>
  <si>
    <t>960 2 02 29999 14 2040 150</t>
  </si>
  <si>
    <t>Субсидия на организацию временного трудоустройства несовершеннолетних граждан в возрасте от 14 до 18 лет в свободное от учебы время</t>
  </si>
  <si>
    <t>960 2 02 29999 14 2015 150</t>
  </si>
  <si>
    <t>960 2 02 29999 14 2004 150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</si>
  <si>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малонаселенные и (или) отдаленные населенные пункты</t>
  </si>
  <si>
    <t>960 2 02 25750 14 0000 150</t>
  </si>
  <si>
    <t>Субсидии бюджетам муниципальных округов на реализацию мероприятий по модернизации школьных систем образования</t>
  </si>
  <si>
    <t>960 2 02 25555 14 0000 150</t>
  </si>
  <si>
    <t>Субсидии бюджетам муниципальных округов на реализацию программ формирования современной городской среды</t>
  </si>
  <si>
    <t>960 2 02 25519 14 0000 150</t>
  </si>
  <si>
    <t xml:space="preserve">Субсидия на комплектование книжных фондов государственных и муниципальных библиотек </t>
  </si>
  <si>
    <t>960 2 02 25497 14 0000 150</t>
  </si>
  <si>
    <t>Субсидии бюджетам муниципальных округов на реализацию мероприятий по обеспечению жильем молодых семей</t>
  </si>
  <si>
    <t>960 2 02 25228 14 0000 150</t>
  </si>
  <si>
    <t>Субсидии бюджетам муниципальных округов на оснащение объектов спортивной инфраструктуры спортивно-технологическим оборудованием</t>
  </si>
  <si>
    <t>960 2 02 20302 14 0000 150</t>
  </si>
  <si>
    <t>Субсидия на обеспечение мероприятий по переселению граждан из аварийного жилищного фонда за счет средств областного бюджета</t>
  </si>
  <si>
    <t>960 2 02 20299 14 0000 150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</si>
  <si>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«Фонд развития территорий»</t>
  </si>
  <si>
    <t>960 2 02 20041 14 0000 150</t>
  </si>
  <si>
    <t>000 2 02 20000 00 0000 150</t>
  </si>
  <si>
    <t>Субсидии бюджетам бюджетной системы Российской Федерации (межбюджетные субсидии)</t>
  </si>
  <si>
    <t>961 2 02 19999 14 1004 150</t>
  </si>
  <si>
    <t>Дотации на реализацию мероприятий, предусмотренных нормативными правовыми актами органов государственной власти ЯО</t>
  </si>
  <si>
    <t>961 2 02 15001 14 0000 150</t>
  </si>
  <si>
    <t>Дотации на выравнивание бюджетной обеспеченности  муниципальных районов Ярославской области</t>
  </si>
  <si>
    <t>000 2 02 10000 00 0000 150</t>
  </si>
  <si>
    <t>Дотации бюджетам бюджетной системы Российской Федерации</t>
  </si>
  <si>
    <t>000 2 02 00000 00 0000 000</t>
  </si>
  <si>
    <t>Безвозмездные поступления от других бюджетов бюджетной системы Российской Федерации</t>
  </si>
  <si>
    <t>960 2 02 49999 14 4030 150</t>
  </si>
  <si>
    <t>960 2 02 49999 14 4046 150</t>
  </si>
  <si>
    <t>960 2 02 49999 14 4047 150</t>
  </si>
  <si>
    <t>960 2 02 49999 14 4050 150</t>
  </si>
  <si>
    <t>1006</t>
  </si>
  <si>
    <t>другие вопросы в области соц. политики</t>
  </si>
  <si>
    <t>0408</t>
  </si>
  <si>
    <t>речной транспорт</t>
  </si>
  <si>
    <t>0503</t>
  </si>
  <si>
    <t xml:space="preserve">01.2.Ю4 </t>
  </si>
  <si>
    <t>Реализация  федерального проекта "Все лучшее детям"</t>
  </si>
  <si>
    <t>разница  по доходам</t>
  </si>
  <si>
    <t>Расходы на обеспечение отдыха и оздоровления детей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</si>
  <si>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</si>
  <si>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Расходы на ежемесячное денежное вознаграждение советникам директора по воспитанию и взаимодействию с детскими общественными объединениями муниципальных общеобразовательных организаций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</si>
  <si>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</si>
  <si>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Расходы на 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</si>
  <si>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1. Изменения доходов бюджета Тутаевского муниципального округа</t>
  </si>
  <si>
    <t xml:space="preserve">	Расходы в области благоустройства и озеленения</t>
  </si>
  <si>
    <t>Расходы на реализацию мероприятий, предусмотренных нормативными правовыми актами органов государственной власти Ярославской области</t>
  </si>
  <si>
    <t>Расходы на осуществление полномочий по первичному воинскому учету органами местного самоуправления муниципальных и городских округов</t>
  </si>
  <si>
    <t xml:space="preserve">Расходы на осуществление полномочий по составлению (изменению) списков кандидатов в присяжные заседатели федеральных судов общей юрисдикции </t>
  </si>
  <si>
    <t xml:space="preserve">	Расходы на реализацию отдельных полномочий в сфере законодательства об административных правонарушениях</t>
  </si>
  <si>
    <t xml:space="preserve">	Расходы связанные с ликвидацией учреждений</t>
  </si>
  <si>
    <t>Расходы на выполнение других обязательств органов местного самоуправления (дотация НПА)</t>
  </si>
  <si>
    <t>Расходы на обеспечение деятельности подведомственных учреждений органов местного самоуправления</t>
  </si>
  <si>
    <t>Расходы на комплектование книжных фондов муниципальных библиотека</t>
  </si>
  <si>
    <t>Расходы на выплату премий и ежемесячных разовых стипендий Главы</t>
  </si>
  <si>
    <t>Расходы на компенсацию части расходов на приобретение путевки в организации отдыха детей и их оздоровления</t>
  </si>
  <si>
    <t xml:space="preserve">Расходы на реализацию мероприятий по модернизации школьных систем образования </t>
  </si>
  <si>
    <t xml:space="preserve">Расходы на реализацию мероприятий, предусмотренных нормативными правовыми актами органов государственной власти Ярославской области </t>
  </si>
  <si>
    <t xml:space="preserve">Организация предоставления услуг грузопассажирской речной переправы через р. Волга в г. Тутаев </t>
  </si>
  <si>
    <t>Расходы на обеспечение деятельности учреждений по организации досуга в сфере культуры (РДК и РЦКиД, Туризм)</t>
  </si>
  <si>
    <t>Расходы на мероприятия в сфере культуры</t>
  </si>
  <si>
    <t>Расходы на обеспечение деятельности учреждений дополнительного образования (ДШИ)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</si>
  <si>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</si>
  <si>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Расходы на мероприятия по обеспечение обязательных требований охраны объектов образования 1-3 категории опасности</t>
  </si>
  <si>
    <t>Расходы на организацию питания обучающихся образовательных учреждений</t>
  </si>
  <si>
    <t>01.6.06</t>
  </si>
  <si>
    <t>Расходы на поддержку организаций оказывающих содействие в проведении специальной военной операции</t>
  </si>
  <si>
    <t>Расходы на реализацию программ формирования современной городской среды</t>
  </si>
  <si>
    <t xml:space="preserve">Расходы на обеспечение мероприятий по организации населению услуг бань в общих отделения </t>
  </si>
  <si>
    <t>Расходы на реализацию мероприятий по строительству и реконструкции объектов водоснабжения и водоотведения за счет средств, высвобождаемых в рамках списания двух третей задолженности по отдельным бюджетным кредитам</t>
  </si>
  <si>
    <t xml:space="preserve">Расходы на исполнение судебных актов, актов других органов и должностных лиц, иных документов </t>
  </si>
  <si>
    <t>Расходы на содержание объектов спортивной инфраструктуры</t>
  </si>
  <si>
    <t>Расходы на мероприятия в области спорта и физической культуры</t>
  </si>
  <si>
    <t xml:space="preserve">Расходы на обеспечение деятельности учреждений спорта </t>
  </si>
  <si>
    <t>Расходы на обеспечение содержания и организации деятельности аварийно-спасательных служб</t>
  </si>
  <si>
    <t>Расходы на обеспечение мероприятий по управлению и распоряжению имуществом</t>
  </si>
  <si>
    <t>Расходы на мероприятий по развитию, ремонту и содержанию муниципального жилищного фонда</t>
  </si>
  <si>
    <t>Резервные фонды местных администраций</t>
  </si>
  <si>
    <t>Расходы на организацию мероприятий при осуществлении деятельности по обращению с животными без владельцев</t>
  </si>
  <si>
    <t>Расходы на освобождение от взимаемой платы с родителей (законных представителей) платы за присмотр и уход за детьми</t>
  </si>
  <si>
    <t>Расходы на обеспечение деятельности дошкольных учреждений</t>
  </si>
  <si>
    <t>Обеспечение деятельности учреждений дополнительного образования</t>
  </si>
  <si>
    <t xml:space="preserve">	Расходы на содержание центрального аппарата</t>
  </si>
  <si>
    <t>Расходы на выплаты единовременной материальной помощи лицам, заключившим контракт о прохождении военной службы в ВС РФ в районе СВО и их предоставление соц. поддержки семьям (резервный фонд)</t>
  </si>
  <si>
    <t>Расходы на мероприятия по возмещению части затрат организациям и индивидуальным предпринимателям, занимающимся доставкой товаров в малонаселенные и отдаленные населенные пункты</t>
  </si>
  <si>
    <t>Расходы на организацию временного трудоустройства несовершеннолетних граждан в возрасте от 14 до 18 лет в свободное от учебы время</t>
  </si>
  <si>
    <t>Расходы на строительство и реконструкцию автомобильных дорог общего пользования муниципальной собственности и искусственных сооружений на них в целях реализации новых инвестиционных проектов</t>
  </si>
  <si>
    <t>Расходы на капитальный ремонт и ремонт дорожных объектов муниципальной собственности</t>
  </si>
  <si>
    <t xml:space="preserve">Расходы на обеспечение мероприятий по переселению граждан из аварийного жилищного фонда </t>
  </si>
  <si>
    <t>Расходы на мероприятия по поддержке молодых семей в приобретении (строительстве) жилья</t>
  </si>
  <si>
    <t>ПРОГРАММНЫЕ РАСХОДЫ БЮДЖЕТА</t>
  </si>
  <si>
    <t>НЕПРОГРАММНЫЕ РАСХОДЫ БЮДЖЕТА</t>
  </si>
  <si>
    <t>ВСЕГО РАСХОДЫ БЮДЖЕТА</t>
  </si>
  <si>
    <t>Расходы на реализацию проекта по формированию современной городской среды (доп. работы)</t>
  </si>
  <si>
    <t>Расходы на благоустройство дворовых территорий, установку детских игровых площадок и обустройство территорий для выгула животных</t>
  </si>
  <si>
    <t>Мероприятия по содержанию и обслуживанию кисло гудронных прудов</t>
  </si>
  <si>
    <t>Расходы на реализацию мероприятий по содержанию и обслуживанию кисло гудронных прудов</t>
  </si>
  <si>
    <t>категорирование объектов -мест массово пребывания</t>
  </si>
  <si>
    <t>приобретение спецоборудования</t>
  </si>
  <si>
    <t xml:space="preserve">Расходы на уплату взносов на капитальный ремонт жилых помещений муниципального жилищного фонда </t>
  </si>
  <si>
    <t>капремонт лифтов</t>
  </si>
  <si>
    <t>подготовка тех. планов</t>
  </si>
  <si>
    <t>обследование жил. Фонда</t>
  </si>
  <si>
    <t>межевание</t>
  </si>
  <si>
    <t>компенсация найма жилья (12080)</t>
  </si>
  <si>
    <t>благоустройство (НПА)</t>
  </si>
  <si>
    <t>Реализация федерального проекта "Педагоги и наставники"</t>
  </si>
  <si>
    <t>03.4.05</t>
  </si>
  <si>
    <t>Благоустройство территории у Константиновского СДК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</si>
  <si>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</si>
  <si>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</si>
  <si>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01.7.05</t>
  </si>
  <si>
    <t>Расходы на обеспечение выплат физическим лицам, военнослужащим, заключившим контракт и проходящим службу в зоне СВО и их семьям, в целях поддержки и содействия в проведении специальной военной операции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</si>
  <si>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</si>
  <si>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960 2 02 29999 14 2032 150</t>
  </si>
  <si>
    <t>Субсидия на обустройство и восстановление воинских захоронений, военно-мемориальных объектов, произведений монументальной скульптуры или архитектурных сооружений</t>
  </si>
  <si>
    <t>960 2 02 29999 14 2060 150</t>
  </si>
  <si>
    <t>960 2 02 49999 14 4007 150</t>
  </si>
  <si>
    <t>960 2 02 49999 14 4008 150</t>
  </si>
  <si>
    <t>Межбюджетные трансферты на благоустройство дворовых территорий, установку детских игровых площадок и обустройство территорий для выгула животных</t>
  </si>
  <si>
    <t>960 2 02 49999 14 4010 150</t>
  </si>
  <si>
    <t>Межбюджетные трансферты на благоустройство сельских территорий Ярославской области</t>
  </si>
  <si>
    <t>960 2 02 49999 14 4025 150</t>
  </si>
  <si>
    <t xml:space="preserve">Инициативное </t>
  </si>
  <si>
    <t>Школьное инициативное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</si>
  <si>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</si>
  <si>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</si>
  <si>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</si>
  <si>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</si>
  <si>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Единый сельскохозяйственный налог</t>
  </si>
  <si>
    <t>Налог, взимаемый в связи с патентной системой налогообложения</t>
  </si>
  <si>
    <t>Неналоговые доходы</t>
  </si>
  <si>
    <t>Штрафы</t>
  </si>
  <si>
    <t>Налог на имущество ФЛ</t>
  </si>
  <si>
    <t xml:space="preserve">Аренда земли </t>
  </si>
  <si>
    <t>000 116 00000 00 0000 140</t>
  </si>
  <si>
    <t>вост.БА ( на обесп.соф. несссовершнолетние)+32,81т.р.,</t>
  </si>
  <si>
    <t>отсутствие потребности</t>
  </si>
  <si>
    <t>182 101 02000 01 0000 110</t>
  </si>
  <si>
    <t>Налог на добычу общераспространенных полезных ископаемых</t>
  </si>
  <si>
    <t>182 1 06 01020 14 1000 110</t>
  </si>
  <si>
    <t xml:space="preserve">960 1 11 05012 14 0000 120       960 1 11 05024 14 0000 120     </t>
  </si>
  <si>
    <t>960 1 11 09044 14 0000 120</t>
  </si>
  <si>
    <t>960 1 13 01994 14 0001 130</t>
  </si>
  <si>
    <t>960 1 14 06312 14 0000 430</t>
  </si>
  <si>
    <t>Плата за увеличение площади земельных участков, находящихся в частной собственности</t>
  </si>
  <si>
    <t>Прочие доходы от использования имущества (плата за наем)</t>
  </si>
  <si>
    <t>Доходы от оказания платных услуг (ведение бухгалтерского учета)</t>
  </si>
  <si>
    <t>960 1 14 06012 14 0000 430</t>
  </si>
  <si>
    <t>Доходы от продажи земельных участков, государственная собственность на которые не разграничена</t>
  </si>
  <si>
    <t>АТМО</t>
  </si>
  <si>
    <t>приобретение моноблоков депутатам</t>
  </si>
  <si>
    <t>Содержание Администрации ТМО</t>
  </si>
  <si>
    <t>невостребованные БА на выкуп зе.участков -132,072т.р..</t>
  </si>
  <si>
    <t>невостребованные БА на покупку квартир по реш.суда -343,522т.р..</t>
  </si>
  <si>
    <t>Членские взносы в СМО -500,0т.р.,</t>
  </si>
  <si>
    <t>компенсация найма жилья -108,0т.р.</t>
  </si>
  <si>
    <t>Предложения ГАДБ</t>
  </si>
  <si>
    <t>Предложения ГАДБ - УМИ иЗО АТМО</t>
  </si>
  <si>
    <t>Предложения ГАДБ - МКУ ЦБУ АТМО</t>
  </si>
  <si>
    <t>01.2.05</t>
  </si>
  <si>
    <t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педагогическим работникам</t>
  </si>
  <si>
    <t>Расходы на обеспечение деятельности прочих учреждений в сфере образования</t>
  </si>
  <si>
    <t>Расходы на обеспечение деятельности учреждений библиотека</t>
  </si>
  <si>
    <t>МК сняли субсидию</t>
  </si>
  <si>
    <t>озеленение</t>
  </si>
  <si>
    <t>содержание Центрального парка</t>
  </si>
  <si>
    <t>182 105 03010 01 1000 110</t>
  </si>
  <si>
    <t>182 105 04020 02 1000 110</t>
  </si>
  <si>
    <t>182 107 01020 01 1000 110</t>
  </si>
  <si>
    <t>Предложения ГАДБ - УФНС РФ по ЯО</t>
  </si>
  <si>
    <t>перераспределены на оплату мировых соглашений Газпром</t>
  </si>
  <si>
    <t>перераспределение внутри программы для уточнения классификации</t>
  </si>
  <si>
    <t>доп. Потребность на ремонт маневренного фонда</t>
  </si>
  <si>
    <t>не законтрактованные средства</t>
  </si>
  <si>
    <t xml:space="preserve">	Расходы связанные с ликвидацией учреждений			</t>
  </si>
  <si>
    <t>Расходы на закрытие кредиторской задолженности сел.территорий, невостребованные БА</t>
  </si>
  <si>
    <t>кредиторская задолженность 2025 год</t>
  </si>
  <si>
    <t>отечественное ПО</t>
  </si>
  <si>
    <t>школьное инициативное  ремонт школ</t>
  </si>
  <si>
    <t>12 человек по 12т.р</t>
  </si>
  <si>
    <t xml:space="preserve">Расходы на функционирование систем оповещения </t>
  </si>
  <si>
    <t>установка СО на здание ЦО № 7 (городская СО)</t>
  </si>
  <si>
    <t>обслуживание камер</t>
  </si>
  <si>
    <t>ремонт квартир участникам ВОВ</t>
  </si>
  <si>
    <t>НДС с продажи имущества д.Белятино 17, ул. Панина 22а</t>
  </si>
  <si>
    <t xml:space="preserve"> невостребованные БА</t>
  </si>
  <si>
    <t>обучение закупки</t>
  </si>
  <si>
    <t>дополнительные БА в связи с увеличением ст-ти кв.м.</t>
  </si>
  <si>
    <t>экономия после ликвидационных мероприятий 151т.р. Перераспределена на Стимул для ликвидации</t>
  </si>
  <si>
    <t>экономия при торгах забор ДШИ школ -2 248,08.р.,</t>
  </si>
  <si>
    <t>ИТОГО НЕПРОГРАММНЫЕ РАСХОДЫ</t>
  </si>
  <si>
    <t>Ярлето</t>
  </si>
  <si>
    <t>Инициативное "Решаем вместе"</t>
  </si>
  <si>
    <t xml:space="preserve"> ремонт Экрана</t>
  </si>
  <si>
    <t>ограждение ДШИ 1900т.р.; ремонт кровли ДШИ 2710т.р.</t>
  </si>
  <si>
    <t>ремонт крыльца лицей № 1</t>
  </si>
  <si>
    <t>ремонт кровли Галактика</t>
  </si>
  <si>
    <t>поддержка футбольной команды левобережная школа</t>
  </si>
  <si>
    <t>депутатские (снегоуборочная техника, озеленение, МАФы)</t>
  </si>
  <si>
    <t>снижение БА с кредиторской задолженности за 2025 год</t>
  </si>
  <si>
    <t>программа на 2027год соф.-3 828,789т.р.., доп.пл. 141778т.р..перераспределены на оплату  исполнительных  листов</t>
  </si>
  <si>
    <t xml:space="preserve"> Исполнительный лист 2393,6 т.р. Передвижка</t>
  </si>
  <si>
    <t>поощрение дотация ЯО 450т.р., подсветка здания АТМО 6000,0т.р.</t>
  </si>
  <si>
    <t>содержание Ледовой арены</t>
  </si>
  <si>
    <t>строительство и ремонт памятников</t>
  </si>
  <si>
    <t xml:space="preserve"> экономия после заключения договора с ЧОП</t>
  </si>
  <si>
    <t>0</t>
  </si>
  <si>
    <t>обустройство фонтана в Центральном парке - 1 000,0т.р  делать за счет ассигнований 2027 года</t>
  </si>
  <si>
    <t>305т.р. на выплаты по ГПХ, замена средств -8436т.р. на областные средства бухгалтерские услуги (перенесены в программу образования ; 954,2тт.р. Перераспределены на налоги по з/п с экономии по выходным пособия;</t>
  </si>
  <si>
    <t xml:space="preserve">Расходы на обеспечение деятельности подведомственных учреждений органов местного самоуправления </t>
  </si>
  <si>
    <t>Снятие БА по уведомлениям ЯО</t>
  </si>
  <si>
    <t xml:space="preserve"> депутатские 250 т.р.Серпантин поездка в С.-Петербург на фестиваль; 200т.р. Истоки наши</t>
  </si>
  <si>
    <t>обеспечение со финансирования устройства "Вечного огня" п. Константиновский  (2 этап)565,3т.р; памятник дети войны 1000 т..</t>
  </si>
  <si>
    <t>Перераспределение с резервного фонда Администрации ТМО ( за счет дотации НПА ЯО)</t>
  </si>
  <si>
    <t>депутатские (Вахта памяти, движение первых, видеосъемка Экшен, поездка ветераны)</t>
  </si>
  <si>
    <t xml:space="preserve">депутатские (тренажеры,будо- маты, транспортные расходы, снегоуборочная техника) </t>
  </si>
  <si>
    <t>оплата мировых соглашений Газпром</t>
  </si>
  <si>
    <t>9218,3 тыс. рублей исполнительный лист. Передвижка</t>
  </si>
  <si>
    <t>депутатские ремонт кровли п. Фоминский СКК</t>
  </si>
  <si>
    <t>678,9 т.р. Перераспределены на з/п с экономии по выходным пособиям</t>
  </si>
  <si>
    <t>обеспечение со финансирования согласно новой методики 67 на 33%</t>
  </si>
  <si>
    <t>уменьшение суммы со финансирования -98,0т.р.р.,</t>
  </si>
  <si>
    <t>невостребованные БА (антитеррор ЧОП) -1 506,08т.р.,доп.потребность вых пособие +2 610,05т.р.,2027 год ремонт дома Бабушкина 6,8 млн. руб.</t>
  </si>
  <si>
    <t>депутатские (поездки, аппаратура, баннеры и т.д.)</t>
  </si>
  <si>
    <t>депутатские издание альманаха</t>
  </si>
  <si>
    <t>Расходы на содержание учреждений  образования</t>
  </si>
  <si>
    <t xml:space="preserve"> С-ва ЯО 8436,0  услуги по бухучету и  замещены собственными денеж.ср-ми</t>
  </si>
  <si>
    <t xml:space="preserve">содержание Главы ТМО командировочные -750,0т.р., С ФОТ Главы 2660т.р. Перераспределены на ФОТ Администрации,-400т.р. Выходное пособие перераспределено на ФОТ;+26,8т.р. Транспортный налог; </t>
  </si>
  <si>
    <t>МП СШ доп. потребность на выходное пособие +920,0т.р, ЧОП -2700,00; ремонты -2264,2 перенесены содержание  на ледовой арены..</t>
  </si>
  <si>
    <t>Расходы на обеспечение деятельности учреждений молодежи</t>
  </si>
  <si>
    <t>МП СШ доп. потребность на выходное пособие +215т.р</t>
  </si>
  <si>
    <t>перераспределены в программу благоустройство</t>
  </si>
  <si>
    <t xml:space="preserve">экономия по выплате выходн. Пособия ЕДДС -1 663,904т.р.,УСТ трансп. налог +93,604т.р.,; -632,6 т.р.невостребованные БА ЦОД на ПСД-632,6т.р.,+498,9 содержание имущества на Агентство перераспределены с </t>
  </si>
  <si>
    <t>3,8 млн. перераспределены на выплаты СВО + 45 мл. руб. . Увеличения БА резервного фонда</t>
  </si>
  <si>
    <t xml:space="preserve">250,0 т.р ремонт  горячего водоснабжения/с Аленушка; </t>
  </si>
  <si>
    <t>исполнительный лист</t>
  </si>
  <si>
    <t>6т.р оплата исполнительного листа (ГСК-2 Автолюбитель 2) ДМИ ;+ 1000т.р. Резерв Администрация исполн.;  Перераспределены с программы переселение на оплату исполнительных листов.</t>
  </si>
  <si>
    <t>перераспределены на обеспечение софинасирования установка вечного огня п.Константиновский (в МЦП Патриотика)</t>
  </si>
  <si>
    <t>эк. охрана базы-37,349т.р., невостребованные БА;.муралы Комсомольская 113,115- 400т.р.,16183,03 ру. Исполнительный Коломенский, Жирякова</t>
  </si>
  <si>
    <t>экономия при торгах строй контроль при капремонте школ -1 203,145т.р.,оплата по исполнительных сборов по штрафам ОУ "Успех" и ОК "Олимп"+300,0т.р, С-ва ЯО 8436,0 перенесены на услуги по бухучету и  замещены собственными денеж.ср-ми; 660,4 т.р. перераспределено на со финансирование по инициативному; -25т.р. перераспределены на патриотику</t>
  </si>
  <si>
    <t>невостребованные БА (антитеррор ЧОП) -1 193,92т.р.,</t>
  </si>
  <si>
    <t>реализация проекта Медвежья тропа 5 млн. руб.; 498,9 перераспределены в пределах 10% на ремонт архива</t>
  </si>
  <si>
    <t xml:space="preserve">  2. Изменения  расходов  бюджета Тутаевского муниципального округа на 2026 год и плановый период 2027-2028 годов     (редакция 3 май  2026)</t>
  </si>
  <si>
    <t xml:space="preserve">Итого изменения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</si>
</sst>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00"/>
    <numFmt numFmtId="165" formatCode="0.0%"/>
    <numFmt numFmtId="166" formatCode="#,##0.0"/>
    <numFmt numFmtId="167" formatCode="#\ ##0.00"/>
    <numFmt numFmtId="168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44" fontId="8" fillId="0" borderId="0" applyFont="0" applyFill="0" applyBorder="0" applyAlignment="0" applyProtection="0"/>
    <xf numFmtId="0" fontId="9" fillId="0" borderId="0"/>
    <xf numFmtId="9" fontId="8" fillId="0" borderId="0" applyFont="0" applyFill="0" applyBorder="0" applyAlignment="0" applyProtection="0"/>
  </cellStyleXfs>
  <cellXfs count="47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vertical="distributed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distributed" wrapText="1"/>
    </xf>
    <xf numFmtId="0" fontId="6" fillId="0" borderId="0" xfId="0" applyFont="1"/>
    <xf numFmtId="3" fontId="4" fillId="4" borderId="1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4" fontId="10" fillId="4" borderId="1" xfId="0" applyNumberFormat="1" applyFont="1" applyFill="1" applyBorder="1" applyAlignment="1">
      <alignment vertical="distributed" wrapText="1"/>
    </xf>
    <xf numFmtId="4" fontId="11" fillId="4" borderId="1" xfId="0" applyNumberFormat="1" applyFont="1" applyFill="1" applyBorder="1" applyAlignment="1">
      <alignment vertical="distributed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 readingOrder="1"/>
    </xf>
    <xf numFmtId="4" fontId="3" fillId="9" borderId="2" xfId="0" applyNumberFormat="1" applyFont="1" applyFill="1" applyBorder="1" applyAlignment="1">
      <alignment horizontal="center" vertical="center" wrapText="1" readingOrder="1"/>
    </xf>
    <xf numFmtId="49" fontId="15" fillId="7" borderId="26" xfId="0" applyNumberFormat="1" applyFont="1" applyFill="1" applyBorder="1" applyAlignment="1">
      <alignment horizontal="center" vertical="center" wrapText="1" readingOrder="1"/>
    </xf>
    <xf numFmtId="49" fontId="16" fillId="0" borderId="27" xfId="0" applyNumberFormat="1" applyFont="1" applyBorder="1" applyAlignment="1">
      <alignment horizontal="center" vertical="center" wrapText="1" readingOrder="1"/>
    </xf>
    <xf numFmtId="49" fontId="17" fillId="0" borderId="27" xfId="0" applyNumberFormat="1" applyFont="1" applyBorder="1" applyAlignment="1">
      <alignment horizontal="center" vertical="center" wrapText="1" readingOrder="1"/>
    </xf>
    <xf numFmtId="49" fontId="3" fillId="9" borderId="17" xfId="0" applyNumberFormat="1" applyFont="1" applyFill="1" applyBorder="1" applyAlignment="1">
      <alignment horizontal="center" vertical="center" wrapText="1" readingOrder="1"/>
    </xf>
    <xf numFmtId="4" fontId="15" fillId="7" borderId="9" xfId="0" applyNumberFormat="1" applyFont="1" applyFill="1" applyBorder="1" applyAlignment="1">
      <alignment horizontal="center" vertical="center" wrapText="1" readingOrder="1"/>
    </xf>
    <xf numFmtId="49" fontId="17" fillId="4" borderId="27" xfId="0" applyNumberFormat="1" applyFont="1" applyFill="1" applyBorder="1" applyAlignment="1">
      <alignment horizontal="center" vertical="center" wrapText="1" readingOrder="1"/>
    </xf>
    <xf numFmtId="49" fontId="15" fillId="7" borderId="27" xfId="0" applyNumberFormat="1" applyFont="1" applyFill="1" applyBorder="1" applyAlignment="1">
      <alignment horizontal="center" vertical="center" wrapText="1" readingOrder="1"/>
    </xf>
    <xf numFmtId="49" fontId="18" fillId="7" borderId="27" xfId="0" applyNumberFormat="1" applyFont="1" applyFill="1" applyBorder="1" applyAlignment="1">
      <alignment horizontal="center" vertical="center" wrapText="1" readingOrder="1"/>
    </xf>
    <xf numFmtId="49" fontId="3" fillId="7" borderId="26" xfId="0" applyNumberFormat="1" applyFont="1" applyFill="1" applyBorder="1" applyAlignment="1">
      <alignment horizontal="center" vertical="center" wrapText="1" readingOrder="1"/>
    </xf>
    <xf numFmtId="49" fontId="17" fillId="0" borderId="28" xfId="0" applyNumberFormat="1" applyFont="1" applyBorder="1" applyAlignment="1">
      <alignment horizontal="center" vertical="center" wrapText="1" readingOrder="1"/>
    </xf>
    <xf numFmtId="49" fontId="15" fillId="8" borderId="26" xfId="0" applyNumberFormat="1" applyFont="1" applyFill="1" applyBorder="1" applyAlignment="1">
      <alignment horizontal="center" vertical="center" wrapText="1" readingOrder="1"/>
    </xf>
    <xf numFmtId="49" fontId="19" fillId="3" borderId="27" xfId="0" applyNumberFormat="1" applyFont="1" applyFill="1" applyBorder="1" applyAlignment="1">
      <alignment horizontal="center" vertical="center" wrapText="1" readingOrder="1"/>
    </xf>
    <xf numFmtId="49" fontId="15" fillId="8" borderId="27" xfId="0" applyNumberFormat="1" applyFont="1" applyFill="1" applyBorder="1" applyAlignment="1">
      <alignment horizontal="center" vertical="center" wrapText="1" readingOrder="1"/>
    </xf>
    <xf numFmtId="49" fontId="19" fillId="3" borderId="28" xfId="0" applyNumberFormat="1" applyFont="1" applyFill="1" applyBorder="1" applyAlignment="1">
      <alignment horizontal="center" vertical="center" wrapText="1" readingOrder="1"/>
    </xf>
    <xf numFmtId="49" fontId="17" fillId="3" borderId="27" xfId="0" applyNumberFormat="1" applyFont="1" applyFill="1" applyBorder="1" applyAlignment="1">
      <alignment horizontal="center" vertical="center" wrapText="1" readingOrder="1"/>
    </xf>
    <xf numFmtId="49" fontId="16" fillId="4" borderId="27" xfId="0" applyNumberFormat="1" applyFont="1" applyFill="1" applyBorder="1" applyAlignment="1">
      <alignment horizontal="center" vertical="center" wrapText="1" readingOrder="1"/>
    </xf>
    <xf numFmtId="49" fontId="17" fillId="4" borderId="27" xfId="0" applyNumberFormat="1" applyFont="1" applyFill="1" applyBorder="1" applyAlignment="1">
      <alignment vertical="center" wrapText="1" readingOrder="1"/>
    </xf>
    <xf numFmtId="49" fontId="17" fillId="4" borderId="28" xfId="0" applyNumberFormat="1" applyFont="1" applyFill="1" applyBorder="1" applyAlignment="1">
      <alignment vertical="center" wrapText="1" readingOrder="1"/>
    </xf>
    <xf numFmtId="49" fontId="16" fillId="4" borderId="26" xfId="0" applyNumberFormat="1" applyFont="1" applyFill="1" applyBorder="1" applyAlignment="1">
      <alignment vertical="center" wrapText="1" readingOrder="1"/>
    </xf>
    <xf numFmtId="164" fontId="3" fillId="10" borderId="17" xfId="0" applyNumberFormat="1" applyFont="1" applyFill="1" applyBorder="1" applyAlignment="1">
      <alignment horizontal="center" vertical="center" wrapText="1" readingOrder="1"/>
    </xf>
    <xf numFmtId="49" fontId="16" fillId="3" borderId="27" xfId="0" applyNumberFormat="1" applyFont="1" applyFill="1" applyBorder="1" applyAlignment="1">
      <alignment horizontal="center" vertical="center" wrapText="1" readingOrder="1"/>
    </xf>
    <xf numFmtId="49" fontId="3" fillId="7" borderId="27" xfId="0" applyNumberFormat="1" applyFont="1" applyFill="1" applyBorder="1" applyAlignment="1">
      <alignment horizontal="center" vertical="center" wrapText="1" readingOrder="1"/>
    </xf>
    <xf numFmtId="49" fontId="17" fillId="0" borderId="1" xfId="0" applyNumberFormat="1" applyFont="1" applyBorder="1" applyAlignment="1">
      <alignment horizontal="center" vertical="center" wrapText="1" readingOrder="1"/>
    </xf>
    <xf numFmtId="4" fontId="3" fillId="9" borderId="33" xfId="0" applyNumberFormat="1" applyFont="1" applyFill="1" applyBorder="1" applyAlignment="1">
      <alignment horizontal="center" vertical="center" wrapText="1" readingOrder="1"/>
    </xf>
    <xf numFmtId="49" fontId="16" fillId="0" borderId="28" xfId="0" applyNumberFormat="1" applyFont="1" applyBorder="1" applyAlignment="1">
      <alignment horizontal="center" vertical="center" wrapText="1" readingOrder="1"/>
    </xf>
    <xf numFmtId="49" fontId="20" fillId="7" borderId="26" xfId="0" applyNumberFormat="1" applyFont="1" applyFill="1" applyBorder="1" applyAlignment="1">
      <alignment horizontal="center" vertical="center" wrapText="1" readingOrder="1"/>
    </xf>
    <xf numFmtId="49" fontId="17" fillId="0" borderId="29" xfId="0" applyNumberFormat="1" applyFont="1" applyBorder="1" applyAlignment="1">
      <alignment horizontal="center" vertical="center" wrapText="1" readingOrder="1"/>
    </xf>
    <xf numFmtId="49" fontId="3" fillId="12" borderId="17" xfId="0" applyNumberFormat="1" applyFont="1" applyFill="1" applyBorder="1" applyAlignment="1">
      <alignment horizontal="center" vertical="center" wrapText="1" readingOrder="1"/>
    </xf>
    <xf numFmtId="49" fontId="16" fillId="0" borderId="26" xfId="0" applyNumberFormat="1" applyFont="1" applyBorder="1" applyAlignment="1">
      <alignment horizontal="center" vertical="center" wrapText="1" readingOrder="1"/>
    </xf>
    <xf numFmtId="4" fontId="3" fillId="6" borderId="17" xfId="0" applyNumberFormat="1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 vertical="top" wrapText="1" readingOrder="1"/>
    </xf>
    <xf numFmtId="4" fontId="14" fillId="0" borderId="0" xfId="0" applyNumberFormat="1" applyFont="1" applyAlignment="1">
      <alignment wrapText="1"/>
    </xf>
    <xf numFmtId="4" fontId="3" fillId="0" borderId="23" xfId="0" applyNumberFormat="1" applyFont="1" applyBorder="1" applyAlignment="1">
      <alignment horizontal="center" vertical="center" wrapText="1" readingOrder="1"/>
    </xf>
    <xf numFmtId="4" fontId="3" fillId="0" borderId="18" xfId="0" applyNumberFormat="1" applyFont="1" applyBorder="1" applyAlignment="1">
      <alignment horizontal="center" vertical="center" wrapText="1" readingOrder="1"/>
    </xf>
    <xf numFmtId="4" fontId="3" fillId="0" borderId="22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 readingOrder="1"/>
    </xf>
    <xf numFmtId="4" fontId="3" fillId="0" borderId="19" xfId="0" applyNumberFormat="1" applyFont="1" applyBorder="1" applyAlignment="1">
      <alignment horizontal="center" vertical="center" wrapText="1" readingOrder="1"/>
    </xf>
    <xf numFmtId="4" fontId="18" fillId="7" borderId="9" xfId="0" applyNumberFormat="1" applyFont="1" applyFill="1" applyBorder="1" applyAlignment="1">
      <alignment horizontal="center" vertical="center" wrapText="1" readingOrder="1"/>
    </xf>
    <xf numFmtId="4" fontId="18" fillId="7" borderId="4" xfId="0" applyNumberFormat="1" applyFont="1" applyFill="1" applyBorder="1" applyAlignment="1">
      <alignment horizontal="center" vertical="center" wrapText="1" readingOrder="1"/>
    </xf>
    <xf numFmtId="10" fontId="18" fillId="7" borderId="20" xfId="0" applyNumberFormat="1" applyFont="1" applyFill="1" applyBorder="1" applyAlignment="1">
      <alignment horizontal="center" vertical="center" wrapText="1" readingOrder="1"/>
    </xf>
    <xf numFmtId="4" fontId="18" fillId="7" borderId="26" xfId="0" applyNumberFormat="1" applyFont="1" applyFill="1" applyBorder="1" applyAlignment="1">
      <alignment horizontal="center" vertical="center" wrapText="1" readingOrder="1"/>
    </xf>
    <xf numFmtId="4" fontId="18" fillId="7" borderId="20" xfId="0" applyNumberFormat="1" applyFont="1" applyFill="1" applyBorder="1" applyAlignment="1">
      <alignment horizontal="center" vertical="center" wrapText="1" readingOrder="1"/>
    </xf>
    <xf numFmtId="4" fontId="17" fillId="0" borderId="10" xfId="0" applyNumberFormat="1" applyFont="1" applyBorder="1" applyAlignment="1">
      <alignment horizontal="center" vertical="center" wrapText="1" readingOrder="1"/>
    </xf>
    <xf numFmtId="4" fontId="17" fillId="4" borderId="1" xfId="0" applyNumberFormat="1" applyFont="1" applyFill="1" applyBorder="1" applyAlignment="1">
      <alignment horizontal="center" vertical="center" wrapText="1" readingOrder="1"/>
    </xf>
    <xf numFmtId="10" fontId="17" fillId="0" borderId="5" xfId="0" applyNumberFormat="1" applyFont="1" applyBorder="1" applyAlignment="1">
      <alignment horizontal="center" vertical="center" wrapText="1" readingOrder="1"/>
    </xf>
    <xf numFmtId="4" fontId="17" fillId="0" borderId="1" xfId="0" applyNumberFormat="1" applyFont="1" applyBorder="1" applyAlignment="1">
      <alignment horizontal="center" vertical="center" wrapText="1" readingOrder="1"/>
    </xf>
    <xf numFmtId="4" fontId="17" fillId="0" borderId="27" xfId="0" applyNumberFormat="1" applyFont="1" applyBorder="1" applyAlignment="1">
      <alignment horizontal="center" vertical="center" wrapText="1" readingOrder="1"/>
    </xf>
    <xf numFmtId="4" fontId="17" fillId="0" borderId="5" xfId="0" applyNumberFormat="1" applyFont="1" applyBorder="1" applyAlignment="1">
      <alignment horizontal="center" vertical="center" wrapText="1" readingOrder="1"/>
    </xf>
    <xf numFmtId="4" fontId="17" fillId="4" borderId="10" xfId="0" applyNumberFormat="1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justify" vertical="top" wrapText="1" readingOrder="1"/>
    </xf>
    <xf numFmtId="4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" fontId="18" fillId="7" borderId="10" xfId="0" applyNumberFormat="1" applyFont="1" applyFill="1" applyBorder="1" applyAlignment="1">
      <alignment horizontal="center" vertical="center" wrapText="1" readingOrder="1"/>
    </xf>
    <xf numFmtId="4" fontId="18" fillId="7" borderId="1" xfId="0" applyNumberFormat="1" applyFont="1" applyFill="1" applyBorder="1" applyAlignment="1">
      <alignment horizontal="center" vertical="center" wrapText="1" readingOrder="1"/>
    </xf>
    <xf numFmtId="4" fontId="18" fillId="7" borderId="5" xfId="0" applyNumberFormat="1" applyFont="1" applyFill="1" applyBorder="1" applyAlignment="1">
      <alignment horizontal="center" vertical="center" wrapText="1" readingOrder="1"/>
    </xf>
    <xf numFmtId="4" fontId="18" fillId="7" borderId="27" xfId="0" applyNumberFormat="1" applyFont="1" applyFill="1" applyBorder="1" applyAlignment="1">
      <alignment horizontal="center" vertical="center" wrapText="1" readingOrder="1"/>
    </xf>
    <xf numFmtId="4" fontId="16" fillId="0" borderId="0" xfId="0" applyNumberFormat="1" applyFont="1" applyAlignment="1">
      <alignment horizontal="justify" vertical="top" wrapText="1" readingOrder="1"/>
    </xf>
    <xf numFmtId="4" fontId="14" fillId="0" borderId="0" xfId="0" applyNumberFormat="1" applyFont="1" applyAlignment="1">
      <alignment horizontal="justify" vertical="top" wrapText="1" readingOrder="1"/>
    </xf>
    <xf numFmtId="10" fontId="17" fillId="4" borderId="5" xfId="0" applyNumberFormat="1" applyFont="1" applyFill="1" applyBorder="1" applyAlignment="1">
      <alignment horizontal="center" vertical="center" wrapText="1" readingOrder="1"/>
    </xf>
    <xf numFmtId="4" fontId="17" fillId="4" borderId="27" xfId="0" applyNumberFormat="1" applyFont="1" applyFill="1" applyBorder="1" applyAlignment="1">
      <alignment horizontal="center" vertical="center" wrapText="1" readingOrder="1"/>
    </xf>
    <xf numFmtId="4" fontId="17" fillId="4" borderId="5" xfId="0" applyNumberFormat="1" applyFont="1" applyFill="1" applyBorder="1" applyAlignment="1">
      <alignment horizontal="center" vertical="center" wrapText="1" readingOrder="1"/>
    </xf>
    <xf numFmtId="4" fontId="16" fillId="0" borderId="27" xfId="0" applyNumberFormat="1" applyFont="1" applyBorder="1" applyAlignment="1">
      <alignment vertical="center" wrapText="1" readingOrder="1"/>
    </xf>
    <xf numFmtId="10" fontId="18" fillId="7" borderId="5" xfId="0" applyNumberFormat="1" applyFont="1" applyFill="1" applyBorder="1" applyAlignment="1">
      <alignment horizontal="center" vertical="center" wrapText="1" readingOrder="1"/>
    </xf>
    <xf numFmtId="165" fontId="17" fillId="0" borderId="5" xfId="0" applyNumberFormat="1" applyFont="1" applyBorder="1" applyAlignment="1">
      <alignment horizontal="center" vertical="center" wrapText="1" readingOrder="1"/>
    </xf>
    <xf numFmtId="165" fontId="17" fillId="0" borderId="20" xfId="0" applyNumberFormat="1" applyFont="1" applyBorder="1" applyAlignment="1">
      <alignment horizontal="center" vertical="center" wrapText="1" readingOrder="1"/>
    </xf>
    <xf numFmtId="4" fontId="17" fillId="0" borderId="12" xfId="0" applyNumberFormat="1" applyFont="1" applyBorder="1" applyAlignment="1">
      <alignment horizontal="center" vertical="center" wrapText="1" readingOrder="1"/>
    </xf>
    <xf numFmtId="4" fontId="17" fillId="4" borderId="6" xfId="0" applyNumberFormat="1" applyFont="1" applyFill="1" applyBorder="1" applyAlignment="1">
      <alignment horizontal="center" vertical="center" wrapText="1" readingOrder="1"/>
    </xf>
    <xf numFmtId="165" fontId="17" fillId="0" borderId="13" xfId="0" applyNumberFormat="1" applyFont="1" applyBorder="1" applyAlignment="1">
      <alignment horizontal="center" vertical="center" wrapText="1" readingOrder="1"/>
    </xf>
    <xf numFmtId="4" fontId="17" fillId="0" borderId="26" xfId="0" applyNumberFormat="1" applyFont="1" applyBorder="1" applyAlignment="1">
      <alignment horizontal="center" vertical="center" wrapText="1" readingOrder="1"/>
    </xf>
    <xf numFmtId="4" fontId="17" fillId="0" borderId="6" xfId="0" applyNumberFormat="1" applyFont="1" applyBorder="1" applyAlignment="1">
      <alignment horizontal="center" vertical="center" wrapText="1" readingOrder="1"/>
    </xf>
    <xf numFmtId="10" fontId="17" fillId="0" borderId="13" xfId="0" applyNumberFormat="1" applyFont="1" applyBorder="1" applyAlignment="1">
      <alignment horizontal="center" vertical="center" wrapText="1" readingOrder="1"/>
    </xf>
    <xf numFmtId="4" fontId="17" fillId="0" borderId="13" xfId="0" applyNumberFormat="1" applyFont="1" applyBorder="1" applyAlignment="1">
      <alignment horizontal="center" vertical="center" wrapText="1" readingOrder="1"/>
    </xf>
    <xf numFmtId="4" fontId="21" fillId="9" borderId="2" xfId="0" applyNumberFormat="1" applyFont="1" applyFill="1" applyBorder="1" applyAlignment="1">
      <alignment horizontal="center" vertical="center" wrapText="1" readingOrder="1"/>
    </xf>
    <xf numFmtId="4" fontId="21" fillId="9" borderId="11" xfId="0" applyNumberFormat="1" applyFont="1" applyFill="1" applyBorder="1" applyAlignment="1">
      <alignment horizontal="center" vertical="center" wrapText="1" readingOrder="1"/>
    </xf>
    <xf numFmtId="10" fontId="21" fillId="9" borderId="3" xfId="0" applyNumberFormat="1" applyFont="1" applyFill="1" applyBorder="1" applyAlignment="1">
      <alignment horizontal="center" vertical="center" wrapText="1" readingOrder="1"/>
    </xf>
    <xf numFmtId="4" fontId="21" fillId="9" borderId="17" xfId="0" applyNumberFormat="1" applyFont="1" applyFill="1" applyBorder="1" applyAlignment="1">
      <alignment horizontal="center" vertical="center" wrapText="1" readingOrder="1"/>
    </xf>
    <xf numFmtId="4" fontId="21" fillId="9" borderId="3" xfId="0" applyNumberFormat="1" applyFont="1" applyFill="1" applyBorder="1" applyAlignment="1">
      <alignment horizontal="center" vertical="center" wrapText="1" readingOrder="1"/>
    </xf>
    <xf numFmtId="4" fontId="18" fillId="9" borderId="2" xfId="0" applyNumberFormat="1" applyFont="1" applyFill="1" applyBorder="1" applyAlignment="1">
      <alignment horizontal="center" vertical="center" wrapText="1" readingOrder="1"/>
    </xf>
    <xf numFmtId="4" fontId="18" fillId="9" borderId="11" xfId="0" applyNumberFormat="1" applyFont="1" applyFill="1" applyBorder="1" applyAlignment="1">
      <alignment horizontal="center" vertical="center" wrapText="1" readingOrder="1"/>
    </xf>
    <xf numFmtId="4" fontId="18" fillId="9" borderId="3" xfId="0" applyNumberFormat="1" applyFont="1" applyFill="1" applyBorder="1" applyAlignment="1">
      <alignment horizontal="center" vertical="center" wrapText="1" readingOrder="1"/>
    </xf>
    <xf numFmtId="4" fontId="15" fillId="7" borderId="27" xfId="0" applyNumberFormat="1" applyFont="1" applyFill="1" applyBorder="1" applyAlignment="1">
      <alignment vertical="top" wrapText="1"/>
    </xf>
    <xf numFmtId="4" fontId="16" fillId="0" borderId="27" xfId="0" applyNumberFormat="1" applyFont="1" applyBorder="1" applyAlignment="1">
      <alignment wrapText="1"/>
    </xf>
    <xf numFmtId="4" fontId="15" fillId="7" borderId="27" xfId="0" applyNumberFormat="1" applyFont="1" applyFill="1" applyBorder="1" applyAlignment="1">
      <alignment wrapText="1"/>
    </xf>
    <xf numFmtId="4" fontId="16" fillId="0" borderId="27" xfId="0" applyNumberFormat="1" applyFont="1" applyBorder="1" applyAlignment="1">
      <alignment vertical="center" wrapText="1"/>
    </xf>
    <xf numFmtId="4" fontId="16" fillId="0" borderId="28" xfId="0" applyNumberFormat="1" applyFont="1" applyBorder="1" applyAlignment="1">
      <alignment vertical="center" wrapText="1"/>
    </xf>
    <xf numFmtId="4" fontId="17" fillId="0" borderId="28" xfId="0" applyNumberFormat="1" applyFont="1" applyBorder="1" applyAlignment="1">
      <alignment horizontal="center" vertical="center" wrapText="1" readingOrder="1"/>
    </xf>
    <xf numFmtId="4" fontId="16" fillId="4" borderId="26" xfId="0" applyNumberFormat="1" applyFont="1" applyFill="1" applyBorder="1" applyAlignment="1">
      <alignment wrapText="1"/>
    </xf>
    <xf numFmtId="4" fontId="16" fillId="4" borderId="27" xfId="0" applyNumberFormat="1" applyFont="1" applyFill="1" applyBorder="1" applyAlignment="1">
      <alignment wrapText="1"/>
    </xf>
    <xf numFmtId="4" fontId="16" fillId="0" borderId="27" xfId="4" applyNumberFormat="1" applyFont="1" applyBorder="1" applyAlignment="1">
      <alignment vertical="center" wrapText="1"/>
    </xf>
    <xf numFmtId="4" fontId="17" fillId="0" borderId="9" xfId="0" applyNumberFormat="1" applyFont="1" applyBorder="1" applyAlignment="1">
      <alignment horizontal="center" vertical="center" wrapText="1" readingOrder="1"/>
    </xf>
    <xf numFmtId="4" fontId="17" fillId="4" borderId="4" xfId="0" applyNumberFormat="1" applyFont="1" applyFill="1" applyBorder="1" applyAlignment="1">
      <alignment horizontal="center" vertical="center" wrapText="1" readingOrder="1"/>
    </xf>
    <xf numFmtId="4" fontId="17" fillId="0" borderId="4" xfId="0" applyNumberFormat="1" applyFont="1" applyBorder="1" applyAlignment="1">
      <alignment horizontal="center" vertical="center" wrapText="1" readingOrder="1"/>
    </xf>
    <xf numFmtId="4" fontId="17" fillId="0" borderId="20" xfId="0" applyNumberFormat="1" applyFont="1" applyBorder="1" applyAlignment="1">
      <alignment horizontal="center" vertical="center" wrapText="1" readingOrder="1"/>
    </xf>
    <xf numFmtId="4" fontId="21" fillId="7" borderId="10" xfId="0" applyNumberFormat="1" applyFont="1" applyFill="1" applyBorder="1" applyAlignment="1">
      <alignment horizontal="center" vertical="center" wrapText="1" readingOrder="1"/>
    </xf>
    <xf numFmtId="4" fontId="21" fillId="7" borderId="1" xfId="0" applyNumberFormat="1" applyFont="1" applyFill="1" applyBorder="1" applyAlignment="1">
      <alignment horizontal="center" vertical="center" wrapText="1" readingOrder="1"/>
    </xf>
    <xf numFmtId="10" fontId="21" fillId="7" borderId="5" xfId="0" applyNumberFormat="1" applyFont="1" applyFill="1" applyBorder="1" applyAlignment="1">
      <alignment horizontal="center" vertical="center" wrapText="1" readingOrder="1"/>
    </xf>
    <xf numFmtId="4" fontId="21" fillId="7" borderId="5" xfId="0" applyNumberFormat="1" applyFont="1" applyFill="1" applyBorder="1" applyAlignment="1">
      <alignment horizontal="center" vertical="center" wrapText="1" readingOrder="1"/>
    </xf>
    <xf numFmtId="10" fontId="17" fillId="9" borderId="3" xfId="0" applyNumberFormat="1" applyFont="1" applyFill="1" applyBorder="1" applyAlignment="1">
      <alignment horizontal="center" vertical="center" wrapText="1" readingOrder="1"/>
    </xf>
    <xf numFmtId="4" fontId="17" fillId="9" borderId="17" xfId="0" applyNumberFormat="1" applyFont="1" applyFill="1" applyBorder="1" applyAlignment="1">
      <alignment horizontal="center" vertical="center" wrapText="1" readingOrder="1"/>
    </xf>
    <xf numFmtId="4" fontId="19" fillId="7" borderId="9" xfId="0" applyNumberFormat="1" applyFont="1" applyFill="1" applyBorder="1" applyAlignment="1">
      <alignment horizontal="center" vertical="center" wrapText="1" readingOrder="1"/>
    </xf>
    <xf numFmtId="4" fontId="19" fillId="7" borderId="4" xfId="0" applyNumberFormat="1" applyFont="1" applyFill="1" applyBorder="1" applyAlignment="1">
      <alignment horizontal="center" vertical="center" wrapText="1" readingOrder="1"/>
    </xf>
    <xf numFmtId="10" fontId="19" fillId="7" borderId="20" xfId="0" applyNumberFormat="1" applyFont="1" applyFill="1" applyBorder="1" applyAlignment="1">
      <alignment horizontal="center" vertical="center" wrapText="1" readingOrder="1"/>
    </xf>
    <xf numFmtId="4" fontId="19" fillId="7" borderId="26" xfId="0" applyNumberFormat="1" applyFont="1" applyFill="1" applyBorder="1" applyAlignment="1">
      <alignment horizontal="center" vertical="center" wrapText="1" readingOrder="1"/>
    </xf>
    <xf numFmtId="4" fontId="19" fillId="7" borderId="20" xfId="0" applyNumberFormat="1" applyFont="1" applyFill="1" applyBorder="1" applyAlignment="1">
      <alignment horizontal="center" vertical="center" wrapText="1" readingOrder="1"/>
    </xf>
    <xf numFmtId="4" fontId="16" fillId="0" borderId="28" xfId="0" applyNumberFormat="1" applyFont="1" applyBorder="1" applyAlignment="1">
      <alignment wrapText="1"/>
    </xf>
    <xf numFmtId="4" fontId="16" fillId="5" borderId="27" xfId="0" applyNumberFormat="1" applyFont="1" applyFill="1" applyBorder="1" applyAlignment="1">
      <alignment wrapText="1"/>
    </xf>
    <xf numFmtId="4" fontId="17" fillId="0" borderId="16" xfId="0" applyNumberFormat="1" applyFont="1" applyBorder="1" applyAlignment="1">
      <alignment horizontal="center" vertical="center" wrapText="1" readingOrder="1"/>
    </xf>
    <xf numFmtId="4" fontId="17" fillId="0" borderId="15" xfId="0" applyNumberFormat="1" applyFont="1" applyBorder="1" applyAlignment="1">
      <alignment horizontal="center" vertical="center" wrapText="1" readingOrder="1"/>
    </xf>
    <xf numFmtId="10" fontId="17" fillId="0" borderId="21" xfId="0" applyNumberFormat="1" applyFont="1" applyBorder="1" applyAlignment="1">
      <alignment horizontal="center" vertical="center" wrapText="1" readingOrder="1"/>
    </xf>
    <xf numFmtId="4" fontId="17" fillId="0" borderId="21" xfId="0" applyNumberFormat="1" applyFont="1" applyBorder="1" applyAlignment="1">
      <alignment horizontal="center" vertical="center" wrapText="1" readingOrder="1"/>
    </xf>
    <xf numFmtId="4" fontId="16" fillId="3" borderId="27" xfId="1" applyNumberFormat="1" applyFont="1" applyFill="1" applyBorder="1" applyAlignment="1">
      <alignment wrapText="1"/>
    </xf>
    <xf numFmtId="4" fontId="16" fillId="3" borderId="28" xfId="1" applyNumberFormat="1" applyFont="1" applyFill="1" applyBorder="1" applyAlignment="1">
      <alignment wrapText="1"/>
    </xf>
    <xf numFmtId="4" fontId="3" fillId="9" borderId="17" xfId="0" applyNumberFormat="1" applyFont="1" applyFill="1" applyBorder="1" applyAlignment="1">
      <alignment vertical="center" wrapText="1"/>
    </xf>
    <xf numFmtId="4" fontId="15" fillId="8" borderId="26" xfId="1" applyNumberFormat="1" applyFont="1" applyFill="1" applyBorder="1" applyAlignment="1">
      <alignment wrapText="1"/>
    </xf>
    <xf numFmtId="4" fontId="16" fillId="4" borderId="27" xfId="4" applyNumberFormat="1" applyFont="1" applyFill="1" applyBorder="1" applyAlignment="1">
      <alignment vertical="center" wrapText="1"/>
    </xf>
    <xf numFmtId="165" fontId="17" fillId="0" borderId="30" xfId="0" applyNumberFormat="1" applyFont="1" applyBorder="1" applyAlignment="1">
      <alignment horizontal="center" vertical="center" wrapText="1" readingOrder="1"/>
    </xf>
    <xf numFmtId="165" fontId="17" fillId="0" borderId="1" xfId="0" applyNumberFormat="1" applyFont="1" applyBorder="1" applyAlignment="1">
      <alignment horizontal="center" vertical="center" wrapText="1" readingOrder="1"/>
    </xf>
    <xf numFmtId="4" fontId="17" fillId="0" borderId="32" xfId="0" applyNumberFormat="1" applyFont="1" applyBorder="1" applyAlignment="1">
      <alignment horizontal="center" vertical="center" wrapText="1" readingOrder="1"/>
    </xf>
    <xf numFmtId="166" fontId="17" fillId="0" borderId="20" xfId="0" applyNumberFormat="1" applyFont="1" applyBorder="1" applyAlignment="1">
      <alignment horizontal="center" vertical="center" wrapText="1" readingOrder="1"/>
    </xf>
    <xf numFmtId="166" fontId="17" fillId="0" borderId="13" xfId="0" applyNumberFormat="1" applyFont="1" applyBorder="1" applyAlignment="1">
      <alignment horizontal="center" vertical="center" wrapText="1" readingOrder="1"/>
    </xf>
    <xf numFmtId="4" fontId="17" fillId="0" borderId="29" xfId="0" applyNumberFormat="1" applyFont="1" applyBorder="1" applyAlignment="1">
      <alignment horizontal="center" vertical="center" wrapText="1" readingOrder="1"/>
    </xf>
    <xf numFmtId="4" fontId="17" fillId="0" borderId="0" xfId="0" applyNumberFormat="1" applyFont="1" applyAlignment="1">
      <alignment horizontal="center" vertical="center" wrapText="1" readingOrder="1"/>
    </xf>
    <xf numFmtId="4" fontId="21" fillId="0" borderId="0" xfId="0" applyNumberFormat="1" applyFont="1" applyAlignment="1">
      <alignment horizontal="center" vertical="center" wrapText="1" readingOrder="1"/>
    </xf>
    <xf numFmtId="4" fontId="17" fillId="4" borderId="26" xfId="0" applyNumberFormat="1" applyFont="1" applyFill="1" applyBorder="1" applyAlignment="1">
      <alignment wrapText="1"/>
    </xf>
    <xf numFmtId="49" fontId="17" fillId="4" borderId="26" xfId="0" applyNumberFormat="1" applyFont="1" applyFill="1" applyBorder="1" applyAlignment="1">
      <alignment vertical="center" wrapText="1" readingOrder="1"/>
    </xf>
    <xf numFmtId="10" fontId="17" fillId="0" borderId="20" xfId="0" applyNumberFormat="1" applyFont="1" applyBorder="1" applyAlignment="1">
      <alignment horizontal="center" vertical="center" wrapText="1" readingOrder="1"/>
    </xf>
    <xf numFmtId="0" fontId="17" fillId="0" borderId="26" xfId="0" applyFont="1" applyBorder="1" applyAlignment="1">
      <alignment vertical="top" wrapText="1" readingOrder="1"/>
    </xf>
    <xf numFmtId="0" fontId="17" fillId="4" borderId="27" xfId="0" applyFont="1" applyFill="1" applyBorder="1" applyAlignment="1">
      <alignment vertical="top" wrapText="1" readingOrder="1"/>
    </xf>
    <xf numFmtId="0" fontId="17" fillId="0" borderId="27" xfId="0" applyFont="1" applyBorder="1" applyAlignment="1">
      <alignment vertical="top" wrapText="1" readingOrder="1"/>
    </xf>
    <xf numFmtId="4" fontId="17" fillId="0" borderId="27" xfId="0" applyNumberFormat="1" applyFont="1" applyBorder="1" applyAlignment="1">
      <alignment vertical="top" wrapText="1" readingOrder="1"/>
    </xf>
    <xf numFmtId="0" fontId="17" fillId="0" borderId="28" xfId="0" applyFont="1" applyBorder="1" applyAlignment="1">
      <alignment vertical="top" wrapText="1" readingOrder="1"/>
    </xf>
    <xf numFmtId="0" fontId="17" fillId="0" borderId="27" xfId="0" applyFont="1" applyBorder="1" applyAlignment="1">
      <alignment wrapText="1"/>
    </xf>
    <xf numFmtId="4" fontId="16" fillId="0" borderId="0" xfId="0" applyNumberFormat="1" applyFont="1" applyAlignment="1">
      <alignment vertical="center" wrapText="1" readingOrder="1"/>
    </xf>
    <xf numFmtId="4" fontId="3" fillId="9" borderId="17" xfId="0" applyNumberFormat="1" applyFont="1" applyFill="1" applyBorder="1" applyAlignment="1">
      <alignment vertical="center" wrapText="1" readingOrder="1"/>
    </xf>
    <xf numFmtId="4" fontId="15" fillId="7" borderId="26" xfId="0" applyNumberFormat="1" applyFont="1" applyFill="1" applyBorder="1" applyAlignment="1">
      <alignment vertical="center" wrapText="1" readingOrder="1"/>
    </xf>
    <xf numFmtId="4" fontId="15" fillId="7" borderId="27" xfId="0" applyNumberFormat="1" applyFont="1" applyFill="1" applyBorder="1" applyAlignment="1">
      <alignment vertical="center" wrapText="1" readingOrder="1"/>
    </xf>
    <xf numFmtId="4" fontId="3" fillId="7" borderId="26" xfId="0" applyNumberFormat="1" applyFont="1" applyFill="1" applyBorder="1" applyAlignment="1">
      <alignment vertical="center" wrapText="1" readingOrder="1"/>
    </xf>
    <xf numFmtId="4" fontId="16" fillId="0" borderId="28" xfId="0" applyNumberFormat="1" applyFont="1" applyBorder="1" applyAlignment="1">
      <alignment vertical="center" wrapText="1" readingOrder="1"/>
    </xf>
    <xf numFmtId="4" fontId="3" fillId="7" borderId="27" xfId="0" applyNumberFormat="1" applyFont="1" applyFill="1" applyBorder="1" applyAlignment="1">
      <alignment vertical="center" wrapText="1" readingOrder="1"/>
    </xf>
    <xf numFmtId="4" fontId="16" fillId="0" borderId="1" xfId="0" applyNumberFormat="1" applyFont="1" applyBorder="1" applyAlignment="1">
      <alignment vertical="center" wrapText="1" readingOrder="1"/>
    </xf>
    <xf numFmtId="4" fontId="3" fillId="9" borderId="25" xfId="0" applyNumberFormat="1" applyFont="1" applyFill="1" applyBorder="1" applyAlignment="1">
      <alignment vertical="center" wrapText="1" readingOrder="1"/>
    </xf>
    <xf numFmtId="4" fontId="20" fillId="7" borderId="26" xfId="0" applyNumberFormat="1" applyFont="1" applyFill="1" applyBorder="1" applyAlignment="1">
      <alignment vertical="center" wrapText="1" readingOrder="1"/>
    </xf>
    <xf numFmtId="4" fontId="16" fillId="3" borderId="27" xfId="1" applyNumberFormat="1" applyFont="1" applyFill="1" applyBorder="1" applyAlignment="1">
      <alignment vertical="center" wrapText="1" readingOrder="1"/>
    </xf>
    <xf numFmtId="4" fontId="15" fillId="8" borderId="26" xfId="0" applyNumberFormat="1" applyFont="1" applyFill="1" applyBorder="1" applyAlignment="1">
      <alignment vertical="center" wrapText="1" readingOrder="1"/>
    </xf>
    <xf numFmtId="4" fontId="16" fillId="5" borderId="27" xfId="0" applyNumberFormat="1" applyFont="1" applyFill="1" applyBorder="1" applyAlignment="1">
      <alignment vertical="center" wrapText="1" readingOrder="1"/>
    </xf>
    <xf numFmtId="4" fontId="16" fillId="5" borderId="29" xfId="0" applyNumberFormat="1" applyFont="1" applyFill="1" applyBorder="1" applyAlignment="1">
      <alignment vertical="center" wrapText="1" readingOrder="1"/>
    </xf>
    <xf numFmtId="4" fontId="3" fillId="11" borderId="17" xfId="0" applyNumberFormat="1" applyFont="1" applyFill="1" applyBorder="1" applyAlignment="1">
      <alignment vertical="center" wrapText="1" readingOrder="1"/>
    </xf>
    <xf numFmtId="4" fontId="3" fillId="12" borderId="17" xfId="0" applyNumberFormat="1" applyFont="1" applyFill="1" applyBorder="1" applyAlignment="1">
      <alignment vertical="center" wrapText="1" readingOrder="1"/>
    </xf>
    <xf numFmtId="4" fontId="16" fillId="0" borderId="26" xfId="0" applyNumberFormat="1" applyFont="1" applyBorder="1" applyAlignment="1">
      <alignment vertical="center" wrapText="1" readingOrder="1"/>
    </xf>
    <xf numFmtId="4" fontId="16" fillId="12" borderId="17" xfId="0" applyNumberFormat="1" applyFont="1" applyFill="1" applyBorder="1" applyAlignment="1">
      <alignment vertical="center" wrapText="1" readingOrder="1"/>
    </xf>
    <xf numFmtId="4" fontId="3" fillId="6" borderId="17" xfId="0" applyNumberFormat="1" applyFont="1" applyFill="1" applyBorder="1" applyAlignment="1">
      <alignment vertical="center" wrapText="1" readingOrder="1"/>
    </xf>
    <xf numFmtId="4" fontId="17" fillId="0" borderId="28" xfId="0" applyNumberFormat="1" applyFont="1" applyBorder="1" applyAlignment="1">
      <alignment vertical="center" wrapText="1" readingOrder="1"/>
    </xf>
    <xf numFmtId="0" fontId="24" fillId="4" borderId="1" xfId="0" applyFont="1" applyFill="1" applyBorder="1" applyAlignment="1">
      <alignment horizontal="left" wrapText="1"/>
    </xf>
    <xf numFmtId="49" fontId="24" fillId="7" borderId="1" xfId="0" applyNumberFormat="1" applyFont="1" applyFill="1" applyBorder="1" applyAlignment="1">
      <alignment horizontal="left" wrapText="1"/>
    </xf>
    <xf numFmtId="49" fontId="24" fillId="0" borderId="0" xfId="0" applyNumberFormat="1" applyFont="1" applyAlignment="1">
      <alignment horizontal="center"/>
    </xf>
    <xf numFmtId="0" fontId="24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17" fillId="0" borderId="0" xfId="0" applyFont="1" applyAlignment="1">
      <alignment vertical="top" wrapText="1" readingOrder="1"/>
    </xf>
    <xf numFmtId="0" fontId="17" fillId="13" borderId="27" xfId="0" applyFont="1" applyFill="1" applyBorder="1" applyAlignment="1">
      <alignment vertical="top" wrapText="1" readingOrder="1"/>
    </xf>
    <xf numFmtId="0" fontId="17" fillId="0" borderId="1" xfId="0" applyFont="1" applyBorder="1" applyAlignment="1">
      <alignment vertical="top" wrapText="1" readingOrder="1"/>
    </xf>
    <xf numFmtId="4" fontId="21" fillId="6" borderId="24" xfId="0" applyNumberFormat="1" applyFont="1" applyFill="1" applyBorder="1" applyAlignment="1">
      <alignment vertical="top" wrapText="1" readingOrder="1"/>
    </xf>
    <xf numFmtId="0" fontId="17" fillId="0" borderId="6" xfId="0" applyFont="1" applyBorder="1" applyAlignment="1">
      <alignment vertical="top" wrapText="1" readingOrder="1"/>
    </xf>
    <xf numFmtId="0" fontId="17" fillId="0" borderId="15" xfId="0" applyFont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0" fontId="17" fillId="0" borderId="0" xfId="0" applyFont="1" applyAlignment="1">
      <alignment horizontal="center" vertical="center" wrapText="1" readingOrder="1"/>
    </xf>
    <xf numFmtId="4" fontId="21" fillId="7" borderId="9" xfId="0" applyNumberFormat="1" applyFont="1" applyFill="1" applyBorder="1" applyAlignment="1">
      <alignment horizontal="center" vertical="center" wrapText="1" readingOrder="1"/>
    </xf>
    <xf numFmtId="4" fontId="21" fillId="7" borderId="4" xfId="0" applyNumberFormat="1" applyFont="1" applyFill="1" applyBorder="1" applyAlignment="1">
      <alignment horizontal="center" vertical="center" wrapText="1" readingOrder="1"/>
    </xf>
    <xf numFmtId="10" fontId="21" fillId="7" borderId="20" xfId="0" applyNumberFormat="1" applyFont="1" applyFill="1" applyBorder="1" applyAlignment="1">
      <alignment horizontal="center" vertical="center" wrapText="1" readingOrder="1"/>
    </xf>
    <xf numFmtId="4" fontId="21" fillId="7" borderId="20" xfId="0" applyNumberFormat="1" applyFont="1" applyFill="1" applyBorder="1" applyAlignment="1">
      <alignment horizontal="center" vertical="center" wrapText="1" readingOrder="1"/>
    </xf>
    <xf numFmtId="4" fontId="17" fillId="4" borderId="9" xfId="0" applyNumberFormat="1" applyFont="1" applyFill="1" applyBorder="1" applyAlignment="1">
      <alignment horizontal="center" vertical="center" wrapText="1" readingOrder="1"/>
    </xf>
    <xf numFmtId="4" fontId="21" fillId="15" borderId="17" xfId="0" applyNumberFormat="1" applyFont="1" applyFill="1" applyBorder="1" applyAlignment="1">
      <alignment horizontal="center" vertical="center" wrapText="1" readingOrder="1"/>
    </xf>
    <xf numFmtId="4" fontId="18" fillId="2" borderId="5" xfId="0" applyNumberFormat="1" applyFont="1" applyFill="1" applyBorder="1" applyAlignment="1">
      <alignment horizontal="center" vertical="center" wrapText="1" readingOrder="1"/>
    </xf>
    <xf numFmtId="10" fontId="17" fillId="0" borderId="1" xfId="0" applyNumberFormat="1" applyFont="1" applyBorder="1" applyAlignment="1">
      <alignment horizontal="center" vertical="center" wrapText="1" readingOrder="1"/>
    </xf>
    <xf numFmtId="4" fontId="21" fillId="9" borderId="33" xfId="0" applyNumberFormat="1" applyFont="1" applyFill="1" applyBorder="1" applyAlignment="1">
      <alignment horizontal="center" vertical="center" wrapText="1" readingOrder="1"/>
    </xf>
    <xf numFmtId="4" fontId="21" fillId="9" borderId="34" xfId="0" applyNumberFormat="1" applyFont="1" applyFill="1" applyBorder="1" applyAlignment="1">
      <alignment horizontal="center" vertical="center" wrapText="1" readingOrder="1"/>
    </xf>
    <xf numFmtId="10" fontId="21" fillId="9" borderId="35" xfId="0" applyNumberFormat="1" applyFont="1" applyFill="1" applyBorder="1" applyAlignment="1">
      <alignment horizontal="center" vertical="center" wrapText="1" readingOrder="1"/>
    </xf>
    <xf numFmtId="4" fontId="21" fillId="9" borderId="25" xfId="0" applyNumberFormat="1" applyFont="1" applyFill="1" applyBorder="1" applyAlignment="1">
      <alignment horizontal="center" vertical="center" wrapText="1" readingOrder="1"/>
    </xf>
    <xf numFmtId="4" fontId="21" fillId="9" borderId="35" xfId="0" applyNumberFormat="1" applyFont="1" applyFill="1" applyBorder="1" applyAlignment="1">
      <alignment horizontal="center" vertical="center" wrapText="1" readingOrder="1"/>
    </xf>
    <xf numFmtId="4" fontId="21" fillId="12" borderId="2" xfId="0" applyNumberFormat="1" applyFont="1" applyFill="1" applyBorder="1" applyAlignment="1">
      <alignment horizontal="center" vertical="center" wrapText="1" readingOrder="1"/>
    </xf>
    <xf numFmtId="4" fontId="21" fillId="12" borderId="11" xfId="0" applyNumberFormat="1" applyFont="1" applyFill="1" applyBorder="1" applyAlignment="1">
      <alignment horizontal="center" vertical="center" wrapText="1" readingOrder="1"/>
    </xf>
    <xf numFmtId="165" fontId="21" fillId="12" borderId="3" xfId="0" applyNumberFormat="1" applyFont="1" applyFill="1" applyBorder="1" applyAlignment="1">
      <alignment horizontal="center" vertical="center" wrapText="1" readingOrder="1"/>
    </xf>
    <xf numFmtId="4" fontId="21" fillId="12" borderId="17" xfId="0" applyNumberFormat="1" applyFont="1" applyFill="1" applyBorder="1" applyAlignment="1">
      <alignment horizontal="center" vertical="center" wrapText="1" readingOrder="1"/>
    </xf>
    <xf numFmtId="4" fontId="21" fillId="12" borderId="3" xfId="0" applyNumberFormat="1" applyFont="1" applyFill="1" applyBorder="1" applyAlignment="1">
      <alignment horizontal="center" vertical="center" wrapText="1" readingOrder="1"/>
    </xf>
    <xf numFmtId="4" fontId="17" fillId="0" borderId="31" xfId="0" applyNumberFormat="1" applyFont="1" applyBorder="1" applyAlignment="1">
      <alignment horizontal="center" vertical="center" wrapText="1" readingOrder="1"/>
    </xf>
    <xf numFmtId="4" fontId="21" fillId="6" borderId="2" xfId="0" applyNumberFormat="1" applyFont="1" applyFill="1" applyBorder="1" applyAlignment="1">
      <alignment horizontal="center" vertical="center" wrapText="1" readingOrder="1"/>
    </xf>
    <xf numFmtId="4" fontId="21" fillId="6" borderId="11" xfId="0" applyNumberFormat="1" applyFont="1" applyFill="1" applyBorder="1" applyAlignment="1">
      <alignment horizontal="center" vertical="center" wrapText="1" readingOrder="1"/>
    </xf>
    <xf numFmtId="165" fontId="21" fillId="6" borderId="3" xfId="0" applyNumberFormat="1" applyFont="1" applyFill="1" applyBorder="1" applyAlignment="1">
      <alignment horizontal="center" vertical="center" wrapText="1" readingOrder="1"/>
    </xf>
    <xf numFmtId="4" fontId="21" fillId="6" borderId="17" xfId="0" applyNumberFormat="1" applyFont="1" applyFill="1" applyBorder="1" applyAlignment="1">
      <alignment horizontal="center" vertical="center" wrapText="1" readingOrder="1"/>
    </xf>
    <xf numFmtId="4" fontId="21" fillId="6" borderId="3" xfId="0" applyNumberFormat="1" applyFont="1" applyFill="1" applyBorder="1" applyAlignment="1">
      <alignment horizontal="center" vertical="center" wrapText="1" readingOrder="1"/>
    </xf>
    <xf numFmtId="0" fontId="17" fillId="0" borderId="4" xfId="0" applyFont="1" applyBorder="1" applyAlignment="1">
      <alignment horizontal="center" vertical="center" wrapText="1" readingOrder="1"/>
    </xf>
    <xf numFmtId="49" fontId="17" fillId="0" borderId="4" xfId="0" applyNumberFormat="1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4" fontId="18" fillId="0" borderId="0" xfId="0" applyNumberFormat="1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4" fontId="18" fillId="0" borderId="1" xfId="0" applyNumberFormat="1" applyFont="1" applyBorder="1" applyAlignment="1">
      <alignment horizontal="center" vertical="center" wrapText="1" readingOrder="1"/>
    </xf>
    <xf numFmtId="4" fontId="18" fillId="13" borderId="1" xfId="0" applyNumberFormat="1" applyFont="1" applyFill="1" applyBorder="1" applyAlignment="1">
      <alignment horizontal="center" vertical="center" wrapText="1" readingOrder="1"/>
    </xf>
    <xf numFmtId="4" fontId="17" fillId="14" borderId="1" xfId="0" applyNumberFormat="1" applyFont="1" applyFill="1" applyBorder="1" applyAlignment="1">
      <alignment horizontal="center" vertical="center" wrapText="1" readingOrder="1"/>
    </xf>
    <xf numFmtId="0" fontId="21" fillId="13" borderId="1" xfId="0" applyFont="1" applyFill="1" applyBorder="1" applyAlignment="1">
      <alignment horizontal="center" vertical="center" wrapText="1" readingOrder="1"/>
    </xf>
    <xf numFmtId="4" fontId="21" fillId="13" borderId="1" xfId="0" applyNumberFormat="1" applyFont="1" applyFill="1" applyBorder="1" applyAlignment="1">
      <alignment horizontal="center" vertical="center" wrapText="1" readingOrder="1"/>
    </xf>
    <xf numFmtId="0" fontId="17" fillId="13" borderId="0" xfId="0" applyFont="1" applyFill="1" applyAlignment="1">
      <alignment horizontal="center" vertical="center" wrapText="1" readingOrder="1"/>
    </xf>
    <xf numFmtId="4" fontId="17" fillId="13" borderId="0" xfId="0" applyNumberFormat="1" applyFont="1" applyFill="1" applyAlignment="1">
      <alignment horizontal="center" vertical="center" wrapText="1" readingOrder="1"/>
    </xf>
    <xf numFmtId="0" fontId="21" fillId="13" borderId="0" xfId="0" applyFont="1" applyFill="1" applyAlignment="1">
      <alignment horizontal="center" vertical="center" wrapText="1" readingOrder="1"/>
    </xf>
    <xf numFmtId="4" fontId="21" fillId="13" borderId="0" xfId="0" applyNumberFormat="1" applyFont="1" applyFill="1" applyAlignment="1">
      <alignment horizontal="center" vertical="center" wrapText="1" readingOrder="1"/>
    </xf>
    <xf numFmtId="3" fontId="24" fillId="0" borderId="1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readingOrder="1"/>
    </xf>
    <xf numFmtId="165" fontId="24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 readingOrder="1"/>
    </xf>
    <xf numFmtId="49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left" wrapText="1"/>
    </xf>
    <xf numFmtId="49" fontId="22" fillId="16" borderId="1" xfId="0" applyNumberFormat="1" applyFont="1" applyFill="1" applyBorder="1" applyAlignment="1">
      <alignment horizontal="center"/>
    </xf>
    <xf numFmtId="49" fontId="24" fillId="7" borderId="1" xfId="0" applyNumberFormat="1" applyFont="1" applyFill="1" applyBorder="1" applyAlignment="1">
      <alignment horizontal="right"/>
    </xf>
    <xf numFmtId="49" fontId="24" fillId="0" borderId="1" xfId="0" applyNumberFormat="1" applyFont="1" applyBorder="1" applyAlignment="1">
      <alignment horizontal="right"/>
    </xf>
    <xf numFmtId="49" fontId="24" fillId="4" borderId="1" xfId="0" applyNumberFormat="1" applyFont="1" applyFill="1" applyBorder="1" applyAlignment="1">
      <alignment horizontal="right"/>
    </xf>
    <xf numFmtId="49" fontId="24" fillId="4" borderId="1" xfId="0" applyNumberFormat="1" applyFont="1" applyFill="1" applyBorder="1" applyAlignment="1">
      <alignment horizontal="center"/>
    </xf>
    <xf numFmtId="49" fontId="23" fillId="9" borderId="1" xfId="0" applyNumberFormat="1" applyFont="1" applyFill="1" applyBorder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49" fontId="22" fillId="16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65" fontId="22" fillId="19" borderId="1" xfId="0" applyNumberFormat="1" applyFont="1" applyFill="1" applyBorder="1" applyAlignment="1">
      <alignment horizontal="center"/>
    </xf>
    <xf numFmtId="49" fontId="24" fillId="7" borderId="1" xfId="0" applyNumberFormat="1" applyFont="1" applyFill="1" applyBorder="1" applyAlignment="1">
      <alignment horizontal="center"/>
    </xf>
    <xf numFmtId="49" fontId="24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49" fontId="24" fillId="7" borderId="1" xfId="0" applyNumberFormat="1" applyFont="1" applyFill="1" applyBorder="1" applyAlignment="1">
      <alignment wrapText="1"/>
    </xf>
    <xf numFmtId="0" fontId="24" fillId="7" borderId="1" xfId="0" applyFont="1" applyFill="1" applyBorder="1" applyAlignment="1">
      <alignment wrapText="1"/>
    </xf>
    <xf numFmtId="0" fontId="24" fillId="4" borderId="1" xfId="0" applyFont="1" applyFill="1" applyBorder="1" applyAlignment="1">
      <alignment wrapText="1"/>
    </xf>
    <xf numFmtId="44" fontId="24" fillId="4" borderId="1" xfId="5" applyFont="1" applyFill="1" applyBorder="1" applyAlignment="1">
      <alignment vertical="center" wrapText="1"/>
    </xf>
    <xf numFmtId="0" fontId="22" fillId="16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wrapText="1"/>
    </xf>
    <xf numFmtId="0" fontId="23" fillId="9" borderId="1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0" fontId="22" fillId="16" borderId="1" xfId="0" applyFont="1" applyFill="1" applyBorder="1" applyAlignment="1">
      <alignment wrapText="1"/>
    </xf>
    <xf numFmtId="0" fontId="24" fillId="3" borderId="1" xfId="1" applyFont="1" applyFill="1" applyBorder="1" applyAlignment="1">
      <alignment wrapText="1"/>
    </xf>
    <xf numFmtId="167" fontId="24" fillId="4" borderId="1" xfId="4" applyNumberFormat="1" applyFont="1" applyFill="1" applyBorder="1" applyAlignment="1">
      <alignment vertical="center" wrapText="1"/>
    </xf>
    <xf numFmtId="4" fontId="24" fillId="4" borderId="1" xfId="0" applyNumberFormat="1" applyFont="1" applyFill="1" applyBorder="1" applyAlignment="1">
      <alignment vertical="center" wrapText="1"/>
    </xf>
    <xf numFmtId="49" fontId="24" fillId="4" borderId="1" xfId="0" applyNumberFormat="1" applyFont="1" applyFill="1" applyBorder="1" applyAlignment="1">
      <alignment vertical="center" wrapText="1"/>
    </xf>
    <xf numFmtId="0" fontId="24" fillId="0" borderId="0" xfId="0" applyFont="1" applyAlignment="1">
      <alignment wrapText="1"/>
    </xf>
    <xf numFmtId="49" fontId="24" fillId="4" borderId="1" xfId="0" applyNumberFormat="1" applyFont="1" applyFill="1" applyBorder="1" applyAlignment="1">
      <alignment horizontal="left" wrapText="1"/>
    </xf>
    <xf numFmtId="49" fontId="24" fillId="0" borderId="1" xfId="0" applyNumberFormat="1" applyFont="1" applyBorder="1" applyAlignment="1">
      <alignment horizontal="left" wrapText="1"/>
    </xf>
    <xf numFmtId="49" fontId="23" fillId="9" borderId="1" xfId="0" applyNumberFormat="1" applyFont="1" applyFill="1" applyBorder="1" applyAlignment="1">
      <alignment horizontal="left" wrapText="1"/>
    </xf>
    <xf numFmtId="44" fontId="24" fillId="4" borderId="1" xfId="5" applyFont="1" applyFill="1" applyBorder="1" applyAlignment="1">
      <alignment horizontal="left" vertical="center" wrapText="1"/>
    </xf>
    <xf numFmtId="49" fontId="24" fillId="16" borderId="1" xfId="0" applyNumberFormat="1" applyFont="1" applyFill="1" applyBorder="1" applyAlignment="1">
      <alignment horizontal="left" vertical="center" wrapText="1"/>
    </xf>
    <xf numFmtId="49" fontId="24" fillId="4" borderId="1" xfId="0" applyNumberFormat="1" applyFont="1" applyFill="1" applyBorder="1" applyAlignment="1">
      <alignment horizontal="left" vertical="top" wrapText="1"/>
    </xf>
    <xf numFmtId="49" fontId="22" fillId="16" borderId="1" xfId="0" applyNumberFormat="1" applyFont="1" applyFill="1" applyBorder="1" applyAlignment="1">
      <alignment horizontal="left" wrapText="1"/>
    </xf>
    <xf numFmtId="49" fontId="22" fillId="16" borderId="1" xfId="0" applyNumberFormat="1" applyFont="1" applyFill="1" applyBorder="1" applyAlignment="1">
      <alignment horizontal="left" vertical="center" wrapText="1"/>
    </xf>
    <xf numFmtId="49" fontId="22" fillId="19" borderId="1" xfId="0" applyNumberFormat="1" applyFont="1" applyFill="1" applyBorder="1" applyAlignment="1">
      <alignment horizontal="left" vertical="center" wrapText="1"/>
    </xf>
    <xf numFmtId="49" fontId="22" fillId="18" borderId="1" xfId="0" applyNumberFormat="1" applyFont="1" applyFill="1" applyBorder="1" applyAlignment="1">
      <alignment horizontal="left" vertical="center" wrapText="1"/>
    </xf>
    <xf numFmtId="49" fontId="24" fillId="17" borderId="1" xfId="0" applyNumberFormat="1" applyFont="1" applyFill="1" applyBorder="1" applyAlignment="1">
      <alignment horizontal="left" wrapText="1"/>
    </xf>
    <xf numFmtId="49" fontId="22" fillId="0" borderId="4" xfId="0" applyNumberFormat="1" applyFont="1" applyBorder="1" applyAlignment="1">
      <alignment horizontal="left" vertical="center" wrapText="1"/>
    </xf>
    <xf numFmtId="49" fontId="22" fillId="21" borderId="1" xfId="0" applyNumberFormat="1" applyFont="1" applyFill="1" applyBorder="1" applyAlignment="1">
      <alignment horizontal="left" vertical="center" wrapText="1"/>
    </xf>
    <xf numFmtId="49" fontId="24" fillId="21" borderId="1" xfId="0" applyNumberFormat="1" applyFont="1" applyFill="1" applyBorder="1" applyAlignment="1">
      <alignment horizontal="left" vertical="center" wrapText="1"/>
    </xf>
    <xf numFmtId="3" fontId="24" fillId="4" borderId="1" xfId="0" applyNumberFormat="1" applyFont="1" applyFill="1" applyBorder="1" applyAlignment="1">
      <alignment horizontal="center"/>
    </xf>
    <xf numFmtId="3" fontId="24" fillId="7" borderId="1" xfId="0" applyNumberFormat="1" applyFont="1" applyFill="1" applyBorder="1" applyAlignment="1">
      <alignment horizontal="center"/>
    </xf>
    <xf numFmtId="3" fontId="23" fillId="9" borderId="1" xfId="0" applyNumberFormat="1" applyFont="1" applyFill="1" applyBorder="1" applyAlignment="1">
      <alignment horizontal="center"/>
    </xf>
    <xf numFmtId="3" fontId="22" fillId="7" borderId="1" xfId="0" applyNumberFormat="1" applyFont="1" applyFill="1" applyBorder="1" applyAlignment="1">
      <alignment horizontal="center"/>
    </xf>
    <xf numFmtId="3" fontId="23" fillId="7" borderId="1" xfId="0" applyNumberFormat="1" applyFont="1" applyFill="1" applyBorder="1" applyAlignment="1">
      <alignment horizontal="center"/>
    </xf>
    <xf numFmtId="3" fontId="22" fillId="16" borderId="1" xfId="0" applyNumberFormat="1" applyFont="1" applyFill="1" applyBorder="1" applyAlignment="1">
      <alignment horizontal="center"/>
    </xf>
    <xf numFmtId="3" fontId="22" fillId="19" borderId="1" xfId="0" applyNumberFormat="1" applyFont="1" applyFill="1" applyBorder="1" applyAlignment="1">
      <alignment horizontal="center"/>
    </xf>
    <xf numFmtId="3" fontId="22" fillId="18" borderId="1" xfId="0" applyNumberFormat="1" applyFont="1" applyFill="1" applyBorder="1" applyAlignment="1">
      <alignment horizontal="center"/>
    </xf>
    <xf numFmtId="3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left" wrapText="1"/>
    </xf>
    <xf numFmtId="49" fontId="24" fillId="16" borderId="1" xfId="0" applyNumberFormat="1" applyFont="1" applyFill="1" applyBorder="1" applyAlignment="1">
      <alignment horizontal="left" wrapText="1"/>
    </xf>
    <xf numFmtId="0" fontId="24" fillId="4" borderId="0" xfId="0" applyFont="1" applyFill="1"/>
    <xf numFmtId="49" fontId="24" fillId="7" borderId="1" xfId="0" applyNumberFormat="1" applyFont="1" applyFill="1" applyBorder="1" applyAlignment="1">
      <alignment horizontal="left" vertical="top" wrapText="1"/>
    </xf>
    <xf numFmtId="167" fontId="24" fillId="0" borderId="1" xfId="4" applyNumberFormat="1" applyFont="1" applyBorder="1" applyAlignment="1">
      <alignment vertical="center" wrapText="1"/>
    </xf>
    <xf numFmtId="49" fontId="24" fillId="9" borderId="1" xfId="0" applyNumberFormat="1" applyFont="1" applyFill="1" applyBorder="1" applyAlignment="1">
      <alignment horizontal="left" wrapText="1"/>
    </xf>
    <xf numFmtId="49" fontId="23" fillId="9" borderId="1" xfId="0" applyNumberFormat="1" applyFont="1" applyFill="1" applyBorder="1" applyAlignment="1">
      <alignment horizontal="left" vertical="center" wrapText="1"/>
    </xf>
    <xf numFmtId="49" fontId="22" fillId="20" borderId="1" xfId="0" applyNumberFormat="1" applyFont="1" applyFill="1" applyBorder="1" applyAlignment="1">
      <alignment horizontal="left" vertical="center" wrapText="1"/>
    </xf>
    <xf numFmtId="3" fontId="24" fillId="17" borderId="1" xfId="0" applyNumberFormat="1" applyFont="1" applyFill="1" applyBorder="1" applyAlignment="1">
      <alignment horizontal="center"/>
    </xf>
    <xf numFmtId="165" fontId="24" fillId="17" borderId="1" xfId="0" applyNumberFormat="1" applyFont="1" applyFill="1" applyBorder="1" applyAlignment="1">
      <alignment horizontal="center"/>
    </xf>
    <xf numFmtId="3" fontId="22" fillId="21" borderId="1" xfId="0" applyNumberFormat="1" applyFont="1" applyFill="1" applyBorder="1" applyAlignment="1">
      <alignment horizontal="center"/>
    </xf>
    <xf numFmtId="165" fontId="22" fillId="21" borderId="1" xfId="0" applyNumberFormat="1" applyFont="1" applyFill="1" applyBorder="1" applyAlignment="1">
      <alignment horizontal="center"/>
    </xf>
    <xf numFmtId="3" fontId="22" fillId="4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4" fontId="28" fillId="7" borderId="1" xfId="2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2" applyNumberFormat="1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3" fillId="4" borderId="15" xfId="2" applyNumberFormat="1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left" vertical="center" wrapText="1"/>
    </xf>
    <xf numFmtId="0" fontId="12" fillId="22" borderId="1" xfId="0" applyFont="1" applyFill="1" applyBorder="1" applyAlignment="1">
      <alignment vertical="center" wrapText="1"/>
    </xf>
    <xf numFmtId="4" fontId="12" fillId="22" borderId="1" xfId="0" applyNumberFormat="1" applyFont="1" applyFill="1" applyBorder="1" applyAlignment="1">
      <alignment horizontal="right" vertical="center" wrapText="1"/>
    </xf>
    <xf numFmtId="4" fontId="12" fillId="22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13" fillId="4" borderId="1" xfId="2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right" vertical="center"/>
    </xf>
    <xf numFmtId="0" fontId="13" fillId="4" borderId="6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4" borderId="1" xfId="0" applyNumberFormat="1" applyFont="1" applyFill="1" applyBorder="1" applyAlignment="1">
      <alignment horizontal="right" vertical="center"/>
    </xf>
    <xf numFmtId="4" fontId="13" fillId="4" borderId="1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4" fontId="27" fillId="0" borderId="4" xfId="0" applyNumberFormat="1" applyFont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wrapText="1"/>
    </xf>
    <xf numFmtId="0" fontId="13" fillId="0" borderId="1" xfId="0" applyFont="1" applyBorder="1" applyAlignment="1">
      <alignment vertical="center"/>
    </xf>
    <xf numFmtId="0" fontId="29" fillId="0" borderId="4" xfId="0" applyFont="1" applyBorder="1" applyAlignment="1">
      <alignment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2" fillId="4" borderId="1" xfId="6" applyFont="1" applyFill="1" applyBorder="1" applyAlignment="1" applyProtection="1">
      <alignment horizontal="left" vertical="center" wrapText="1"/>
      <protection hidden="1"/>
    </xf>
    <xf numFmtId="0" fontId="12" fillId="4" borderId="1" xfId="6" applyFont="1" applyFill="1" applyBorder="1" applyAlignment="1" applyProtection="1">
      <alignment vertical="center" wrapText="1"/>
      <protection hidden="1"/>
    </xf>
    <xf numFmtId="4" fontId="12" fillId="0" borderId="1" xfId="0" applyNumberFormat="1" applyFont="1" applyBorder="1" applyAlignment="1">
      <alignment horizontal="right" vertical="center"/>
    </xf>
    <xf numFmtId="0" fontId="13" fillId="4" borderId="4" xfId="6" applyFont="1" applyFill="1" applyBorder="1" applyAlignment="1" applyProtection="1">
      <alignment horizontal="left" vertical="center" wrapText="1"/>
      <protection hidden="1"/>
    </xf>
    <xf numFmtId="0" fontId="13" fillId="4" borderId="4" xfId="6" applyFont="1" applyFill="1" applyBorder="1" applyAlignment="1" applyProtection="1">
      <alignment vertical="center" wrapText="1"/>
      <protection hidden="1"/>
    </xf>
    <xf numFmtId="0" fontId="13" fillId="4" borderId="4" xfId="0" applyFont="1" applyFill="1" applyBorder="1" applyAlignment="1">
      <alignment vertical="center"/>
    </xf>
    <xf numFmtId="0" fontId="13" fillId="0" borderId="4" xfId="6" applyFont="1" applyBorder="1" applyAlignment="1" applyProtection="1">
      <alignment vertical="center" wrapText="1"/>
      <protection hidden="1"/>
    </xf>
    <xf numFmtId="0" fontId="13" fillId="0" borderId="4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65" fontId="22" fillId="16" borderId="39" xfId="0" applyNumberFormat="1" applyFont="1" applyFill="1" applyBorder="1" applyAlignment="1">
      <alignment horizontal="center"/>
    </xf>
    <xf numFmtId="165" fontId="24" fillId="7" borderId="39" xfId="0" applyNumberFormat="1" applyFont="1" applyFill="1" applyBorder="1" applyAlignment="1">
      <alignment horizontal="center"/>
    </xf>
    <xf numFmtId="165" fontId="24" fillId="4" borderId="39" xfId="0" applyNumberFormat="1" applyFont="1" applyFill="1" applyBorder="1" applyAlignment="1">
      <alignment horizontal="center"/>
    </xf>
    <xf numFmtId="165" fontId="24" fillId="0" borderId="39" xfId="0" applyNumberFormat="1" applyFont="1" applyBorder="1" applyAlignment="1">
      <alignment horizontal="center"/>
    </xf>
    <xf numFmtId="165" fontId="23" fillId="9" borderId="39" xfId="0" applyNumberFormat="1" applyFont="1" applyFill="1" applyBorder="1" applyAlignment="1">
      <alignment horizontal="center"/>
    </xf>
    <xf numFmtId="9" fontId="23" fillId="7" borderId="39" xfId="7" applyFont="1" applyFill="1" applyBorder="1" applyAlignment="1">
      <alignment horizontal="center"/>
    </xf>
    <xf numFmtId="9" fontId="23" fillId="9" borderId="39" xfId="7" applyFont="1" applyFill="1" applyBorder="1" applyAlignment="1">
      <alignment horizontal="center"/>
    </xf>
    <xf numFmtId="165" fontId="23" fillId="7" borderId="39" xfId="0" applyNumberFormat="1" applyFont="1" applyFill="1" applyBorder="1" applyAlignment="1">
      <alignment horizontal="center"/>
    </xf>
    <xf numFmtId="165" fontId="22" fillId="7" borderId="39" xfId="0" applyNumberFormat="1" applyFont="1" applyFill="1" applyBorder="1" applyAlignment="1">
      <alignment horizontal="center"/>
    </xf>
    <xf numFmtId="165" fontId="22" fillId="19" borderId="39" xfId="0" applyNumberFormat="1" applyFont="1" applyFill="1" applyBorder="1" applyAlignment="1">
      <alignment horizontal="center"/>
    </xf>
    <xf numFmtId="3" fontId="22" fillId="16" borderId="31" xfId="0" applyNumberFormat="1" applyFont="1" applyFill="1" applyBorder="1" applyAlignment="1">
      <alignment horizontal="center"/>
    </xf>
    <xf numFmtId="3" fontId="24" fillId="7" borderId="31" xfId="0" applyNumberFormat="1" applyFont="1" applyFill="1" applyBorder="1" applyAlignment="1">
      <alignment horizontal="center"/>
    </xf>
    <xf numFmtId="3" fontId="24" fillId="0" borderId="31" xfId="0" applyNumberFormat="1" applyFont="1" applyBorder="1" applyAlignment="1">
      <alignment horizontal="center"/>
    </xf>
    <xf numFmtId="3" fontId="24" fillId="4" borderId="31" xfId="0" applyNumberFormat="1" applyFont="1" applyFill="1" applyBorder="1" applyAlignment="1">
      <alignment horizontal="center"/>
    </xf>
    <xf numFmtId="3" fontId="23" fillId="9" borderId="31" xfId="0" applyNumberFormat="1" applyFont="1" applyFill="1" applyBorder="1" applyAlignment="1">
      <alignment horizontal="center"/>
    </xf>
    <xf numFmtId="3" fontId="23" fillId="7" borderId="31" xfId="0" applyNumberFormat="1" applyFont="1" applyFill="1" applyBorder="1" applyAlignment="1">
      <alignment horizontal="center"/>
    </xf>
    <xf numFmtId="3" fontId="22" fillId="7" borderId="31" xfId="0" applyNumberFormat="1" applyFont="1" applyFill="1" applyBorder="1" applyAlignment="1">
      <alignment horizontal="center"/>
    </xf>
    <xf numFmtId="3" fontId="22" fillId="19" borderId="31" xfId="0" applyNumberFormat="1" applyFont="1" applyFill="1" applyBorder="1" applyAlignment="1">
      <alignment horizontal="center"/>
    </xf>
    <xf numFmtId="3" fontId="22" fillId="16" borderId="23" xfId="0" applyNumberFormat="1" applyFont="1" applyFill="1" applyBorder="1" applyAlignment="1">
      <alignment horizontal="center"/>
    </xf>
    <xf numFmtId="165" fontId="22" fillId="16" borderId="18" xfId="0" applyNumberFormat="1" applyFont="1" applyFill="1" applyBorder="1" applyAlignment="1">
      <alignment horizontal="center"/>
    </xf>
    <xf numFmtId="3" fontId="24" fillId="7" borderId="10" xfId="0" applyNumberFormat="1" applyFont="1" applyFill="1" applyBorder="1" applyAlignment="1">
      <alignment horizontal="center"/>
    </xf>
    <xf numFmtId="165" fontId="24" fillId="7" borderId="5" xfId="0" applyNumberFormat="1" applyFont="1" applyFill="1" applyBorder="1" applyAlignment="1">
      <alignment horizontal="center"/>
    </xf>
    <xf numFmtId="3" fontId="24" fillId="0" borderId="10" xfId="0" applyNumberFormat="1" applyFont="1" applyBorder="1" applyAlignment="1">
      <alignment horizontal="center"/>
    </xf>
    <xf numFmtId="165" fontId="24" fillId="0" borderId="5" xfId="0" applyNumberFormat="1" applyFont="1" applyBorder="1" applyAlignment="1">
      <alignment horizontal="center"/>
    </xf>
    <xf numFmtId="3" fontId="24" fillId="4" borderId="10" xfId="0" applyNumberFormat="1" applyFont="1" applyFill="1" applyBorder="1" applyAlignment="1">
      <alignment horizontal="center"/>
    </xf>
    <xf numFmtId="165" fontId="24" fillId="4" borderId="5" xfId="0" applyNumberFormat="1" applyFont="1" applyFill="1" applyBorder="1" applyAlignment="1">
      <alignment horizontal="center"/>
    </xf>
    <xf numFmtId="3" fontId="23" fillId="9" borderId="10" xfId="0" applyNumberFormat="1" applyFont="1" applyFill="1" applyBorder="1" applyAlignment="1">
      <alignment horizontal="center"/>
    </xf>
    <xf numFmtId="165" fontId="23" fillId="9" borderId="5" xfId="0" applyNumberFormat="1" applyFont="1" applyFill="1" applyBorder="1" applyAlignment="1">
      <alignment horizontal="center"/>
    </xf>
    <xf numFmtId="3" fontId="23" fillId="7" borderId="10" xfId="0" applyNumberFormat="1" applyFont="1" applyFill="1" applyBorder="1" applyAlignment="1">
      <alignment horizontal="center"/>
    </xf>
    <xf numFmtId="3" fontId="22" fillId="16" borderId="10" xfId="0" applyNumberFormat="1" applyFont="1" applyFill="1" applyBorder="1" applyAlignment="1">
      <alignment horizontal="center"/>
    </xf>
    <xf numFmtId="165" fontId="22" fillId="16" borderId="5" xfId="0" applyNumberFormat="1" applyFont="1" applyFill="1" applyBorder="1" applyAlignment="1">
      <alignment horizontal="center"/>
    </xf>
    <xf numFmtId="165" fontId="23" fillId="7" borderId="5" xfId="0" applyNumberFormat="1" applyFont="1" applyFill="1" applyBorder="1" applyAlignment="1">
      <alignment horizontal="center"/>
    </xf>
    <xf numFmtId="3" fontId="22" fillId="7" borderId="10" xfId="0" applyNumberFormat="1" applyFont="1" applyFill="1" applyBorder="1" applyAlignment="1">
      <alignment horizontal="center"/>
    </xf>
    <xf numFmtId="165" fontId="22" fillId="7" borderId="5" xfId="0" applyNumberFormat="1" applyFont="1" applyFill="1" applyBorder="1" applyAlignment="1">
      <alignment horizontal="center"/>
    </xf>
    <xf numFmtId="3" fontId="22" fillId="19" borderId="22" xfId="0" applyNumberFormat="1" applyFont="1" applyFill="1" applyBorder="1" applyAlignment="1">
      <alignment horizontal="center"/>
    </xf>
    <xf numFmtId="3" fontId="22" fillId="19" borderId="7" xfId="0" applyNumberFormat="1" applyFont="1" applyFill="1" applyBorder="1" applyAlignment="1">
      <alignment horizontal="center"/>
    </xf>
    <xf numFmtId="165" fontId="22" fillId="19" borderId="19" xfId="0" applyNumberFormat="1" applyFont="1" applyFill="1" applyBorder="1" applyAlignment="1">
      <alignment horizontal="center"/>
    </xf>
    <xf numFmtId="165" fontId="22" fillId="18" borderId="39" xfId="0" applyNumberFormat="1" applyFont="1" applyFill="1" applyBorder="1" applyAlignment="1">
      <alignment horizontal="center"/>
    </xf>
    <xf numFmtId="3" fontId="22" fillId="18" borderId="31" xfId="0" applyNumberFormat="1" applyFont="1" applyFill="1" applyBorder="1" applyAlignment="1">
      <alignment horizontal="center"/>
    </xf>
    <xf numFmtId="3" fontId="24" fillId="0" borderId="6" xfId="0" applyNumberFormat="1" applyFont="1" applyBorder="1" applyAlignment="1">
      <alignment horizontal="center"/>
    </xf>
    <xf numFmtId="165" fontId="22" fillId="19" borderId="6" xfId="0" applyNumberFormat="1" applyFont="1" applyFill="1" applyBorder="1" applyAlignment="1">
      <alignment horizontal="center"/>
    </xf>
    <xf numFmtId="3" fontId="24" fillId="17" borderId="4" xfId="0" applyNumberFormat="1" applyFont="1" applyFill="1" applyBorder="1" applyAlignment="1">
      <alignment horizontal="center"/>
    </xf>
    <xf numFmtId="165" fontId="24" fillId="17" borderId="4" xfId="0" applyNumberFormat="1" applyFont="1" applyFill="1" applyBorder="1" applyAlignment="1">
      <alignment horizontal="center"/>
    </xf>
    <xf numFmtId="9" fontId="23" fillId="9" borderId="5" xfId="0" applyNumberFormat="1" applyFont="1" applyFill="1" applyBorder="1" applyAlignment="1">
      <alignment horizontal="center"/>
    </xf>
    <xf numFmtId="3" fontId="24" fillId="9" borderId="10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30" fillId="7" borderId="1" xfId="0" applyNumberFormat="1" applyFont="1" applyFill="1" applyBorder="1" applyAlignment="1">
      <alignment horizontal="center"/>
    </xf>
    <xf numFmtId="3" fontId="30" fillId="0" borderId="1" xfId="0" applyNumberFormat="1" applyFont="1" applyBorder="1" applyAlignment="1">
      <alignment horizontal="center"/>
    </xf>
    <xf numFmtId="3" fontId="30" fillId="4" borderId="1" xfId="0" applyNumberFormat="1" applyFont="1" applyFill="1" applyBorder="1" applyAlignment="1">
      <alignment horizontal="center"/>
    </xf>
    <xf numFmtId="3" fontId="31" fillId="9" borderId="1" xfId="0" applyNumberFormat="1" applyFont="1" applyFill="1" applyBorder="1" applyAlignment="1">
      <alignment horizontal="center"/>
    </xf>
    <xf numFmtId="3" fontId="30" fillId="0" borderId="6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 applyAlignment="1">
      <alignment horizontal="center"/>
    </xf>
    <xf numFmtId="3" fontId="22" fillId="17" borderId="1" xfId="0" applyNumberFormat="1" applyFont="1" applyFill="1" applyBorder="1" applyAlignment="1">
      <alignment horizontal="center"/>
    </xf>
    <xf numFmtId="165" fontId="24" fillId="4" borderId="1" xfId="0" applyNumberFormat="1" applyFont="1" applyFill="1" applyBorder="1" applyAlignment="1">
      <alignment horizontal="center"/>
    </xf>
    <xf numFmtId="165" fontId="22" fillId="18" borderId="1" xfId="0" applyNumberFormat="1" applyFont="1" applyFill="1" applyBorder="1" applyAlignment="1">
      <alignment horizontal="center"/>
    </xf>
    <xf numFmtId="3" fontId="22" fillId="16" borderId="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22" fillId="21" borderId="1" xfId="0" applyNumberFormat="1" applyFont="1" applyFill="1" applyBorder="1" applyAlignment="1">
      <alignment horizontal="center" vertical="center" wrapText="1"/>
    </xf>
    <xf numFmtId="4" fontId="22" fillId="19" borderId="1" xfId="0" applyNumberFormat="1" applyFont="1" applyFill="1" applyBorder="1" applyAlignment="1">
      <alignment horizontal="left" vertical="center" wrapText="1"/>
    </xf>
    <xf numFmtId="4" fontId="22" fillId="18" borderId="1" xfId="0" applyNumberFormat="1" applyFont="1" applyFill="1" applyBorder="1" applyAlignment="1">
      <alignment horizontal="left" vertical="center" wrapText="1"/>
    </xf>
    <xf numFmtId="4" fontId="22" fillId="17" borderId="1" xfId="0" applyNumberFormat="1" applyFont="1" applyFill="1" applyBorder="1" applyAlignment="1">
      <alignment horizontal="left" vertical="center" wrapText="1"/>
    </xf>
    <xf numFmtId="4" fontId="22" fillId="21" borderId="1" xfId="0" applyNumberFormat="1" applyFont="1" applyFill="1" applyBorder="1" applyAlignment="1">
      <alignment horizontal="left" vertical="center" wrapText="1"/>
    </xf>
    <xf numFmtId="4" fontId="23" fillId="4" borderId="39" xfId="0" applyNumberFormat="1" applyFont="1" applyFill="1" applyBorder="1" applyAlignment="1">
      <alignment horizontal="left" vertical="top" wrapText="1"/>
    </xf>
    <xf numFmtId="4" fontId="23" fillId="4" borderId="31" xfId="0" applyNumberFormat="1" applyFont="1" applyFill="1" applyBorder="1" applyAlignment="1">
      <alignment horizontal="left" vertical="top" wrapText="1"/>
    </xf>
    <xf numFmtId="4" fontId="25" fillId="4" borderId="39" xfId="0" applyNumberFormat="1" applyFont="1" applyFill="1" applyBorder="1" applyAlignment="1">
      <alignment horizontal="left" vertical="top" wrapText="1"/>
    </xf>
    <xf numFmtId="4" fontId="25" fillId="4" borderId="31" xfId="0" applyNumberFormat="1" applyFont="1" applyFill="1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" fontId="22" fillId="20" borderId="39" xfId="0" applyNumberFormat="1" applyFont="1" applyFill="1" applyBorder="1" applyAlignment="1">
      <alignment horizontal="center" vertical="center" wrapText="1"/>
    </xf>
    <xf numFmtId="4" fontId="22" fillId="20" borderId="40" xfId="0" applyNumberFormat="1" applyFont="1" applyFill="1" applyBorder="1" applyAlignment="1">
      <alignment horizontal="center" vertical="center" wrapText="1"/>
    </xf>
    <xf numFmtId="4" fontId="22" fillId="20" borderId="41" xfId="0" applyNumberFormat="1" applyFont="1" applyFill="1" applyBorder="1" applyAlignment="1">
      <alignment horizontal="center" vertical="center" wrapText="1"/>
    </xf>
    <xf numFmtId="4" fontId="22" fillId="20" borderId="3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 vertical="center" wrapText="1" readingOrder="1"/>
    </xf>
    <xf numFmtId="4" fontId="3" fillId="0" borderId="15" xfId="0" applyNumberFormat="1" applyFont="1" applyBorder="1" applyAlignment="1">
      <alignment horizontal="center" vertical="center" wrapText="1" readingOrder="1"/>
    </xf>
    <xf numFmtId="4" fontId="3" fillId="0" borderId="4" xfId="0" applyNumberFormat="1" applyFont="1" applyBorder="1" applyAlignment="1">
      <alignment horizontal="center" vertical="center" wrapText="1" readingOrder="1"/>
    </xf>
    <xf numFmtId="49" fontId="22" fillId="19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4" fontId="22" fillId="20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horizontal="center" vertical="center" wrapText="1" readingOrder="1"/>
    </xf>
    <xf numFmtId="0" fontId="3" fillId="0" borderId="36" xfId="0" applyFont="1" applyBorder="1" applyAlignment="1">
      <alignment horizontal="center" vertical="center" wrapText="1" readingOrder="1"/>
    </xf>
    <xf numFmtId="0" fontId="3" fillId="0" borderId="37" xfId="0" applyFont="1" applyBorder="1" applyAlignment="1">
      <alignment horizontal="center" vertical="center" wrapText="1" readingOrder="1"/>
    </xf>
    <xf numFmtId="0" fontId="3" fillId="0" borderId="38" xfId="0" applyFont="1" applyBorder="1" applyAlignment="1">
      <alignment horizontal="center" vertical="center" wrapText="1" readingOrder="1"/>
    </xf>
    <xf numFmtId="0" fontId="3" fillId="0" borderId="24" xfId="0" applyFont="1" applyBorder="1" applyAlignment="1">
      <alignment horizontal="center" vertical="center" wrapText="1" readingOrder="1"/>
    </xf>
    <xf numFmtId="0" fontId="3" fillId="0" borderId="25" xfId="0" applyFont="1" applyBorder="1" applyAlignment="1">
      <alignment horizontal="center" vertical="center" wrapText="1" readingOrder="1"/>
    </xf>
    <xf numFmtId="4" fontId="3" fillId="3" borderId="24" xfId="0" applyNumberFormat="1" applyFont="1" applyFill="1" applyBorder="1" applyAlignment="1">
      <alignment vertical="center" wrapText="1" readingOrder="1"/>
    </xf>
    <xf numFmtId="4" fontId="3" fillId="3" borderId="25" xfId="0" applyNumberFormat="1" applyFont="1" applyFill="1" applyBorder="1" applyAlignment="1">
      <alignment vertical="center" wrapText="1" readingOrder="1"/>
    </xf>
    <xf numFmtId="0" fontId="3" fillId="3" borderId="24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 wrapText="1" readingOrder="1"/>
    </xf>
    <xf numFmtId="4" fontId="3" fillId="0" borderId="24" xfId="0" applyNumberFormat="1" applyFont="1" applyBorder="1" applyAlignment="1">
      <alignment horizontal="center" vertical="center" wrapText="1" readingOrder="1"/>
    </xf>
    <xf numFmtId="4" fontId="3" fillId="0" borderId="25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10" fillId="4" borderId="1" xfId="0" applyNumberFormat="1" applyFont="1" applyFill="1" applyBorder="1" applyAlignment="1">
      <alignment vertical="distributed" wrapText="1"/>
    </xf>
    <xf numFmtId="4" fontId="10" fillId="0" borderId="1" xfId="0" applyNumberFormat="1" applyFont="1" applyBorder="1" applyAlignment="1">
      <alignment vertical="distributed" wrapText="1"/>
    </xf>
  </cellXfs>
  <cellStyles count="8">
    <cellStyle name="Денежный" xfId="5" builtinId="4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_Tmp1" xfId="6" xr:uid="{00000000-0005-0000-0000-000005000000}"/>
    <cellStyle name="Процентный" xfId="7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topLeftCell="B19" workbookViewId="0">
      <selection activeCell="B4" sqref="B4:B5"/>
    </sheetView>
  </sheetViews>
  <sheetFormatPr defaultColWidth="8.88671875" defaultRowHeight="14.4" x14ac:dyDescent="0.3"/>
  <cols>
    <col min="1" max="1" width="5.6640625" hidden="1" customWidth="1"/>
    <col min="2" max="2" width="35.5546875" style="13" customWidth="1"/>
    <col min="3" max="3" width="29.5546875" customWidth="1"/>
    <col min="4" max="4" width="19.33203125" customWidth="1"/>
    <col min="5" max="5" width="15" customWidth="1"/>
    <col min="6" max="6" width="17.44140625" customWidth="1"/>
    <col min="7" max="7" width="15" bestFit="1" customWidth="1"/>
  </cols>
  <sheetData>
    <row r="1" spans="1:7" ht="72.75" customHeight="1" x14ac:dyDescent="0.3">
      <c r="A1" s="419" t="s">
        <v>367</v>
      </c>
      <c r="B1" s="419"/>
      <c r="C1" s="419"/>
      <c r="D1" s="419"/>
      <c r="E1" s="419"/>
      <c r="F1" s="419"/>
    </row>
    <row r="2" spans="1:7" ht="60.75" customHeight="1" x14ac:dyDescent="0.3">
      <c r="A2" s="14"/>
      <c r="B2" s="418"/>
      <c r="C2" s="418"/>
      <c r="D2" s="418"/>
      <c r="E2" s="418"/>
      <c r="F2" s="418"/>
    </row>
    <row r="3" spans="1:7" ht="34.200000000000003" customHeight="1" x14ac:dyDescent="0.3">
      <c r="A3" s="420" t="s">
        <v>817</v>
      </c>
      <c r="B3" s="420"/>
      <c r="C3" s="420"/>
      <c r="D3" s="420"/>
      <c r="E3" s="420"/>
      <c r="F3" s="421"/>
    </row>
    <row r="4" spans="1:7" x14ac:dyDescent="0.3">
      <c r="B4" s="422" t="s">
        <v>149</v>
      </c>
      <c r="C4" s="424"/>
      <c r="D4" s="226">
        <v>2026</v>
      </c>
      <c r="E4" s="226">
        <v>2027</v>
      </c>
      <c r="F4" s="226">
        <v>2028</v>
      </c>
      <c r="G4" s="416" t="s">
        <v>150</v>
      </c>
    </row>
    <row r="5" spans="1:7" ht="67.5" customHeight="1" x14ac:dyDescent="0.3">
      <c r="B5" s="423"/>
      <c r="C5" s="425"/>
      <c r="D5" s="227" t="s">
        <v>107</v>
      </c>
      <c r="E5" s="227" t="s">
        <v>107</v>
      </c>
      <c r="F5" s="227" t="s">
        <v>107</v>
      </c>
      <c r="G5" s="416"/>
    </row>
    <row r="6" spans="1:7" ht="42.75" customHeight="1" x14ac:dyDescent="0.3">
      <c r="B6" s="299" t="s">
        <v>898</v>
      </c>
      <c r="C6" s="300"/>
      <c r="D6" s="301">
        <f>D8+D14</f>
        <v>31426960</v>
      </c>
      <c r="E6" s="301">
        <f t="shared" ref="E6:F6" si="0">E8+E14</f>
        <v>-1800000</v>
      </c>
      <c r="F6" s="301">
        <f t="shared" si="0"/>
        <v>-1800000</v>
      </c>
      <c r="G6" s="302"/>
    </row>
    <row r="7" spans="1:7" ht="18" customHeight="1" x14ac:dyDescent="0.3">
      <c r="B7" s="303" t="s">
        <v>899</v>
      </c>
      <c r="C7" s="304"/>
      <c r="D7" s="305"/>
      <c r="E7" s="306"/>
      <c r="F7" s="306"/>
      <c r="G7" s="303"/>
    </row>
    <row r="8" spans="1:7" ht="67.5" customHeight="1" x14ac:dyDescent="0.3">
      <c r="B8" s="307" t="s">
        <v>900</v>
      </c>
      <c r="C8" s="308"/>
      <c r="D8" s="309">
        <f>D9+D10+D11+D12+D13</f>
        <v>20541960</v>
      </c>
      <c r="E8" s="309">
        <f t="shared" ref="E8:F8" si="1">E9+E10+E11+E12+E13</f>
        <v>0</v>
      </c>
      <c r="F8" s="309">
        <f t="shared" si="1"/>
        <v>0</v>
      </c>
      <c r="G8" s="310"/>
    </row>
    <row r="9" spans="1:7" ht="67.5" customHeight="1" x14ac:dyDescent="0.3">
      <c r="B9" s="311" t="s">
        <v>901</v>
      </c>
      <c r="C9" s="312" t="s">
        <v>911</v>
      </c>
      <c r="D9" s="313">
        <v>10335882</v>
      </c>
      <c r="E9" s="313">
        <v>0</v>
      </c>
      <c r="F9" s="313">
        <v>0</v>
      </c>
      <c r="G9" s="422" t="s">
        <v>943</v>
      </c>
    </row>
    <row r="10" spans="1:7" ht="67.5" customHeight="1" x14ac:dyDescent="0.3">
      <c r="B10" s="311" t="s">
        <v>902</v>
      </c>
      <c r="C10" s="312" t="s">
        <v>940</v>
      </c>
      <c r="D10" s="313">
        <v>33219</v>
      </c>
      <c r="E10" s="313">
        <v>0</v>
      </c>
      <c r="F10" s="313">
        <v>0</v>
      </c>
      <c r="G10" s="428"/>
    </row>
    <row r="11" spans="1:7" ht="67.5" customHeight="1" x14ac:dyDescent="0.3">
      <c r="B11" s="303" t="s">
        <v>903</v>
      </c>
      <c r="C11" s="304" t="s">
        <v>941</v>
      </c>
      <c r="D11" s="313">
        <v>6501191</v>
      </c>
      <c r="E11" s="313">
        <v>0</v>
      </c>
      <c r="F11" s="313">
        <v>0</v>
      </c>
      <c r="G11" s="428"/>
    </row>
    <row r="12" spans="1:7" ht="67.5" customHeight="1" x14ac:dyDescent="0.3">
      <c r="B12" s="311" t="s">
        <v>906</v>
      </c>
      <c r="C12" s="312" t="s">
        <v>913</v>
      </c>
      <c r="D12" s="313">
        <v>3509996</v>
      </c>
      <c r="E12" s="313">
        <v>0</v>
      </c>
      <c r="F12" s="313">
        <v>0</v>
      </c>
      <c r="G12" s="428"/>
    </row>
    <row r="13" spans="1:7" ht="67.5" customHeight="1" x14ac:dyDescent="0.3">
      <c r="B13" s="303" t="s">
        <v>912</v>
      </c>
      <c r="C13" s="304" t="s">
        <v>942</v>
      </c>
      <c r="D13" s="305">
        <v>161672</v>
      </c>
      <c r="E13" s="313">
        <v>0</v>
      </c>
      <c r="F13" s="313">
        <v>0</v>
      </c>
      <c r="G13" s="429"/>
    </row>
    <row r="14" spans="1:7" ht="67.5" customHeight="1" x14ac:dyDescent="0.3">
      <c r="B14" s="307" t="s">
        <v>904</v>
      </c>
      <c r="C14" s="308"/>
      <c r="D14" s="309">
        <f>D15+D16+D17+D18+D19+D20</f>
        <v>10885000</v>
      </c>
      <c r="E14" s="309">
        <f t="shared" ref="E14:F14" si="2">E15+E16+E17+E18+E19+E20</f>
        <v>-1800000</v>
      </c>
      <c r="F14" s="309">
        <f t="shared" si="2"/>
        <v>-1800000</v>
      </c>
      <c r="G14" s="307"/>
    </row>
    <row r="15" spans="1:7" ht="67.5" customHeight="1" x14ac:dyDescent="0.3">
      <c r="B15" s="311" t="s">
        <v>907</v>
      </c>
      <c r="C15" s="312" t="s">
        <v>914</v>
      </c>
      <c r="D15" s="314">
        <v>2980000</v>
      </c>
      <c r="E15" s="313"/>
      <c r="F15" s="313"/>
      <c r="G15" s="426" t="s">
        <v>931</v>
      </c>
    </row>
    <row r="16" spans="1:7" ht="67.5" customHeight="1" x14ac:dyDescent="0.3">
      <c r="B16" s="356" t="s">
        <v>919</v>
      </c>
      <c r="C16" s="312" t="s">
        <v>915</v>
      </c>
      <c r="D16" s="317">
        <v>794000</v>
      </c>
      <c r="E16" s="313"/>
      <c r="F16" s="313"/>
      <c r="G16" s="427"/>
    </row>
    <row r="17" spans="2:7" ht="67.5" customHeight="1" x14ac:dyDescent="0.3">
      <c r="B17" s="303" t="s">
        <v>920</v>
      </c>
      <c r="C17" s="316" t="s">
        <v>916</v>
      </c>
      <c r="D17" s="313">
        <v>-1800000</v>
      </c>
      <c r="E17" s="313">
        <v>-1800000</v>
      </c>
      <c r="F17" s="313">
        <v>-1800000</v>
      </c>
      <c r="G17" s="403" t="s">
        <v>932</v>
      </c>
    </row>
    <row r="18" spans="2:7" ht="67.5" customHeight="1" x14ac:dyDescent="0.3">
      <c r="B18" s="303" t="s">
        <v>922</v>
      </c>
      <c r="C18" s="316" t="s">
        <v>921</v>
      </c>
      <c r="D18" s="313">
        <v>-2000000</v>
      </c>
      <c r="E18" s="313"/>
      <c r="F18" s="313"/>
      <c r="G18" s="426" t="s">
        <v>931</v>
      </c>
    </row>
    <row r="19" spans="2:7" ht="67.5" customHeight="1" x14ac:dyDescent="0.3">
      <c r="B19" s="303" t="s">
        <v>918</v>
      </c>
      <c r="C19" s="316" t="s">
        <v>917</v>
      </c>
      <c r="D19" s="313">
        <v>2000000</v>
      </c>
      <c r="E19" s="313"/>
      <c r="F19" s="313"/>
      <c r="G19" s="427"/>
    </row>
    <row r="20" spans="2:7" ht="67.5" customHeight="1" x14ac:dyDescent="0.3">
      <c r="B20" s="303" t="s">
        <v>905</v>
      </c>
      <c r="C20" s="316" t="s">
        <v>908</v>
      </c>
      <c r="D20" s="314">
        <f>8906419+4581</f>
        <v>8911000</v>
      </c>
      <c r="E20" s="315">
        <v>0</v>
      </c>
      <c r="F20" s="315">
        <v>0</v>
      </c>
      <c r="G20" s="402" t="s">
        <v>930</v>
      </c>
    </row>
    <row r="21" spans="2:7" ht="58.5" customHeight="1" x14ac:dyDescent="0.3">
      <c r="B21" s="318" t="s">
        <v>799</v>
      </c>
      <c r="C21" s="319" t="s">
        <v>798</v>
      </c>
      <c r="D21" s="320">
        <f>D22+D25+D41+D55</f>
        <v>101821165</v>
      </c>
      <c r="E21" s="320">
        <f>E22+E25+E41+E55</f>
        <v>30570230</v>
      </c>
      <c r="F21" s="320">
        <f>F22+F25+F41+F55</f>
        <v>-1879603</v>
      </c>
      <c r="G21" s="417" t="s">
        <v>151</v>
      </c>
    </row>
    <row r="22" spans="2:7" ht="27.6" x14ac:dyDescent="0.3">
      <c r="B22" s="318" t="s">
        <v>797</v>
      </c>
      <c r="C22" s="319" t="s">
        <v>796</v>
      </c>
      <c r="D22" s="321">
        <f>D23+D24</f>
        <v>12412560</v>
      </c>
      <c r="E22" s="321">
        <f>E23+E24</f>
        <v>0</v>
      </c>
      <c r="F22" s="321">
        <f>F23+F24</f>
        <v>0</v>
      </c>
      <c r="G22" s="417"/>
    </row>
    <row r="23" spans="2:7" ht="41.4" hidden="1" x14ac:dyDescent="0.3">
      <c r="B23" s="322" t="s">
        <v>795</v>
      </c>
      <c r="C23" s="311" t="s">
        <v>794</v>
      </c>
      <c r="D23" s="323"/>
      <c r="E23" s="324"/>
      <c r="F23" s="325"/>
      <c r="G23" s="417"/>
    </row>
    <row r="24" spans="2:7" ht="55.2" x14ac:dyDescent="0.3">
      <c r="B24" s="322" t="s">
        <v>793</v>
      </c>
      <c r="C24" s="311" t="s">
        <v>792</v>
      </c>
      <c r="D24" s="325">
        <f>6412560+6000000</f>
        <v>12412560</v>
      </c>
      <c r="E24" s="325"/>
      <c r="F24" s="325"/>
      <c r="G24" s="417"/>
    </row>
    <row r="25" spans="2:7" ht="41.4" x14ac:dyDescent="0.3">
      <c r="B25" s="326" t="s">
        <v>791</v>
      </c>
      <c r="C25" s="327" t="s">
        <v>790</v>
      </c>
      <c r="D25" s="328">
        <f>SUM(D26:D40)</f>
        <v>26055427</v>
      </c>
      <c r="E25" s="328">
        <f t="shared" ref="E25:F25" si="3">SUM(E26:E40)</f>
        <v>-282595</v>
      </c>
      <c r="F25" s="328">
        <f t="shared" si="3"/>
        <v>-442780</v>
      </c>
      <c r="G25" s="417"/>
    </row>
    <row r="26" spans="2:7" ht="27.6" x14ac:dyDescent="0.3">
      <c r="B26" s="311" t="s">
        <v>162</v>
      </c>
      <c r="C26" s="329" t="s">
        <v>789</v>
      </c>
      <c r="D26" s="330">
        <v>14990631</v>
      </c>
      <c r="E26" s="331"/>
      <c r="F26" s="332"/>
      <c r="G26" s="417"/>
    </row>
    <row r="27" spans="2:7" ht="41.4" hidden="1" x14ac:dyDescent="0.3">
      <c r="B27" s="311" t="s">
        <v>299</v>
      </c>
      <c r="C27" s="311" t="s">
        <v>789</v>
      </c>
      <c r="D27" s="330"/>
      <c r="E27" s="331"/>
      <c r="F27" s="332"/>
      <c r="G27" s="417"/>
    </row>
    <row r="28" spans="2:7" ht="129" hidden="1" customHeight="1" x14ac:dyDescent="0.3">
      <c r="B28" s="333" t="s">
        <v>788</v>
      </c>
      <c r="C28" s="333" t="s">
        <v>787</v>
      </c>
      <c r="D28" s="334"/>
      <c r="E28" s="331"/>
      <c r="F28" s="332"/>
      <c r="G28" s="417"/>
    </row>
    <row r="29" spans="2:7" ht="55.2" hidden="1" x14ac:dyDescent="0.3">
      <c r="B29" s="333" t="s">
        <v>786</v>
      </c>
      <c r="C29" s="303" t="s">
        <v>785</v>
      </c>
      <c r="D29" s="334"/>
      <c r="E29" s="331"/>
      <c r="F29" s="332"/>
      <c r="G29" s="417"/>
    </row>
    <row r="30" spans="2:7" ht="69" hidden="1" x14ac:dyDescent="0.3">
      <c r="B30" s="335" t="s">
        <v>784</v>
      </c>
      <c r="C30" s="335" t="s">
        <v>783</v>
      </c>
      <c r="D30" s="336"/>
      <c r="E30" s="331"/>
      <c r="F30" s="332"/>
      <c r="G30" s="417"/>
    </row>
    <row r="31" spans="2:7" ht="55.2" x14ac:dyDescent="0.3">
      <c r="B31" s="337" t="s">
        <v>782</v>
      </c>
      <c r="C31" s="311" t="s">
        <v>781</v>
      </c>
      <c r="D31" s="338">
        <v>667633</v>
      </c>
      <c r="E31" s="331"/>
      <c r="F31" s="325"/>
      <c r="G31" s="417"/>
    </row>
    <row r="32" spans="2:7" ht="41.4" x14ac:dyDescent="0.3">
      <c r="B32" s="322" t="s">
        <v>780</v>
      </c>
      <c r="C32" s="311" t="s">
        <v>779</v>
      </c>
      <c r="D32" s="339">
        <v>-102837</v>
      </c>
      <c r="E32" s="331">
        <v>-103435</v>
      </c>
      <c r="F32" s="325">
        <v>-105317</v>
      </c>
      <c r="G32" s="417"/>
    </row>
    <row r="33" spans="2:7" ht="55.2" hidden="1" x14ac:dyDescent="0.3">
      <c r="B33" s="322" t="s">
        <v>778</v>
      </c>
      <c r="C33" s="311" t="s">
        <v>777</v>
      </c>
      <c r="D33" s="339"/>
      <c r="E33" s="331"/>
      <c r="F33" s="325"/>
      <c r="G33" s="417"/>
    </row>
    <row r="34" spans="2:7" ht="55.8" hidden="1" x14ac:dyDescent="0.3">
      <c r="B34" s="340" t="s">
        <v>776</v>
      </c>
      <c r="C34" s="341" t="s">
        <v>775</v>
      </c>
      <c r="D34" s="339"/>
      <c r="E34" s="331"/>
      <c r="F34" s="325"/>
      <c r="G34" s="417"/>
    </row>
    <row r="35" spans="2:7" ht="97.2" hidden="1" x14ac:dyDescent="0.3">
      <c r="B35" s="342" t="s">
        <v>774</v>
      </c>
      <c r="C35" s="341" t="s">
        <v>773</v>
      </c>
      <c r="D35" s="339"/>
      <c r="E35" s="331"/>
      <c r="F35" s="325"/>
      <c r="G35" s="417"/>
    </row>
    <row r="36" spans="2:7" ht="69" hidden="1" x14ac:dyDescent="0.3">
      <c r="B36" s="322" t="s">
        <v>153</v>
      </c>
      <c r="C36" s="311" t="s">
        <v>772</v>
      </c>
      <c r="D36" s="339"/>
      <c r="E36" s="331"/>
      <c r="F36" s="325"/>
      <c r="G36" s="417"/>
    </row>
    <row r="37" spans="2:7" ht="55.2" x14ac:dyDescent="0.3">
      <c r="B37" s="322" t="s">
        <v>886</v>
      </c>
      <c r="C37" s="311" t="s">
        <v>887</v>
      </c>
      <c r="D37" s="339">
        <v>8500000</v>
      </c>
      <c r="E37" s="331">
        <v>0</v>
      </c>
      <c r="F37" s="325">
        <v>0</v>
      </c>
      <c r="G37" s="417"/>
    </row>
    <row r="38" spans="2:7" ht="55.2" hidden="1" x14ac:dyDescent="0.3">
      <c r="B38" s="322" t="s">
        <v>771</v>
      </c>
      <c r="C38" s="311" t="s">
        <v>770</v>
      </c>
      <c r="D38" s="339"/>
      <c r="E38" s="331"/>
      <c r="F38" s="325"/>
      <c r="G38" s="417"/>
    </row>
    <row r="39" spans="2:7" ht="69" x14ac:dyDescent="0.3">
      <c r="B39" s="322" t="s">
        <v>769</v>
      </c>
      <c r="C39" s="311" t="s">
        <v>768</v>
      </c>
      <c r="D39" s="339">
        <v>0</v>
      </c>
      <c r="E39" s="331">
        <v>-179160</v>
      </c>
      <c r="F39" s="325">
        <v>-337463</v>
      </c>
      <c r="G39" s="417"/>
    </row>
    <row r="40" spans="2:7" ht="82.8" x14ac:dyDescent="0.3">
      <c r="B40" s="322" t="s">
        <v>888</v>
      </c>
      <c r="C40" s="311" t="s">
        <v>889</v>
      </c>
      <c r="D40" s="339">
        <v>2000000</v>
      </c>
      <c r="E40" s="331"/>
      <c r="F40" s="325"/>
      <c r="G40" s="417"/>
    </row>
    <row r="41" spans="2:7" ht="27.6" x14ac:dyDescent="0.3">
      <c r="B41" s="326" t="s">
        <v>767</v>
      </c>
      <c r="C41" s="327" t="s">
        <v>766</v>
      </c>
      <c r="D41" s="343">
        <f>SUM(D42:D54)</f>
        <v>-1020568</v>
      </c>
      <c r="E41" s="343">
        <f>SUM(E42:E54)</f>
        <v>-1018605</v>
      </c>
      <c r="F41" s="343">
        <f>SUM(F42:F54)</f>
        <v>-1022823</v>
      </c>
      <c r="G41" s="417"/>
    </row>
    <row r="42" spans="2:7" ht="27.6" hidden="1" x14ac:dyDescent="0.3">
      <c r="B42" s="322" t="s">
        <v>765</v>
      </c>
      <c r="C42" s="311" t="s">
        <v>764</v>
      </c>
      <c r="D42" s="323"/>
      <c r="E42" s="325"/>
      <c r="F42" s="331"/>
      <c r="G42" s="417"/>
    </row>
    <row r="43" spans="2:7" ht="55.2" hidden="1" x14ac:dyDescent="0.3">
      <c r="B43" s="322" t="s">
        <v>154</v>
      </c>
      <c r="C43" s="311" t="s">
        <v>763</v>
      </c>
      <c r="D43" s="323"/>
      <c r="E43" s="325"/>
      <c r="F43" s="331"/>
      <c r="G43" s="417"/>
    </row>
    <row r="44" spans="2:7" ht="27.6" hidden="1" x14ac:dyDescent="0.3">
      <c r="B44" s="329" t="s">
        <v>163</v>
      </c>
      <c r="C44" s="311" t="s">
        <v>762</v>
      </c>
      <c r="D44" s="330"/>
      <c r="E44" s="325"/>
      <c r="F44" s="325"/>
      <c r="G44" s="417"/>
    </row>
    <row r="45" spans="2:7" ht="41.4" x14ac:dyDescent="0.3">
      <c r="B45" s="322" t="s">
        <v>155</v>
      </c>
      <c r="C45" s="311" t="s">
        <v>761</v>
      </c>
      <c r="D45" s="323">
        <v>-1020568</v>
      </c>
      <c r="E45" s="325">
        <v>-1018605</v>
      </c>
      <c r="F45" s="325">
        <v>-1022823</v>
      </c>
      <c r="G45" s="417"/>
    </row>
    <row r="46" spans="2:7" ht="55.2" hidden="1" x14ac:dyDescent="0.3">
      <c r="B46" s="322" t="s">
        <v>156</v>
      </c>
      <c r="C46" s="311" t="s">
        <v>760</v>
      </c>
      <c r="D46" s="323"/>
      <c r="E46" s="325"/>
      <c r="F46" s="325"/>
      <c r="G46" s="417"/>
    </row>
    <row r="47" spans="2:7" ht="55.2" hidden="1" x14ac:dyDescent="0.3">
      <c r="B47" s="322" t="s">
        <v>157</v>
      </c>
      <c r="C47" s="311" t="s">
        <v>759</v>
      </c>
      <c r="D47" s="323"/>
      <c r="E47" s="325"/>
      <c r="F47" s="325"/>
      <c r="G47" s="417"/>
    </row>
    <row r="48" spans="2:7" ht="55.2" hidden="1" x14ac:dyDescent="0.3">
      <c r="B48" s="322" t="s">
        <v>758</v>
      </c>
      <c r="C48" s="311" t="s">
        <v>757</v>
      </c>
      <c r="D48" s="323"/>
      <c r="E48" s="325"/>
      <c r="F48" s="325"/>
      <c r="G48" s="417"/>
    </row>
    <row r="49" spans="2:7" ht="220.8" hidden="1" x14ac:dyDescent="0.3">
      <c r="B49" s="322" t="s">
        <v>756</v>
      </c>
      <c r="C49" s="311" t="s">
        <v>755</v>
      </c>
      <c r="D49" s="323"/>
      <c r="E49" s="325"/>
      <c r="F49" s="325"/>
      <c r="G49" s="417"/>
    </row>
    <row r="50" spans="2:7" ht="69" hidden="1" x14ac:dyDescent="0.3">
      <c r="B50" s="322" t="s">
        <v>754</v>
      </c>
      <c r="C50" s="311" t="s">
        <v>753</v>
      </c>
      <c r="D50" s="323"/>
      <c r="E50" s="325"/>
      <c r="F50" s="325"/>
      <c r="G50" s="417"/>
    </row>
    <row r="51" spans="2:7" ht="96.6" hidden="1" x14ac:dyDescent="0.3">
      <c r="B51" s="322" t="s">
        <v>752</v>
      </c>
      <c r="C51" s="311" t="s">
        <v>751</v>
      </c>
      <c r="D51" s="323"/>
      <c r="E51" s="325"/>
      <c r="F51" s="325"/>
      <c r="G51" s="417"/>
    </row>
    <row r="52" spans="2:7" ht="96.6" hidden="1" x14ac:dyDescent="0.3">
      <c r="B52" s="344" t="s">
        <v>198</v>
      </c>
      <c r="C52" s="303" t="s">
        <v>750</v>
      </c>
      <c r="D52" s="330"/>
      <c r="E52" s="325"/>
      <c r="F52" s="325"/>
      <c r="G52" s="417"/>
    </row>
    <row r="53" spans="2:7" ht="151.80000000000001" hidden="1" x14ac:dyDescent="0.3">
      <c r="B53" s="322" t="s">
        <v>164</v>
      </c>
      <c r="C53" s="311" t="s">
        <v>749</v>
      </c>
      <c r="D53" s="339"/>
      <c r="E53" s="331"/>
      <c r="F53" s="325"/>
      <c r="G53" s="417"/>
    </row>
    <row r="54" spans="2:7" ht="96.6" hidden="1" x14ac:dyDescent="0.3">
      <c r="B54" s="311" t="s">
        <v>158</v>
      </c>
      <c r="C54" s="345" t="s">
        <v>748</v>
      </c>
      <c r="D54" s="330"/>
      <c r="E54" s="331"/>
      <c r="F54" s="332"/>
      <c r="G54" s="417"/>
    </row>
    <row r="55" spans="2:7" x14ac:dyDescent="0.3">
      <c r="B55" s="346" t="s">
        <v>159</v>
      </c>
      <c r="C55" s="347" t="s">
        <v>747</v>
      </c>
      <c r="D55" s="348">
        <f>D56+D57+D58+D59+D60+D61+D62+D63+D64+D65+D66</f>
        <v>64373746</v>
      </c>
      <c r="E55" s="348">
        <f t="shared" ref="E55:F55" si="4">E56+E57+E58+E59+E60+E61+E62+E63+E64+E65+E66</f>
        <v>31871430</v>
      </c>
      <c r="F55" s="348">
        <f t="shared" si="4"/>
        <v>-414000</v>
      </c>
      <c r="G55" s="417"/>
    </row>
    <row r="56" spans="2:7" ht="110.4" x14ac:dyDescent="0.3">
      <c r="B56" s="349" t="s">
        <v>883</v>
      </c>
      <c r="C56" s="350" t="s">
        <v>890</v>
      </c>
      <c r="D56" s="339">
        <v>148000</v>
      </c>
      <c r="E56" s="339"/>
      <c r="F56" s="339"/>
      <c r="G56" s="417"/>
    </row>
    <row r="57" spans="2:7" ht="55.2" x14ac:dyDescent="0.3">
      <c r="B57" s="349" t="s">
        <v>882</v>
      </c>
      <c r="C57" s="350" t="s">
        <v>891</v>
      </c>
      <c r="D57" s="339">
        <v>1400000</v>
      </c>
      <c r="E57" s="339"/>
      <c r="F57" s="339"/>
      <c r="G57" s="417"/>
    </row>
    <row r="58" spans="2:7" ht="69" x14ac:dyDescent="0.3">
      <c r="B58" s="349" t="s">
        <v>892</v>
      </c>
      <c r="C58" s="350" t="s">
        <v>893</v>
      </c>
      <c r="D58" s="339">
        <v>52452803</v>
      </c>
      <c r="E58" s="339">
        <v>32285430</v>
      </c>
      <c r="F58" s="339">
        <v>0</v>
      </c>
      <c r="G58" s="417"/>
    </row>
    <row r="59" spans="2:7" ht="96.6" x14ac:dyDescent="0.3">
      <c r="B59" s="337" t="s">
        <v>160</v>
      </c>
      <c r="C59" s="350" t="s">
        <v>746</v>
      </c>
      <c r="D59" s="339">
        <v>-360000</v>
      </c>
      <c r="E59" s="331">
        <v>-360000</v>
      </c>
      <c r="F59" s="325">
        <v>-360000</v>
      </c>
      <c r="G59" s="417"/>
    </row>
    <row r="60" spans="2:7" ht="41.4" hidden="1" x14ac:dyDescent="0.3">
      <c r="B60" s="322" t="s">
        <v>165</v>
      </c>
      <c r="C60" s="345" t="s">
        <v>745</v>
      </c>
      <c r="D60" s="339"/>
      <c r="E60" s="331"/>
      <c r="F60" s="325"/>
      <c r="G60" s="417"/>
    </row>
    <row r="61" spans="2:7" ht="41.4" x14ac:dyDescent="0.3">
      <c r="B61" s="337" t="s">
        <v>894</v>
      </c>
      <c r="C61" s="351" t="s">
        <v>895</v>
      </c>
      <c r="D61" s="339">
        <v>6666530</v>
      </c>
      <c r="E61" s="331">
        <v>0</v>
      </c>
      <c r="F61" s="325">
        <v>0</v>
      </c>
      <c r="G61" s="417"/>
    </row>
    <row r="62" spans="2:7" ht="55.2" x14ac:dyDescent="0.3">
      <c r="B62" s="337" t="s">
        <v>744</v>
      </c>
      <c r="C62" s="351" t="s">
        <v>743</v>
      </c>
      <c r="D62" s="339">
        <v>1720413</v>
      </c>
      <c r="E62" s="331"/>
      <c r="F62" s="325"/>
      <c r="G62" s="417"/>
    </row>
    <row r="63" spans="2:7" ht="82.8" x14ac:dyDescent="0.3">
      <c r="B63" s="352" t="s">
        <v>742</v>
      </c>
      <c r="C63" s="353" t="s">
        <v>800</v>
      </c>
      <c r="D63" s="339">
        <v>-54000</v>
      </c>
      <c r="E63" s="331">
        <v>-54000</v>
      </c>
      <c r="F63" s="325">
        <v>-54000</v>
      </c>
      <c r="G63" s="417"/>
    </row>
    <row r="64" spans="2:7" ht="82.8" x14ac:dyDescent="0.3">
      <c r="B64" s="352" t="s">
        <v>741</v>
      </c>
      <c r="C64" s="353" t="s">
        <v>801</v>
      </c>
      <c r="D64" s="339">
        <v>2400000</v>
      </c>
      <c r="E64" s="331"/>
      <c r="F64" s="325"/>
      <c r="G64" s="417"/>
    </row>
    <row r="65" spans="2:7" ht="179.4" hidden="1" x14ac:dyDescent="0.3">
      <c r="B65" s="352" t="s">
        <v>740</v>
      </c>
      <c r="C65" s="353" t="s">
        <v>802</v>
      </c>
      <c r="D65" s="339"/>
      <c r="E65" s="331"/>
      <c r="F65" s="325"/>
      <c r="G65" s="417"/>
    </row>
    <row r="66" spans="2:7" ht="110.4" hidden="1" x14ac:dyDescent="0.3">
      <c r="B66" s="333" t="s">
        <v>739</v>
      </c>
      <c r="C66" s="311" t="s">
        <v>803</v>
      </c>
      <c r="D66" s="339"/>
      <c r="E66" s="331"/>
      <c r="F66" s="325"/>
      <c r="G66" s="417"/>
    </row>
    <row r="67" spans="2:7" x14ac:dyDescent="0.3">
      <c r="B67" s="354" t="s">
        <v>161</v>
      </c>
      <c r="C67" s="12"/>
      <c r="D67" s="355">
        <f>D6+D21</f>
        <v>133248125</v>
      </c>
      <c r="E67" s="355">
        <f t="shared" ref="E67:F67" si="5">E6+E21</f>
        <v>28770230</v>
      </c>
      <c r="F67" s="355">
        <f t="shared" si="5"/>
        <v>-3679603</v>
      </c>
      <c r="G67" s="417"/>
    </row>
  </sheetData>
  <sheetProtection formatCells="0" formatColumns="0" formatRows="0" insertColumns="0" insertRows="0" insertHyperlinks="0" deleteColumns="0" deleteRows="0" sort="0" autoFilter="0" pivotTables="0"/>
  <mergeCells count="10">
    <mergeCell ref="G4:G5"/>
    <mergeCell ref="G21:G67"/>
    <mergeCell ref="B2:F2"/>
    <mergeCell ref="A1:F1"/>
    <mergeCell ref="A3:F3"/>
    <mergeCell ref="B4:B5"/>
    <mergeCell ref="C4:C5"/>
    <mergeCell ref="G15:G16"/>
    <mergeCell ref="G18:G19"/>
    <mergeCell ref="G9:G13"/>
  </mergeCells>
  <pageMargins left="0.11811023622047245" right="0.11811023622047245" top="0.35433070866141736" bottom="0.35433070866141736" header="0" footer="0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418"/>
  <sheetViews>
    <sheetView tabSelected="1" topLeftCell="A347" workbookViewId="0">
      <selection activeCell="R16" sqref="R16"/>
    </sheetView>
  </sheetViews>
  <sheetFormatPr defaultColWidth="8.88671875" defaultRowHeight="10.199999999999999" x14ac:dyDescent="0.2"/>
  <cols>
    <col min="1" max="1" width="9.33203125" style="174" customWidth="1"/>
    <col min="2" max="2" width="58.44140625" style="262" customWidth="1"/>
    <col min="3" max="3" width="11.44140625" style="177" customWidth="1"/>
    <col min="4" max="4" width="14.5546875" style="177" customWidth="1"/>
    <col min="5" max="5" width="11" style="229" customWidth="1"/>
    <col min="6" max="6" width="11" style="177" customWidth="1"/>
    <col min="7" max="7" width="13.21875" style="409" customWidth="1"/>
    <col min="8" max="8" width="13" style="229" customWidth="1"/>
    <col min="9" max="9" width="16.5546875" style="177" customWidth="1"/>
    <col min="10" max="10" width="14.6640625" style="177" customWidth="1"/>
    <col min="11" max="13" width="12.33203125" style="177" customWidth="1"/>
    <col min="14" max="14" width="52.33203125" style="286" hidden="1" customWidth="1"/>
    <col min="15" max="16384" width="8.88671875" style="175"/>
  </cols>
  <sheetData>
    <row r="2" spans="1:14" ht="20.399999999999999" customHeight="1" x14ac:dyDescent="0.25">
      <c r="B2" s="430" t="s">
        <v>1016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</row>
    <row r="4" spans="1:14" ht="14.4" customHeight="1" x14ac:dyDescent="0.2">
      <c r="A4" s="231"/>
      <c r="B4" s="246"/>
      <c r="C4" s="448" t="s">
        <v>734</v>
      </c>
      <c r="D4" s="448"/>
      <c r="E4" s="448"/>
      <c r="F4" s="448" t="s">
        <v>734</v>
      </c>
      <c r="G4" s="448"/>
      <c r="H4" s="448"/>
      <c r="I4" s="449" t="s">
        <v>1017</v>
      </c>
      <c r="J4" s="448" t="s">
        <v>722</v>
      </c>
      <c r="K4" s="448"/>
      <c r="L4" s="448" t="s">
        <v>723</v>
      </c>
      <c r="M4" s="448"/>
      <c r="N4" s="441" t="s">
        <v>724</v>
      </c>
    </row>
    <row r="5" spans="1:14" ht="39.6" customHeight="1" x14ac:dyDescent="0.2">
      <c r="A5" s="440" t="s">
        <v>725</v>
      </c>
      <c r="B5" s="440" t="s">
        <v>721</v>
      </c>
      <c r="C5" s="454" t="s">
        <v>104</v>
      </c>
      <c r="D5" s="454"/>
      <c r="E5" s="454"/>
      <c r="F5" s="454" t="s">
        <v>726</v>
      </c>
      <c r="G5" s="454"/>
      <c r="H5" s="454"/>
      <c r="I5" s="450"/>
      <c r="J5" s="225" t="s">
        <v>104</v>
      </c>
      <c r="K5" s="225" t="s">
        <v>726</v>
      </c>
      <c r="L5" s="225" t="s">
        <v>104</v>
      </c>
      <c r="M5" s="225" t="s">
        <v>726</v>
      </c>
      <c r="N5" s="442"/>
    </row>
    <row r="6" spans="1:14" ht="26.4" x14ac:dyDescent="0.2">
      <c r="A6" s="440"/>
      <c r="B6" s="440"/>
      <c r="C6" s="228" t="s">
        <v>109</v>
      </c>
      <c r="D6" s="228" t="s">
        <v>110</v>
      </c>
      <c r="E6" s="230" t="s">
        <v>106</v>
      </c>
      <c r="F6" s="228" t="s">
        <v>109</v>
      </c>
      <c r="G6" s="228" t="s">
        <v>110</v>
      </c>
      <c r="H6" s="230" t="s">
        <v>106</v>
      </c>
      <c r="I6" s="451"/>
      <c r="J6" s="228" t="s">
        <v>110</v>
      </c>
      <c r="K6" s="228" t="s">
        <v>110</v>
      </c>
      <c r="L6" s="228" t="s">
        <v>110</v>
      </c>
      <c r="M6" s="228" t="s">
        <v>110</v>
      </c>
      <c r="N6" s="443"/>
    </row>
    <row r="7" spans="1:14" ht="13.2" customHeight="1" thickBot="1" x14ac:dyDescent="0.25">
      <c r="A7" s="444" t="s">
        <v>863</v>
      </c>
      <c r="B7" s="445"/>
      <c r="C7" s="445"/>
      <c r="D7" s="445"/>
      <c r="E7" s="445"/>
      <c r="F7" s="446"/>
      <c r="G7" s="446"/>
      <c r="H7" s="446"/>
      <c r="I7" s="445"/>
      <c r="J7" s="445"/>
      <c r="K7" s="445"/>
      <c r="L7" s="445"/>
      <c r="M7" s="447"/>
      <c r="N7" s="274"/>
    </row>
    <row r="8" spans="1:14" ht="20.399999999999999" x14ac:dyDescent="0.2">
      <c r="A8" s="233" t="s">
        <v>0</v>
      </c>
      <c r="B8" s="251" t="s">
        <v>370</v>
      </c>
      <c r="C8" s="282">
        <f>C9+C31+C87+C95+C101+C105+C112</f>
        <v>804991905</v>
      </c>
      <c r="D8" s="282">
        <f>D9+D31+D87+D95+D101+D105+D112</f>
        <v>11808595</v>
      </c>
      <c r="E8" s="357">
        <v>1</v>
      </c>
      <c r="F8" s="375">
        <f>F9+F31+F87+F95+F101+F105+F112</f>
        <v>27176641</v>
      </c>
      <c r="G8" s="415">
        <f>G9+G31+G87+G95+G101+G105+G112</f>
        <v>10422527.43</v>
      </c>
      <c r="H8" s="376">
        <f>G8/F8</f>
        <v>0.38351050926418756</v>
      </c>
      <c r="I8" s="367">
        <f>I9+I31+I87+I95+I101+I105+I112</f>
        <v>22231122.43</v>
      </c>
      <c r="J8" s="282">
        <f>J9+J31+J87+J95+J101+J105+J112</f>
        <v>-1661200</v>
      </c>
      <c r="K8" s="282">
        <f>K9+K31+K87+K95+K101+K105+K112</f>
        <v>6800000</v>
      </c>
      <c r="L8" s="282">
        <f>L9+L31+L87+L95+L101+L105+L112</f>
        <v>-1825603</v>
      </c>
      <c r="M8" s="282">
        <f>M9+M31+M87+M95+M101+M105+M112</f>
        <v>0</v>
      </c>
      <c r="N8" s="287"/>
    </row>
    <row r="9" spans="1:14" ht="26.4" customHeight="1" x14ac:dyDescent="0.25">
      <c r="A9" s="238" t="s">
        <v>2</v>
      </c>
      <c r="B9" s="252" t="s">
        <v>371</v>
      </c>
      <c r="C9" s="279">
        <f>C10+C14+C21</f>
        <v>102837</v>
      </c>
      <c r="D9" s="279">
        <f>D10+D14+D21</f>
        <v>5867163</v>
      </c>
      <c r="E9" s="361">
        <v>1</v>
      </c>
      <c r="F9" s="383">
        <f>F10+F14+F21</f>
        <v>25473496</v>
      </c>
      <c r="G9" s="279">
        <f>G10+G14+G21</f>
        <v>-1905680</v>
      </c>
      <c r="H9" s="384">
        <f>G9/F9</f>
        <v>-7.4810304796797428E-2</v>
      </c>
      <c r="I9" s="371">
        <f>I10+I14+I21</f>
        <v>3961483</v>
      </c>
      <c r="J9" s="279">
        <f>J10+J14+J21</f>
        <v>-463435</v>
      </c>
      <c r="K9" s="279">
        <f>K10+K14+K21</f>
        <v>6800000</v>
      </c>
      <c r="L9" s="279">
        <f>L10+L14+L21</f>
        <v>-465317</v>
      </c>
      <c r="M9" s="279">
        <f>M10+M14+M21</f>
        <v>0</v>
      </c>
      <c r="N9" s="238"/>
    </row>
    <row r="10" spans="1:14" x14ac:dyDescent="0.2">
      <c r="A10" s="234" t="s">
        <v>372</v>
      </c>
      <c r="B10" s="248" t="s">
        <v>373</v>
      </c>
      <c r="C10" s="278">
        <f>SUM(C11:C13)</f>
        <v>0</v>
      </c>
      <c r="D10" s="278">
        <f>SUM(D11:D13)</f>
        <v>4610000</v>
      </c>
      <c r="E10" s="358">
        <v>1</v>
      </c>
      <c r="F10" s="377">
        <f>SUM(F11:F13)</f>
        <v>4350000</v>
      </c>
      <c r="G10" s="278">
        <f>SUM(G11:G13)</f>
        <v>-1887989</v>
      </c>
      <c r="H10" s="378">
        <f>G10/F10</f>
        <v>-0.43402045977011494</v>
      </c>
      <c r="I10" s="368">
        <f>G10+D10</f>
        <v>2722011</v>
      </c>
      <c r="J10" s="278">
        <f>SUM(J11:J13)</f>
        <v>0</v>
      </c>
      <c r="K10" s="278">
        <f>SUM(K11:K13)</f>
        <v>0</v>
      </c>
      <c r="L10" s="278">
        <f>SUM(L11:L13)</f>
        <v>0</v>
      </c>
      <c r="M10" s="278">
        <f>SUM(M11:M13)</f>
        <v>0</v>
      </c>
      <c r="N10" s="173"/>
    </row>
    <row r="11" spans="1:14" x14ac:dyDescent="0.2">
      <c r="A11" s="235"/>
      <c r="B11" s="246" t="s">
        <v>834</v>
      </c>
      <c r="C11" s="224">
        <v>0</v>
      </c>
      <c r="D11" s="224">
        <v>0</v>
      </c>
      <c r="E11" s="359">
        <v>0</v>
      </c>
      <c r="F11" s="379">
        <v>4350000</v>
      </c>
      <c r="G11" s="224">
        <v>-2248080</v>
      </c>
      <c r="H11" s="380">
        <f>G11/F11</f>
        <v>-0.51680000000000004</v>
      </c>
      <c r="I11" s="369">
        <f>D11+G11</f>
        <v>-2248080</v>
      </c>
      <c r="J11" s="224">
        <v>0</v>
      </c>
      <c r="K11" s="224">
        <v>0</v>
      </c>
      <c r="L11" s="224">
        <v>0</v>
      </c>
      <c r="M11" s="224">
        <v>0</v>
      </c>
      <c r="N11" s="263" t="s">
        <v>963</v>
      </c>
    </row>
    <row r="12" spans="1:14" ht="20.399999999999999" x14ac:dyDescent="0.2">
      <c r="A12" s="236"/>
      <c r="B12" s="246" t="s">
        <v>830</v>
      </c>
      <c r="C12" s="277">
        <v>0</v>
      </c>
      <c r="D12" s="277">
        <v>0</v>
      </c>
      <c r="E12" s="359">
        <v>1</v>
      </c>
      <c r="F12" s="381">
        <v>0</v>
      </c>
      <c r="G12" s="277">
        <v>0</v>
      </c>
      <c r="H12" s="382">
        <v>0</v>
      </c>
      <c r="I12" s="369">
        <f t="shared" ref="I12:I13" si="0">D12+G12</f>
        <v>0</v>
      </c>
      <c r="J12" s="277">
        <v>0</v>
      </c>
      <c r="K12" s="277">
        <v>0</v>
      </c>
      <c r="L12" s="277">
        <v>0</v>
      </c>
      <c r="M12" s="277">
        <v>0</v>
      </c>
      <c r="N12" s="263"/>
    </row>
    <row r="13" spans="1:14" x14ac:dyDescent="0.2">
      <c r="A13" s="236"/>
      <c r="B13" s="246" t="s">
        <v>966</v>
      </c>
      <c r="C13" s="277">
        <v>0</v>
      </c>
      <c r="D13" s="277">
        <f>1900000+2710000</f>
        <v>4610000</v>
      </c>
      <c r="E13" s="359">
        <v>1</v>
      </c>
      <c r="F13" s="381">
        <v>0</v>
      </c>
      <c r="G13" s="277">
        <f>207584+152507</f>
        <v>360091</v>
      </c>
      <c r="H13" s="382">
        <v>1</v>
      </c>
      <c r="I13" s="369">
        <f t="shared" si="0"/>
        <v>4970091</v>
      </c>
      <c r="J13" s="277">
        <v>0</v>
      </c>
      <c r="K13" s="277">
        <v>0</v>
      </c>
      <c r="L13" s="277">
        <v>0</v>
      </c>
      <c r="M13" s="277">
        <v>0</v>
      </c>
      <c r="N13" s="264" t="s">
        <v>968</v>
      </c>
    </row>
    <row r="14" spans="1:14" x14ac:dyDescent="0.2">
      <c r="A14" s="234" t="s">
        <v>377</v>
      </c>
      <c r="B14" s="248" t="s">
        <v>378</v>
      </c>
      <c r="C14" s="278"/>
      <c r="D14" s="278">
        <f>SUM(D15:D20)</f>
        <v>1310000</v>
      </c>
      <c r="E14" s="358">
        <v>1</v>
      </c>
      <c r="F14" s="377">
        <f>SUM(F15:F20)</f>
        <v>10561748</v>
      </c>
      <c r="G14" s="278">
        <f>SUM(G15:G20)</f>
        <v>1176229</v>
      </c>
      <c r="H14" s="378">
        <f>G14/F14</f>
        <v>0.11136688737508223</v>
      </c>
      <c r="I14" s="368">
        <f>D14+G14</f>
        <v>2486229</v>
      </c>
      <c r="J14" s="278">
        <f>SUM(J15:J20)</f>
        <v>-360000</v>
      </c>
      <c r="K14" s="278">
        <f>SUM(K15:K20)</f>
        <v>6800000</v>
      </c>
      <c r="L14" s="278">
        <f>SUM(L15:L20)</f>
        <v>-360000</v>
      </c>
      <c r="M14" s="278">
        <f>SUM(M15:M20)</f>
        <v>0</v>
      </c>
      <c r="N14" s="173"/>
    </row>
    <row r="15" spans="1:14" hidden="1" x14ac:dyDescent="0.2">
      <c r="A15" s="235"/>
      <c r="B15" s="246" t="s">
        <v>337</v>
      </c>
      <c r="C15" s="224"/>
      <c r="D15" s="224"/>
      <c r="E15" s="360"/>
      <c r="F15" s="379"/>
      <c r="G15" s="224"/>
      <c r="H15" s="380"/>
      <c r="I15" s="369">
        <f t="shared" ref="I15:I20" si="1">D15+G15</f>
        <v>0</v>
      </c>
      <c r="J15" s="224"/>
      <c r="K15" s="224"/>
      <c r="L15" s="224"/>
      <c r="M15" s="224"/>
      <c r="N15" s="232"/>
    </row>
    <row r="16" spans="1:14" ht="20.399999999999999" x14ac:dyDescent="0.2">
      <c r="A16" s="236"/>
      <c r="B16" s="246" t="s">
        <v>832</v>
      </c>
      <c r="C16" s="277">
        <v>0</v>
      </c>
      <c r="D16" s="277">
        <v>0</v>
      </c>
      <c r="E16" s="359">
        <v>0</v>
      </c>
      <c r="F16" s="381">
        <v>10561748</v>
      </c>
      <c r="G16" s="277">
        <f>-1506080+2610050</f>
        <v>1103970</v>
      </c>
      <c r="H16" s="382">
        <f>G16/F16</f>
        <v>0.10452531152987175</v>
      </c>
      <c r="I16" s="369">
        <f t="shared" si="1"/>
        <v>1103970</v>
      </c>
      <c r="J16" s="277">
        <v>0</v>
      </c>
      <c r="K16" s="277">
        <v>6800000</v>
      </c>
      <c r="L16" s="277">
        <v>0</v>
      </c>
      <c r="M16" s="277">
        <v>0</v>
      </c>
      <c r="N16" s="232" t="s">
        <v>996</v>
      </c>
    </row>
    <row r="17" spans="1:14" x14ac:dyDescent="0.2">
      <c r="A17" s="236"/>
      <c r="B17" s="246" t="s">
        <v>966</v>
      </c>
      <c r="C17" s="277">
        <v>0</v>
      </c>
      <c r="D17" s="277">
        <v>960000</v>
      </c>
      <c r="E17" s="359">
        <v>1</v>
      </c>
      <c r="F17" s="381">
        <v>0</v>
      </c>
      <c r="G17" s="277">
        <f>72259</f>
        <v>72259</v>
      </c>
      <c r="H17" s="382">
        <v>1</v>
      </c>
      <c r="I17" s="369">
        <f t="shared" si="1"/>
        <v>1032259</v>
      </c>
      <c r="J17" s="277">
        <v>0</v>
      </c>
      <c r="K17" s="277">
        <v>0</v>
      </c>
      <c r="L17" s="277">
        <v>0</v>
      </c>
      <c r="M17" s="277">
        <v>0</v>
      </c>
      <c r="N17" s="232" t="s">
        <v>967</v>
      </c>
    </row>
    <row r="18" spans="1:14" hidden="1" x14ac:dyDescent="0.2">
      <c r="A18" s="236"/>
      <c r="B18" s="246" t="s">
        <v>833</v>
      </c>
      <c r="C18" s="277">
        <v>0</v>
      </c>
      <c r="D18" s="277">
        <v>0</v>
      </c>
      <c r="E18" s="359">
        <v>0</v>
      </c>
      <c r="F18" s="381">
        <v>0</v>
      </c>
      <c r="G18" s="277">
        <v>0</v>
      </c>
      <c r="H18" s="382">
        <v>0</v>
      </c>
      <c r="I18" s="369">
        <f t="shared" si="1"/>
        <v>0</v>
      </c>
      <c r="J18" s="277">
        <v>0</v>
      </c>
      <c r="K18" s="277">
        <v>0</v>
      </c>
      <c r="L18" s="277">
        <v>0</v>
      </c>
      <c r="M18" s="277">
        <v>0</v>
      </c>
      <c r="N18" s="232"/>
    </row>
    <row r="19" spans="1:14" ht="31.8" customHeight="1" x14ac:dyDescent="0.2">
      <c r="A19" s="236"/>
      <c r="B19" s="246" t="s">
        <v>730</v>
      </c>
      <c r="C19" s="277">
        <v>900000</v>
      </c>
      <c r="D19" s="277">
        <v>-360000</v>
      </c>
      <c r="E19" s="359">
        <f>D19/C19</f>
        <v>-0.4</v>
      </c>
      <c r="F19" s="381">
        <v>0</v>
      </c>
      <c r="G19" s="277">
        <v>0</v>
      </c>
      <c r="H19" s="382">
        <v>0</v>
      </c>
      <c r="I19" s="369">
        <f>D19+G19</f>
        <v>-360000</v>
      </c>
      <c r="J19" s="277">
        <v>-360000</v>
      </c>
      <c r="K19" s="277">
        <v>0</v>
      </c>
      <c r="L19" s="277">
        <v>-360000</v>
      </c>
      <c r="M19" s="277">
        <v>0</v>
      </c>
      <c r="N19" s="264" t="s">
        <v>965</v>
      </c>
    </row>
    <row r="20" spans="1:14" ht="20.399999999999999" x14ac:dyDescent="0.2">
      <c r="A20" s="236"/>
      <c r="B20" s="246" t="s">
        <v>830</v>
      </c>
      <c r="C20" s="277">
        <v>0</v>
      </c>
      <c r="D20" s="277">
        <v>710000</v>
      </c>
      <c r="E20" s="359">
        <v>1</v>
      </c>
      <c r="F20" s="381">
        <v>0</v>
      </c>
      <c r="G20" s="277">
        <v>0</v>
      </c>
      <c r="H20" s="382">
        <v>0</v>
      </c>
      <c r="I20" s="369">
        <f t="shared" si="1"/>
        <v>710000</v>
      </c>
      <c r="J20" s="277">
        <v>0</v>
      </c>
      <c r="K20" s="277">
        <v>0</v>
      </c>
      <c r="L20" s="277">
        <v>0</v>
      </c>
      <c r="M20" s="277">
        <v>0</v>
      </c>
      <c r="N20" s="232" t="s">
        <v>997</v>
      </c>
    </row>
    <row r="21" spans="1:14" x14ac:dyDescent="0.2">
      <c r="A21" s="234" t="s">
        <v>381</v>
      </c>
      <c r="B21" s="248" t="s">
        <v>382</v>
      </c>
      <c r="C21" s="278">
        <f>SUM(C22:C30)</f>
        <v>102837</v>
      </c>
      <c r="D21" s="278">
        <f>SUM(D22:D30)</f>
        <v>-52837</v>
      </c>
      <c r="E21" s="358">
        <v>1</v>
      </c>
      <c r="F21" s="377">
        <f t="shared" ref="F21:M21" si="2">SUM(F22:F30)</f>
        <v>10561748</v>
      </c>
      <c r="G21" s="278">
        <f t="shared" si="2"/>
        <v>-1193920</v>
      </c>
      <c r="H21" s="378">
        <f t="shared" si="2"/>
        <v>-0.11304189420160375</v>
      </c>
      <c r="I21" s="368">
        <f>D21+G21</f>
        <v>-1246757</v>
      </c>
      <c r="J21" s="278">
        <f t="shared" si="2"/>
        <v>-103435</v>
      </c>
      <c r="K21" s="278">
        <f t="shared" si="2"/>
        <v>0</v>
      </c>
      <c r="L21" s="278">
        <f t="shared" si="2"/>
        <v>-105317</v>
      </c>
      <c r="M21" s="278">
        <f t="shared" si="2"/>
        <v>0</v>
      </c>
      <c r="N21" s="173"/>
    </row>
    <row r="22" spans="1:14" hidden="1" x14ac:dyDescent="0.2">
      <c r="A22" s="235"/>
      <c r="B22" s="246"/>
      <c r="C22" s="224"/>
      <c r="D22" s="224"/>
      <c r="E22" s="360"/>
      <c r="F22" s="379"/>
      <c r="G22" s="224"/>
      <c r="H22" s="380"/>
      <c r="I22" s="369"/>
      <c r="J22" s="224"/>
      <c r="K22" s="224"/>
      <c r="L22" s="224"/>
      <c r="M22" s="224"/>
      <c r="N22" s="232" t="s">
        <v>337</v>
      </c>
    </row>
    <row r="23" spans="1:14" hidden="1" x14ac:dyDescent="0.2">
      <c r="A23" s="236"/>
      <c r="B23" s="246"/>
      <c r="C23" s="277"/>
      <c r="D23" s="277"/>
      <c r="E23" s="359"/>
      <c r="F23" s="381"/>
      <c r="G23" s="277"/>
      <c r="H23" s="382"/>
      <c r="I23" s="370"/>
      <c r="J23" s="277"/>
      <c r="K23" s="277"/>
      <c r="L23" s="277"/>
      <c r="M23" s="277"/>
      <c r="N23" s="232" t="s">
        <v>383</v>
      </c>
    </row>
    <row r="24" spans="1:14" hidden="1" x14ac:dyDescent="0.2">
      <c r="A24" s="236"/>
      <c r="B24" s="246"/>
      <c r="C24" s="277"/>
      <c r="D24" s="277"/>
      <c r="E24" s="359"/>
      <c r="F24" s="381"/>
      <c r="G24" s="277"/>
      <c r="H24" s="382"/>
      <c r="I24" s="370"/>
      <c r="J24" s="277"/>
      <c r="K24" s="277"/>
      <c r="L24" s="277"/>
      <c r="M24" s="277"/>
      <c r="N24" s="232" t="s">
        <v>379</v>
      </c>
    </row>
    <row r="25" spans="1:14" x14ac:dyDescent="0.2">
      <c r="A25" s="236"/>
      <c r="B25" s="246" t="s">
        <v>936</v>
      </c>
      <c r="C25" s="277">
        <v>0</v>
      </c>
      <c r="D25" s="277">
        <v>0</v>
      </c>
      <c r="E25" s="359">
        <v>0</v>
      </c>
      <c r="F25" s="381">
        <v>10561748</v>
      </c>
      <c r="G25" s="277">
        <v>-1193920</v>
      </c>
      <c r="H25" s="382">
        <f>G25/F25</f>
        <v>-0.11304189420160375</v>
      </c>
      <c r="I25" s="370">
        <f>D25+G25</f>
        <v>-1193920</v>
      </c>
      <c r="J25" s="277">
        <v>0</v>
      </c>
      <c r="K25" s="277">
        <v>0</v>
      </c>
      <c r="L25" s="277">
        <v>0</v>
      </c>
      <c r="M25" s="277">
        <v>0</v>
      </c>
      <c r="N25" s="232" t="s">
        <v>1014</v>
      </c>
    </row>
    <row r="26" spans="1:14" ht="20.399999999999999" x14ac:dyDescent="0.2">
      <c r="A26" s="236"/>
      <c r="B26" s="246" t="s">
        <v>830</v>
      </c>
      <c r="C26" s="277">
        <v>0</v>
      </c>
      <c r="D26" s="277">
        <v>50000</v>
      </c>
      <c r="E26" s="359">
        <v>1</v>
      </c>
      <c r="F26" s="381">
        <v>0</v>
      </c>
      <c r="G26" s="277">
        <v>0</v>
      </c>
      <c r="H26" s="382">
        <v>0</v>
      </c>
      <c r="I26" s="370">
        <f>D26+G26</f>
        <v>50000</v>
      </c>
      <c r="J26" s="277">
        <v>0</v>
      </c>
      <c r="K26" s="277">
        <v>0</v>
      </c>
      <c r="L26" s="277">
        <v>0</v>
      </c>
      <c r="M26" s="277">
        <v>0</v>
      </c>
      <c r="N26" s="232" t="s">
        <v>998</v>
      </c>
    </row>
    <row r="27" spans="1:14" x14ac:dyDescent="0.2">
      <c r="A27" s="236"/>
      <c r="B27" s="246" t="s">
        <v>826</v>
      </c>
      <c r="C27" s="277">
        <v>102837</v>
      </c>
      <c r="D27" s="277">
        <v>-102837</v>
      </c>
      <c r="E27" s="359">
        <f>D27/C27</f>
        <v>-1</v>
      </c>
      <c r="F27" s="381">
        <v>0</v>
      </c>
      <c r="G27" s="277"/>
      <c r="H27" s="382">
        <v>0</v>
      </c>
      <c r="I27" s="370">
        <f>D27+G27</f>
        <v>-102837</v>
      </c>
      <c r="J27" s="277">
        <v>-103435</v>
      </c>
      <c r="K27" s="277">
        <v>0</v>
      </c>
      <c r="L27" s="277">
        <v>-105317</v>
      </c>
      <c r="M27" s="277">
        <v>0</v>
      </c>
      <c r="N27" s="232" t="s">
        <v>937</v>
      </c>
    </row>
    <row r="28" spans="1:14" hidden="1" x14ac:dyDescent="0.2">
      <c r="A28" s="236"/>
      <c r="B28" s="246"/>
      <c r="C28" s="277"/>
      <c r="D28" s="277"/>
      <c r="E28" s="359"/>
      <c r="F28" s="381"/>
      <c r="G28" s="277"/>
      <c r="H28" s="382"/>
      <c r="I28" s="370"/>
      <c r="J28" s="277"/>
      <c r="K28" s="277"/>
      <c r="L28" s="277"/>
      <c r="M28" s="277"/>
      <c r="N28" s="232" t="s">
        <v>374</v>
      </c>
    </row>
    <row r="29" spans="1:14" hidden="1" x14ac:dyDescent="0.2">
      <c r="A29" s="237"/>
      <c r="B29" s="246"/>
      <c r="C29" s="277"/>
      <c r="D29" s="277"/>
      <c r="E29" s="359"/>
      <c r="F29" s="381"/>
      <c r="G29" s="277"/>
      <c r="H29" s="382"/>
      <c r="I29" s="370"/>
      <c r="J29" s="277"/>
      <c r="K29" s="277"/>
      <c r="L29" s="277"/>
      <c r="M29" s="277"/>
      <c r="N29" s="232" t="s">
        <v>375</v>
      </c>
    </row>
    <row r="30" spans="1:14" hidden="1" x14ac:dyDescent="0.2">
      <c r="A30" s="237"/>
      <c r="B30" s="246"/>
      <c r="C30" s="277"/>
      <c r="D30" s="277"/>
      <c r="E30" s="359"/>
      <c r="F30" s="381"/>
      <c r="G30" s="277"/>
      <c r="H30" s="382"/>
      <c r="I30" s="370"/>
      <c r="J30" s="277"/>
      <c r="K30" s="277"/>
      <c r="L30" s="277"/>
      <c r="M30" s="277"/>
      <c r="N30" s="232" t="s">
        <v>376</v>
      </c>
    </row>
    <row r="31" spans="1:14" ht="21.6" x14ac:dyDescent="0.25">
      <c r="A31" s="238" t="s">
        <v>4</v>
      </c>
      <c r="B31" s="252" t="s">
        <v>384</v>
      </c>
      <c r="C31" s="279">
        <f>C32+C43+C53+C63+C69+C77+C79</f>
        <v>804889068</v>
      </c>
      <c r="D31" s="279">
        <f>D32+D43+D53+D63+D69+D77+D81+D83</f>
        <v>-6206568</v>
      </c>
      <c r="E31" s="361">
        <v>1</v>
      </c>
      <c r="F31" s="383">
        <f>F32+F43+F53+F63+F69+F77+F81+F83</f>
        <v>1203145</v>
      </c>
      <c r="G31" s="279">
        <f>G32+G43+G53+G63+G69+G77+G81+G83</f>
        <v>6937927.4299999997</v>
      </c>
      <c r="H31" s="384">
        <f>G31/F31</f>
        <v>5.766493174139443</v>
      </c>
      <c r="I31" s="371">
        <f>I32+I43+I53+I63+I69+I77+I81+I83</f>
        <v>731359.42999999993</v>
      </c>
      <c r="J31" s="279">
        <f>J32+J43+J53+J63+J69+J77+J81+J83</f>
        <v>-1197765</v>
      </c>
      <c r="K31" s="279">
        <f>K32+K43+K53+K63+K69+K77+K81+K83</f>
        <v>0</v>
      </c>
      <c r="L31" s="279">
        <f>L32+L43+L53+L63+L69+L77+L81+L83</f>
        <v>-1360286</v>
      </c>
      <c r="M31" s="279">
        <f>M32+M43+M53+M63+M69+M77+M81+M83</f>
        <v>0</v>
      </c>
      <c r="N31" s="265"/>
    </row>
    <row r="32" spans="1:14" ht="20.399999999999999" x14ac:dyDescent="0.2">
      <c r="A32" s="234" t="s">
        <v>385</v>
      </c>
      <c r="B32" s="248" t="s">
        <v>386</v>
      </c>
      <c r="C32" s="278">
        <f>SUM(C33:C39)</f>
        <v>0</v>
      </c>
      <c r="D32" s="278">
        <f>SUM(D33:D42)</f>
        <v>250000</v>
      </c>
      <c r="E32" s="358">
        <v>1</v>
      </c>
      <c r="F32" s="377">
        <f t="shared" ref="F32:M32" si="3">SUM(F33:F42)</f>
        <v>0</v>
      </c>
      <c r="G32" s="278">
        <f t="shared" si="3"/>
        <v>15215.43</v>
      </c>
      <c r="H32" s="378">
        <v>1</v>
      </c>
      <c r="I32" s="368">
        <f>D32+G32</f>
        <v>265215.43</v>
      </c>
      <c r="J32" s="278">
        <f t="shared" si="3"/>
        <v>0</v>
      </c>
      <c r="K32" s="278">
        <f t="shared" si="3"/>
        <v>0</v>
      </c>
      <c r="L32" s="278">
        <f t="shared" si="3"/>
        <v>0</v>
      </c>
      <c r="M32" s="278">
        <f t="shared" si="3"/>
        <v>0</v>
      </c>
      <c r="N32" s="173"/>
    </row>
    <row r="33" spans="1:14" hidden="1" x14ac:dyDescent="0.2">
      <c r="A33" s="236"/>
      <c r="B33" s="246" t="s">
        <v>337</v>
      </c>
      <c r="C33" s="277"/>
      <c r="D33" s="277"/>
      <c r="E33" s="359"/>
      <c r="F33" s="381"/>
      <c r="G33" s="277"/>
      <c r="H33" s="382"/>
      <c r="I33" s="370"/>
      <c r="J33" s="277"/>
      <c r="K33" s="277"/>
      <c r="L33" s="277"/>
      <c r="M33" s="277"/>
      <c r="N33" s="263"/>
    </row>
    <row r="34" spans="1:14" x14ac:dyDescent="0.2">
      <c r="A34" s="237"/>
      <c r="B34" s="246" t="s">
        <v>853</v>
      </c>
      <c r="C34" s="277">
        <v>0</v>
      </c>
      <c r="D34" s="277">
        <v>0</v>
      </c>
      <c r="E34" s="359">
        <v>0</v>
      </c>
      <c r="F34" s="381"/>
      <c r="G34" s="277">
        <v>15215.43</v>
      </c>
      <c r="H34" s="382">
        <v>1</v>
      </c>
      <c r="I34" s="370">
        <f>G34</f>
        <v>15215.43</v>
      </c>
      <c r="J34" s="277">
        <v>0</v>
      </c>
      <c r="K34" s="277">
        <v>0</v>
      </c>
      <c r="L34" s="277">
        <v>0</v>
      </c>
      <c r="M34" s="277">
        <v>0</v>
      </c>
      <c r="N34" s="263" t="s">
        <v>1009</v>
      </c>
    </row>
    <row r="35" spans="1:14" hidden="1" x14ac:dyDescent="0.2">
      <c r="A35" s="237"/>
      <c r="B35" s="246" t="s">
        <v>387</v>
      </c>
      <c r="C35" s="277"/>
      <c r="D35" s="277"/>
      <c r="E35" s="359"/>
      <c r="F35" s="381"/>
      <c r="G35" s="277"/>
      <c r="H35" s="382"/>
      <c r="I35" s="370"/>
      <c r="J35" s="277"/>
      <c r="K35" s="277"/>
      <c r="L35" s="277"/>
      <c r="M35" s="277"/>
      <c r="N35" s="263"/>
    </row>
    <row r="36" spans="1:14" hidden="1" x14ac:dyDescent="0.2">
      <c r="A36" s="237"/>
      <c r="B36" s="246" t="s">
        <v>374</v>
      </c>
      <c r="C36" s="277"/>
      <c r="D36" s="277"/>
      <c r="E36" s="359"/>
      <c r="F36" s="381"/>
      <c r="G36" s="277"/>
      <c r="H36" s="382"/>
      <c r="I36" s="370"/>
      <c r="J36" s="277"/>
      <c r="K36" s="277"/>
      <c r="L36" s="277"/>
      <c r="M36" s="277"/>
      <c r="N36" s="263"/>
    </row>
    <row r="37" spans="1:14" hidden="1" x14ac:dyDescent="0.2">
      <c r="A37" s="237"/>
      <c r="B37" s="246" t="s">
        <v>375</v>
      </c>
      <c r="C37" s="277"/>
      <c r="D37" s="277"/>
      <c r="E37" s="359"/>
      <c r="F37" s="381"/>
      <c r="G37" s="277"/>
      <c r="H37" s="382"/>
      <c r="I37" s="370"/>
      <c r="J37" s="277"/>
      <c r="K37" s="277"/>
      <c r="L37" s="277"/>
      <c r="M37" s="277"/>
      <c r="N37" s="263"/>
    </row>
    <row r="38" spans="1:14" hidden="1" x14ac:dyDescent="0.2">
      <c r="A38" s="237"/>
      <c r="B38" s="246" t="s">
        <v>388</v>
      </c>
      <c r="C38" s="277"/>
      <c r="D38" s="277"/>
      <c r="E38" s="359"/>
      <c r="F38" s="381"/>
      <c r="G38" s="277"/>
      <c r="H38" s="382"/>
      <c r="I38" s="370"/>
      <c r="J38" s="277"/>
      <c r="K38" s="277"/>
      <c r="L38" s="277"/>
      <c r="M38" s="277"/>
      <c r="N38" s="263"/>
    </row>
    <row r="39" spans="1:14" hidden="1" x14ac:dyDescent="0.2">
      <c r="A39" s="237"/>
      <c r="B39" s="246" t="s">
        <v>389</v>
      </c>
      <c r="C39" s="277"/>
      <c r="D39" s="277"/>
      <c r="E39" s="359"/>
      <c r="F39" s="381"/>
      <c r="G39" s="277"/>
      <c r="H39" s="382"/>
      <c r="I39" s="370"/>
      <c r="J39" s="277"/>
      <c r="K39" s="277"/>
      <c r="L39" s="277"/>
      <c r="M39" s="277"/>
      <c r="N39" s="263"/>
    </row>
    <row r="40" spans="1:14" ht="20.399999999999999" hidden="1" x14ac:dyDescent="0.2">
      <c r="A40" s="237"/>
      <c r="B40" s="246" t="s">
        <v>852</v>
      </c>
      <c r="C40" s="277">
        <v>0</v>
      </c>
      <c r="D40" s="277">
        <v>0</v>
      </c>
      <c r="E40" s="359">
        <v>1</v>
      </c>
      <c r="F40" s="381">
        <v>0</v>
      </c>
      <c r="G40" s="277">
        <v>0</v>
      </c>
      <c r="H40" s="382">
        <v>0</v>
      </c>
      <c r="I40" s="370"/>
      <c r="J40" s="277"/>
      <c r="K40" s="277">
        <v>0</v>
      </c>
      <c r="L40" s="277"/>
      <c r="M40" s="277">
        <v>0</v>
      </c>
      <c r="N40" s="263"/>
    </row>
    <row r="41" spans="1:14" ht="20.399999999999999" x14ac:dyDescent="0.2">
      <c r="A41" s="237"/>
      <c r="B41" s="246" t="s">
        <v>830</v>
      </c>
      <c r="C41" s="277">
        <v>0</v>
      </c>
      <c r="D41" s="277">
        <v>250000</v>
      </c>
      <c r="E41" s="359">
        <v>1</v>
      </c>
      <c r="F41" s="381">
        <v>0</v>
      </c>
      <c r="G41" s="277">
        <v>0</v>
      </c>
      <c r="H41" s="382">
        <v>0</v>
      </c>
      <c r="I41" s="370">
        <f>D41+G41</f>
        <v>250000</v>
      </c>
      <c r="J41" s="277">
        <v>0</v>
      </c>
      <c r="K41" s="277">
        <v>0</v>
      </c>
      <c r="L41" s="277">
        <v>0</v>
      </c>
      <c r="M41" s="277">
        <v>0</v>
      </c>
      <c r="N41" s="263" t="s">
        <v>1008</v>
      </c>
    </row>
    <row r="42" spans="1:14" hidden="1" x14ac:dyDescent="0.2">
      <c r="A42" s="237"/>
      <c r="B42" s="246" t="s">
        <v>736</v>
      </c>
      <c r="C42" s="277"/>
      <c r="D42" s="277">
        <v>0</v>
      </c>
      <c r="E42" s="359"/>
      <c r="F42" s="381"/>
      <c r="G42" s="277"/>
      <c r="H42" s="382"/>
      <c r="I42" s="370"/>
      <c r="J42" s="277"/>
      <c r="K42" s="277"/>
      <c r="L42" s="277"/>
      <c r="M42" s="277"/>
      <c r="N42" s="263"/>
    </row>
    <row r="43" spans="1:14" ht="16.95" customHeight="1" x14ac:dyDescent="0.2">
      <c r="A43" s="234" t="s">
        <v>390</v>
      </c>
      <c r="B43" s="248" t="s">
        <v>391</v>
      </c>
      <c r="C43" s="278">
        <f>SUM(C44:C47)</f>
        <v>804889068</v>
      </c>
      <c r="D43" s="278">
        <f>SUM(D44:D52)</f>
        <v>-6906568</v>
      </c>
      <c r="E43" s="358">
        <f>D43/C43</f>
        <v>-8.5807700397292509E-3</v>
      </c>
      <c r="F43" s="377">
        <f>SUM(F44:F51)</f>
        <v>1203145</v>
      </c>
      <c r="G43" s="278">
        <f>SUM(G44:G51)</f>
        <v>6922712</v>
      </c>
      <c r="H43" s="378">
        <f>G43/F43</f>
        <v>5.753846793196165</v>
      </c>
      <c r="I43" s="368">
        <f>SUM(I44:I52)</f>
        <v>16144</v>
      </c>
      <c r="J43" s="278">
        <f>SUM(J44:J52)</f>
        <v>-1197765</v>
      </c>
      <c r="K43" s="278">
        <f>SUM(K44:K52)</f>
        <v>0</v>
      </c>
      <c r="L43" s="278">
        <f>SUM(L44:L52)</f>
        <v>-1360286</v>
      </c>
      <c r="M43" s="278">
        <f>SUM(M44:M52)</f>
        <v>0</v>
      </c>
      <c r="N43" s="173"/>
    </row>
    <row r="44" spans="1:14" ht="51" x14ac:dyDescent="0.2">
      <c r="A44" s="235"/>
      <c r="B44" s="246" t="s">
        <v>999</v>
      </c>
      <c r="C44" s="277">
        <v>804889068</v>
      </c>
      <c r="D44" s="277">
        <v>-8436000</v>
      </c>
      <c r="E44" s="359">
        <f>D44/C44</f>
        <v>-1.048094741920386E-2</v>
      </c>
      <c r="F44" s="379">
        <v>1203145</v>
      </c>
      <c r="G44" s="224">
        <f>-629508-573637+300000+8436000-660412-25000</f>
        <v>6847443</v>
      </c>
      <c r="H44" s="380">
        <f>G44/F44</f>
        <v>5.6912865864047975</v>
      </c>
      <c r="I44" s="369">
        <f>D44+G44</f>
        <v>-1588557</v>
      </c>
      <c r="J44" s="224">
        <v>0</v>
      </c>
      <c r="K44" s="224">
        <v>0</v>
      </c>
      <c r="L44" s="224">
        <v>0</v>
      </c>
      <c r="M44" s="224">
        <v>0</v>
      </c>
      <c r="N44" s="232" t="s">
        <v>1013</v>
      </c>
    </row>
    <row r="45" spans="1:14" ht="20.399999999999999" hidden="1" x14ac:dyDescent="0.2">
      <c r="A45" s="235"/>
      <c r="B45" s="246" t="s">
        <v>983</v>
      </c>
      <c r="C45" s="277"/>
      <c r="D45" s="277"/>
      <c r="E45" s="359">
        <v>1</v>
      </c>
      <c r="F45" s="379">
        <v>0</v>
      </c>
      <c r="G45" s="224">
        <v>0</v>
      </c>
      <c r="H45" s="380">
        <v>0</v>
      </c>
      <c r="I45" s="369">
        <f>D45+G45</f>
        <v>0</v>
      </c>
      <c r="J45" s="224">
        <v>0</v>
      </c>
      <c r="K45" s="224">
        <v>0</v>
      </c>
      <c r="L45" s="224">
        <v>0</v>
      </c>
      <c r="M45" s="224">
        <v>0</v>
      </c>
      <c r="N45" s="232" t="s">
        <v>1000</v>
      </c>
    </row>
    <row r="46" spans="1:14" ht="20.399999999999999" x14ac:dyDescent="0.2">
      <c r="A46" s="236"/>
      <c r="B46" s="246" t="s">
        <v>836</v>
      </c>
      <c r="C46" s="277">
        <v>0</v>
      </c>
      <c r="D46" s="277">
        <v>0</v>
      </c>
      <c r="E46" s="359">
        <v>0</v>
      </c>
      <c r="F46" s="381">
        <v>0</v>
      </c>
      <c r="G46" s="277">
        <v>0</v>
      </c>
      <c r="H46" s="382">
        <v>0</v>
      </c>
      <c r="I46" s="369">
        <f t="shared" ref="I46:I48" si="4">D46+G46</f>
        <v>0</v>
      </c>
      <c r="J46" s="277">
        <v>-179160</v>
      </c>
      <c r="K46" s="277">
        <v>0</v>
      </c>
      <c r="L46" s="277">
        <v>-337463</v>
      </c>
      <c r="M46" s="277">
        <v>0</v>
      </c>
      <c r="N46" s="232" t="s">
        <v>984</v>
      </c>
    </row>
    <row r="47" spans="1:14" hidden="1" x14ac:dyDescent="0.2">
      <c r="A47" s="236"/>
      <c r="B47" s="250"/>
      <c r="C47" s="277"/>
      <c r="D47" s="277"/>
      <c r="E47" s="359"/>
      <c r="F47" s="381"/>
      <c r="G47" s="277"/>
      <c r="H47" s="382"/>
      <c r="I47" s="369">
        <f t="shared" si="4"/>
        <v>0</v>
      </c>
      <c r="J47" s="277"/>
      <c r="K47" s="277"/>
      <c r="L47" s="277"/>
      <c r="M47" s="277"/>
      <c r="N47" s="266"/>
    </row>
    <row r="48" spans="1:14" ht="20.399999999999999" hidden="1" x14ac:dyDescent="0.2">
      <c r="A48" s="236"/>
      <c r="B48" s="250" t="s">
        <v>835</v>
      </c>
      <c r="C48" s="277">
        <v>0</v>
      </c>
      <c r="D48" s="277">
        <v>0</v>
      </c>
      <c r="E48" s="359">
        <v>0</v>
      </c>
      <c r="F48" s="381"/>
      <c r="G48" s="277">
        <v>0</v>
      </c>
      <c r="H48" s="382">
        <v>0</v>
      </c>
      <c r="I48" s="369">
        <f t="shared" si="4"/>
        <v>0</v>
      </c>
      <c r="J48" s="277"/>
      <c r="K48" s="277">
        <v>0</v>
      </c>
      <c r="L48" s="277">
        <v>0</v>
      </c>
      <c r="M48" s="277">
        <v>0</v>
      </c>
      <c r="N48" s="266"/>
    </row>
    <row r="49" spans="1:14" x14ac:dyDescent="0.2">
      <c r="A49" s="236"/>
      <c r="B49" s="250" t="s">
        <v>837</v>
      </c>
      <c r="C49" s="277">
        <v>24462834</v>
      </c>
      <c r="D49" s="277">
        <v>-1020568</v>
      </c>
      <c r="E49" s="359">
        <f>D49/C49</f>
        <v>-4.1719123794078806E-2</v>
      </c>
      <c r="F49" s="381">
        <v>0</v>
      </c>
      <c r="G49" s="277">
        <v>0</v>
      </c>
      <c r="H49" s="382">
        <v>0</v>
      </c>
      <c r="I49" s="370">
        <f>D49+G49</f>
        <v>-1020568</v>
      </c>
      <c r="J49" s="277">
        <v>-1018605</v>
      </c>
      <c r="K49" s="277">
        <v>0</v>
      </c>
      <c r="L49" s="277">
        <v>-1022823</v>
      </c>
      <c r="M49" s="277">
        <v>0</v>
      </c>
      <c r="N49" s="266"/>
    </row>
    <row r="50" spans="1:14" x14ac:dyDescent="0.2">
      <c r="A50" s="236"/>
      <c r="B50" s="246" t="s">
        <v>966</v>
      </c>
      <c r="C50" s="277">
        <v>0</v>
      </c>
      <c r="D50" s="277">
        <v>1000000</v>
      </c>
      <c r="E50" s="359">
        <v>1</v>
      </c>
      <c r="F50" s="381">
        <v>0</v>
      </c>
      <c r="G50" s="277">
        <f>75269</f>
        <v>75269</v>
      </c>
      <c r="H50" s="382">
        <v>1</v>
      </c>
      <c r="I50" s="370">
        <f>D50+G50</f>
        <v>1075269</v>
      </c>
      <c r="J50" s="277"/>
      <c r="K50" s="277">
        <v>0</v>
      </c>
      <c r="L50" s="277">
        <v>0</v>
      </c>
      <c r="M50" s="277">
        <v>0</v>
      </c>
      <c r="N50" s="266" t="s">
        <v>969</v>
      </c>
    </row>
    <row r="51" spans="1:14" ht="20.399999999999999" x14ac:dyDescent="0.2">
      <c r="A51" s="236"/>
      <c r="B51" s="250" t="s">
        <v>882</v>
      </c>
      <c r="C51" s="277">
        <v>0</v>
      </c>
      <c r="D51" s="277">
        <v>1400000</v>
      </c>
      <c r="E51" s="359">
        <v>1</v>
      </c>
      <c r="F51" s="381">
        <v>0</v>
      </c>
      <c r="G51" s="277">
        <v>0</v>
      </c>
      <c r="H51" s="382">
        <v>0</v>
      </c>
      <c r="I51" s="370">
        <f>D51+F51</f>
        <v>1400000</v>
      </c>
      <c r="J51" s="277">
        <v>0</v>
      </c>
      <c r="K51" s="277">
        <v>0</v>
      </c>
      <c r="L51" s="277">
        <v>0</v>
      </c>
      <c r="M51" s="277">
        <v>0</v>
      </c>
      <c r="N51" s="263" t="s">
        <v>952</v>
      </c>
    </row>
    <row r="52" spans="1:14" ht="28.95" customHeight="1" x14ac:dyDescent="0.2">
      <c r="A52" s="236"/>
      <c r="B52" s="250" t="s">
        <v>830</v>
      </c>
      <c r="C52" s="277">
        <v>0</v>
      </c>
      <c r="D52" s="277">
        <v>150000</v>
      </c>
      <c r="E52" s="359">
        <v>1</v>
      </c>
      <c r="F52" s="381">
        <v>0</v>
      </c>
      <c r="G52" s="277">
        <v>0</v>
      </c>
      <c r="H52" s="382">
        <v>0</v>
      </c>
      <c r="I52" s="370">
        <f>D52+F52</f>
        <v>150000</v>
      </c>
      <c r="J52" s="277">
        <v>0</v>
      </c>
      <c r="K52" s="277">
        <v>0</v>
      </c>
      <c r="L52" s="277">
        <v>0</v>
      </c>
      <c r="M52" s="277">
        <v>0</v>
      </c>
      <c r="N52" s="263" t="s">
        <v>971</v>
      </c>
    </row>
    <row r="53" spans="1:14" ht="20.399999999999999" x14ac:dyDescent="0.2">
      <c r="A53" s="234" t="s">
        <v>392</v>
      </c>
      <c r="B53" s="248" t="s">
        <v>393</v>
      </c>
      <c r="C53" s="278">
        <f>SUM(C54:C60)</f>
        <v>0</v>
      </c>
      <c r="D53" s="278">
        <f>SUM(D54:D62)</f>
        <v>450000</v>
      </c>
      <c r="E53" s="358">
        <f t="shared" ref="E53:L53" si="5">SUM(E54:E60)</f>
        <v>1</v>
      </c>
      <c r="F53" s="377">
        <f t="shared" si="5"/>
        <v>0</v>
      </c>
      <c r="G53" s="278">
        <f t="shared" si="5"/>
        <v>0</v>
      </c>
      <c r="H53" s="378">
        <f t="shared" si="5"/>
        <v>0</v>
      </c>
      <c r="I53" s="368">
        <f>D53+G53</f>
        <v>450000</v>
      </c>
      <c r="J53" s="278">
        <f t="shared" si="5"/>
        <v>0</v>
      </c>
      <c r="K53" s="278"/>
      <c r="L53" s="278">
        <f t="shared" si="5"/>
        <v>0</v>
      </c>
      <c r="M53" s="278"/>
      <c r="N53" s="173"/>
    </row>
    <row r="54" spans="1:14" hidden="1" x14ac:dyDescent="0.2">
      <c r="A54" s="235"/>
      <c r="B54" s="246" t="s">
        <v>337</v>
      </c>
      <c r="C54" s="224">
        <v>0</v>
      </c>
      <c r="D54" s="224"/>
      <c r="E54" s="360"/>
      <c r="F54" s="379"/>
      <c r="G54" s="224"/>
      <c r="H54" s="380"/>
      <c r="I54" s="369"/>
      <c r="J54" s="224"/>
      <c r="K54" s="224"/>
      <c r="L54" s="224"/>
      <c r="M54" s="224"/>
      <c r="N54" s="263"/>
    </row>
    <row r="55" spans="1:14" ht="20.399999999999999" x14ac:dyDescent="0.2">
      <c r="A55" s="236"/>
      <c r="B55" s="246" t="s">
        <v>854</v>
      </c>
      <c r="C55" s="277">
        <v>0</v>
      </c>
      <c r="D55" s="277">
        <v>450000</v>
      </c>
      <c r="E55" s="359">
        <v>1</v>
      </c>
      <c r="F55" s="381">
        <v>0</v>
      </c>
      <c r="G55" s="277">
        <v>0</v>
      </c>
      <c r="H55" s="382">
        <v>0</v>
      </c>
      <c r="I55" s="370">
        <f>D55+G55</f>
        <v>450000</v>
      </c>
      <c r="J55" s="277">
        <v>0</v>
      </c>
      <c r="K55" s="277">
        <v>0</v>
      </c>
      <c r="L55" s="277">
        <v>0</v>
      </c>
      <c r="M55" s="277">
        <v>0</v>
      </c>
      <c r="N55" s="263" t="s">
        <v>985</v>
      </c>
    </row>
    <row r="56" spans="1:14" hidden="1" x14ac:dyDescent="0.2">
      <c r="A56" s="236"/>
      <c r="B56" s="246"/>
      <c r="C56" s="277"/>
      <c r="D56" s="277"/>
      <c r="E56" s="359"/>
      <c r="F56" s="381"/>
      <c r="G56" s="277"/>
      <c r="H56" s="382"/>
      <c r="I56" s="370"/>
      <c r="J56" s="277"/>
      <c r="K56" s="277"/>
      <c r="L56" s="277"/>
      <c r="M56" s="277"/>
      <c r="N56" s="232"/>
    </row>
    <row r="57" spans="1:14" hidden="1" x14ac:dyDescent="0.2">
      <c r="A57" s="236"/>
      <c r="B57" s="246"/>
      <c r="C57" s="277"/>
      <c r="D57" s="277"/>
      <c r="E57" s="359"/>
      <c r="F57" s="381"/>
      <c r="G57" s="277"/>
      <c r="H57" s="382"/>
      <c r="I57" s="370"/>
      <c r="J57" s="277"/>
      <c r="K57" s="277"/>
      <c r="L57" s="277"/>
      <c r="M57" s="277"/>
      <c r="N57" s="232"/>
    </row>
    <row r="58" spans="1:14" hidden="1" x14ac:dyDescent="0.2">
      <c r="A58" s="236"/>
      <c r="B58" s="246"/>
      <c r="C58" s="277"/>
      <c r="D58" s="277"/>
      <c r="E58" s="359"/>
      <c r="F58" s="381"/>
      <c r="G58" s="277"/>
      <c r="H58" s="382"/>
      <c r="I58" s="370"/>
      <c r="J58" s="277"/>
      <c r="K58" s="277"/>
      <c r="L58" s="277"/>
      <c r="M58" s="277"/>
      <c r="N58" s="232"/>
    </row>
    <row r="59" spans="1:14" hidden="1" x14ac:dyDescent="0.2">
      <c r="A59" s="236"/>
      <c r="B59" s="246"/>
      <c r="C59" s="277"/>
      <c r="D59" s="277"/>
      <c r="E59" s="359"/>
      <c r="F59" s="381"/>
      <c r="G59" s="277"/>
      <c r="H59" s="382"/>
      <c r="I59" s="370"/>
      <c r="J59" s="277"/>
      <c r="K59" s="277"/>
      <c r="L59" s="277"/>
      <c r="M59" s="277"/>
      <c r="N59" s="232"/>
    </row>
    <row r="60" spans="1:14" hidden="1" x14ac:dyDescent="0.2">
      <c r="A60" s="236"/>
      <c r="B60" s="246"/>
      <c r="C60" s="277"/>
      <c r="D60" s="277"/>
      <c r="E60" s="359"/>
      <c r="F60" s="381"/>
      <c r="G60" s="277"/>
      <c r="H60" s="382"/>
      <c r="I60" s="370"/>
      <c r="J60" s="277"/>
      <c r="K60" s="277"/>
      <c r="L60" s="277"/>
      <c r="M60" s="277"/>
      <c r="N60" s="232"/>
    </row>
    <row r="61" spans="1:14" hidden="1" x14ac:dyDescent="0.2">
      <c r="A61" s="236"/>
      <c r="B61" s="246"/>
      <c r="C61" s="277"/>
      <c r="D61" s="277"/>
      <c r="E61" s="359"/>
      <c r="F61" s="381"/>
      <c r="G61" s="277"/>
      <c r="H61" s="382"/>
      <c r="I61" s="370"/>
      <c r="J61" s="277"/>
      <c r="K61" s="277"/>
      <c r="L61" s="277"/>
      <c r="M61" s="277"/>
      <c r="N61" s="232"/>
    </row>
    <row r="62" spans="1:14" hidden="1" x14ac:dyDescent="0.2">
      <c r="A62" s="236"/>
      <c r="B62" s="246"/>
      <c r="C62" s="277"/>
      <c r="D62" s="277">
        <v>0</v>
      </c>
      <c r="E62" s="359"/>
      <c r="F62" s="381"/>
      <c r="G62" s="277"/>
      <c r="H62" s="382"/>
      <c r="I62" s="370"/>
      <c r="J62" s="277"/>
      <c r="K62" s="277"/>
      <c r="L62" s="277"/>
      <c r="M62" s="277"/>
      <c r="N62" s="232"/>
    </row>
    <row r="63" spans="1:14" ht="11.4" hidden="1" customHeight="1" x14ac:dyDescent="0.2">
      <c r="A63" s="234" t="s">
        <v>394</v>
      </c>
      <c r="B63" s="248" t="s">
        <v>395</v>
      </c>
      <c r="C63" s="278">
        <f>SUM(C64:C68)</f>
        <v>0</v>
      </c>
      <c r="D63" s="278">
        <f>SUM(D64:D68)</f>
        <v>0</v>
      </c>
      <c r="E63" s="358">
        <f>SUM(E64:E68)</f>
        <v>0</v>
      </c>
      <c r="F63" s="377">
        <f>SUM(F64:F68)</f>
        <v>0</v>
      </c>
      <c r="G63" s="278">
        <f>SUM(G64:G68)</f>
        <v>0</v>
      </c>
      <c r="H63" s="378" t="e">
        <f>G63/F63*100%</f>
        <v>#DIV/0!</v>
      </c>
      <c r="I63" s="368">
        <f>D63+G63</f>
        <v>0</v>
      </c>
      <c r="J63" s="278">
        <f>SUM(J64:J68)</f>
        <v>0</v>
      </c>
      <c r="K63" s="278"/>
      <c r="L63" s="278">
        <f>SUM(L64:L68)</f>
        <v>0</v>
      </c>
      <c r="M63" s="278"/>
      <c r="N63" s="173"/>
    </row>
    <row r="64" spans="1:14" hidden="1" x14ac:dyDescent="0.2">
      <c r="A64" s="236"/>
      <c r="B64" s="246"/>
      <c r="C64" s="277"/>
      <c r="D64" s="277"/>
      <c r="E64" s="359"/>
      <c r="F64" s="381"/>
      <c r="G64" s="277"/>
      <c r="H64" s="382"/>
      <c r="I64" s="370"/>
      <c r="J64" s="277"/>
      <c r="K64" s="277"/>
      <c r="L64" s="277"/>
      <c r="M64" s="277"/>
      <c r="N64" s="232"/>
    </row>
    <row r="65" spans="1:14" hidden="1" x14ac:dyDescent="0.2">
      <c r="A65" s="236"/>
      <c r="B65" s="246"/>
      <c r="C65" s="277"/>
      <c r="D65" s="277"/>
      <c r="E65" s="359"/>
      <c r="F65" s="381"/>
      <c r="G65" s="277"/>
      <c r="H65" s="382"/>
      <c r="I65" s="370"/>
      <c r="J65" s="277"/>
      <c r="K65" s="277"/>
      <c r="L65" s="277"/>
      <c r="M65" s="277"/>
      <c r="N65" s="232"/>
    </row>
    <row r="66" spans="1:14" hidden="1" x14ac:dyDescent="0.2">
      <c r="A66" s="236"/>
      <c r="B66" s="246"/>
      <c r="C66" s="277"/>
      <c r="D66" s="277"/>
      <c r="E66" s="359"/>
      <c r="F66" s="381"/>
      <c r="G66" s="277"/>
      <c r="H66" s="382"/>
      <c r="I66" s="370"/>
      <c r="J66" s="277"/>
      <c r="K66" s="277"/>
      <c r="L66" s="277"/>
      <c r="M66" s="277"/>
      <c r="N66" s="232"/>
    </row>
    <row r="67" spans="1:14" hidden="1" x14ac:dyDescent="0.2">
      <c r="A67" s="236"/>
      <c r="B67" s="246"/>
      <c r="C67" s="277"/>
      <c r="D67" s="277"/>
      <c r="E67" s="359"/>
      <c r="F67" s="381"/>
      <c r="G67" s="277"/>
      <c r="H67" s="382"/>
      <c r="I67" s="370"/>
      <c r="J67" s="277"/>
      <c r="K67" s="277"/>
      <c r="L67" s="277"/>
      <c r="M67" s="277"/>
      <c r="N67" s="232"/>
    </row>
    <row r="68" spans="1:14" hidden="1" x14ac:dyDescent="0.2">
      <c r="A68" s="236"/>
      <c r="B68" s="246" t="s">
        <v>827</v>
      </c>
      <c r="C68" s="277">
        <v>0</v>
      </c>
      <c r="D68" s="277">
        <v>0</v>
      </c>
      <c r="E68" s="359">
        <v>0</v>
      </c>
      <c r="F68" s="381"/>
      <c r="G68" s="277"/>
      <c r="H68" s="382" t="e">
        <f>G68/F68</f>
        <v>#DIV/0!</v>
      </c>
      <c r="I68" s="370"/>
      <c r="J68" s="277">
        <v>0</v>
      </c>
      <c r="K68" s="277">
        <v>0</v>
      </c>
      <c r="L68" s="277">
        <v>0</v>
      </c>
      <c r="M68" s="277">
        <v>0</v>
      </c>
      <c r="N68" s="263"/>
    </row>
    <row r="69" spans="1:14" hidden="1" x14ac:dyDescent="0.2">
      <c r="A69" s="234" t="s">
        <v>396</v>
      </c>
      <c r="B69" s="248" t="s">
        <v>397</v>
      </c>
      <c r="C69" s="278">
        <f t="shared" ref="C69:G69" si="6">SUM(C70:C72)</f>
        <v>0</v>
      </c>
      <c r="D69" s="278">
        <f>SUM(D70:D74)</f>
        <v>0</v>
      </c>
      <c r="E69" s="358">
        <f t="shared" si="6"/>
        <v>0</v>
      </c>
      <c r="F69" s="377">
        <f t="shared" si="6"/>
        <v>0</v>
      </c>
      <c r="G69" s="278">
        <f t="shared" si="6"/>
        <v>0</v>
      </c>
      <c r="H69" s="378">
        <v>0</v>
      </c>
      <c r="I69" s="368">
        <f>D69+G69</f>
        <v>0</v>
      </c>
      <c r="J69" s="278">
        <f>SUM(J70:J74)</f>
        <v>0</v>
      </c>
      <c r="K69" s="278">
        <f t="shared" ref="K69:M69" si="7">SUM(K70:K74)</f>
        <v>0</v>
      </c>
      <c r="L69" s="278">
        <f t="shared" si="7"/>
        <v>0</v>
      </c>
      <c r="M69" s="278">
        <f t="shared" si="7"/>
        <v>0</v>
      </c>
      <c r="N69" s="173"/>
    </row>
    <row r="70" spans="1:14" ht="20.399999999999999" hidden="1" x14ac:dyDescent="0.2">
      <c r="A70" s="236"/>
      <c r="B70" s="246" t="s">
        <v>813</v>
      </c>
      <c r="C70" s="277">
        <v>0</v>
      </c>
      <c r="D70" s="277">
        <v>0</v>
      </c>
      <c r="E70" s="359">
        <v>0</v>
      </c>
      <c r="F70" s="381">
        <v>0</v>
      </c>
      <c r="G70" s="277">
        <v>0</v>
      </c>
      <c r="H70" s="382">
        <v>0</v>
      </c>
      <c r="I70" s="370"/>
      <c r="J70" s="277"/>
      <c r="K70" s="277">
        <v>0</v>
      </c>
      <c r="L70" s="277"/>
      <c r="M70" s="277">
        <v>0</v>
      </c>
      <c r="N70" s="263"/>
    </row>
    <row r="71" spans="1:14" hidden="1" x14ac:dyDescent="0.2">
      <c r="A71" s="236"/>
      <c r="B71" s="246"/>
      <c r="C71" s="277"/>
      <c r="D71" s="277"/>
      <c r="E71" s="359"/>
      <c r="F71" s="381"/>
      <c r="G71" s="277"/>
      <c r="H71" s="382"/>
      <c r="I71" s="370"/>
      <c r="J71" s="277"/>
      <c r="K71" s="277"/>
      <c r="L71" s="277"/>
      <c r="M71" s="277"/>
      <c r="N71" s="263"/>
    </row>
    <row r="72" spans="1:14" hidden="1" x14ac:dyDescent="0.2">
      <c r="A72" s="236"/>
      <c r="B72" s="246"/>
      <c r="C72" s="277"/>
      <c r="D72" s="277"/>
      <c r="E72" s="359"/>
      <c r="F72" s="381"/>
      <c r="G72" s="277"/>
      <c r="H72" s="382"/>
      <c r="I72" s="370"/>
      <c r="J72" s="277"/>
      <c r="K72" s="277"/>
      <c r="L72" s="277"/>
      <c r="M72" s="277"/>
      <c r="N72" s="263"/>
    </row>
    <row r="73" spans="1:14" hidden="1" x14ac:dyDescent="0.2">
      <c r="A73" s="236"/>
      <c r="B73" s="246" t="s">
        <v>812</v>
      </c>
      <c r="C73" s="277">
        <v>0</v>
      </c>
      <c r="D73" s="277">
        <v>0</v>
      </c>
      <c r="E73" s="359">
        <v>0</v>
      </c>
      <c r="F73" s="381">
        <v>0</v>
      </c>
      <c r="G73" s="277">
        <v>0</v>
      </c>
      <c r="H73" s="382">
        <v>0</v>
      </c>
      <c r="I73" s="370"/>
      <c r="J73" s="277"/>
      <c r="K73" s="277">
        <v>0</v>
      </c>
      <c r="L73" s="277"/>
      <c r="M73" s="277">
        <v>0</v>
      </c>
      <c r="N73" s="263"/>
    </row>
    <row r="74" spans="1:14" hidden="1" x14ac:dyDescent="0.2">
      <c r="A74" s="236"/>
      <c r="B74" s="175"/>
      <c r="C74" s="277"/>
      <c r="D74" s="277"/>
      <c r="E74" s="359"/>
      <c r="F74" s="381"/>
      <c r="G74" s="277"/>
      <c r="H74" s="382"/>
      <c r="I74" s="370"/>
      <c r="J74" s="277"/>
      <c r="K74" s="277"/>
      <c r="L74" s="277"/>
      <c r="M74" s="277"/>
      <c r="N74" s="263"/>
    </row>
    <row r="75" spans="1:14" ht="30.6" hidden="1" customHeight="1" x14ac:dyDescent="0.2">
      <c r="A75" s="234" t="s">
        <v>933</v>
      </c>
      <c r="B75" s="248" t="s">
        <v>934</v>
      </c>
      <c r="C75" s="278">
        <f t="shared" ref="C75:M77" si="8">C76</f>
        <v>0</v>
      </c>
      <c r="D75" s="278">
        <f t="shared" si="8"/>
        <v>0</v>
      </c>
      <c r="E75" s="358">
        <f t="shared" si="8"/>
        <v>0</v>
      </c>
      <c r="F75" s="377">
        <f t="shared" si="8"/>
        <v>0</v>
      </c>
      <c r="G75" s="278">
        <f t="shared" si="8"/>
        <v>0</v>
      </c>
      <c r="H75" s="378">
        <f t="shared" si="8"/>
        <v>0</v>
      </c>
      <c r="I75" s="368">
        <f>D75+G75</f>
        <v>0</v>
      </c>
      <c r="J75" s="278">
        <f t="shared" si="8"/>
        <v>0</v>
      </c>
      <c r="K75" s="278">
        <f t="shared" si="8"/>
        <v>0</v>
      </c>
      <c r="L75" s="278">
        <f t="shared" si="8"/>
        <v>0</v>
      </c>
      <c r="M75" s="278">
        <f t="shared" si="8"/>
        <v>0</v>
      </c>
      <c r="N75" s="173"/>
    </row>
    <row r="76" spans="1:14" ht="20.399999999999999" hidden="1" x14ac:dyDescent="0.2">
      <c r="A76" s="236"/>
      <c r="B76" s="246" t="s">
        <v>935</v>
      </c>
      <c r="C76" s="277">
        <v>0</v>
      </c>
      <c r="D76" s="277">
        <v>0</v>
      </c>
      <c r="E76" s="359">
        <v>0</v>
      </c>
      <c r="F76" s="381">
        <v>0</v>
      </c>
      <c r="G76" s="277">
        <v>0</v>
      </c>
      <c r="H76" s="382">
        <v>0</v>
      </c>
      <c r="I76" s="370">
        <f>D76+G76</f>
        <v>0</v>
      </c>
      <c r="J76" s="277"/>
      <c r="K76" s="277">
        <v>0</v>
      </c>
      <c r="L76" s="277"/>
      <c r="M76" s="277">
        <v>0</v>
      </c>
      <c r="N76" s="263" t="s">
        <v>962</v>
      </c>
    </row>
    <row r="77" spans="1:14" hidden="1" x14ac:dyDescent="0.2">
      <c r="A77" s="234" t="s">
        <v>398</v>
      </c>
      <c r="B77" s="248" t="s">
        <v>399</v>
      </c>
      <c r="C77" s="278">
        <f t="shared" si="8"/>
        <v>0</v>
      </c>
      <c r="D77" s="278">
        <f t="shared" si="8"/>
        <v>0</v>
      </c>
      <c r="E77" s="358">
        <f t="shared" si="8"/>
        <v>0</v>
      </c>
      <c r="F77" s="377">
        <f t="shared" si="8"/>
        <v>0</v>
      </c>
      <c r="G77" s="278">
        <f t="shared" si="8"/>
        <v>0</v>
      </c>
      <c r="H77" s="378">
        <f t="shared" si="8"/>
        <v>0</v>
      </c>
      <c r="I77" s="368">
        <f>D77+G77</f>
        <v>0</v>
      </c>
      <c r="J77" s="278">
        <f t="shared" si="8"/>
        <v>0</v>
      </c>
      <c r="K77" s="278">
        <f t="shared" si="8"/>
        <v>0</v>
      </c>
      <c r="L77" s="278">
        <f t="shared" si="8"/>
        <v>0</v>
      </c>
      <c r="M77" s="278">
        <f t="shared" si="8"/>
        <v>0</v>
      </c>
      <c r="N77" s="173"/>
    </row>
    <row r="78" spans="1:14" ht="20.399999999999999" hidden="1" x14ac:dyDescent="0.2">
      <c r="A78" s="236"/>
      <c r="B78" s="246" t="s">
        <v>828</v>
      </c>
      <c r="C78" s="277">
        <v>0</v>
      </c>
      <c r="D78" s="277">
        <v>0</v>
      </c>
      <c r="E78" s="359">
        <v>0</v>
      </c>
      <c r="F78" s="381"/>
      <c r="G78" s="277"/>
      <c r="H78" s="382"/>
      <c r="I78" s="370"/>
      <c r="J78" s="277"/>
      <c r="K78" s="277">
        <v>0</v>
      </c>
      <c r="L78" s="277"/>
      <c r="M78" s="277">
        <v>0</v>
      </c>
      <c r="N78" s="263"/>
    </row>
    <row r="79" spans="1:14" s="288" customFormat="1" hidden="1" x14ac:dyDescent="0.2">
      <c r="A79" s="234" t="s">
        <v>400</v>
      </c>
      <c r="B79" s="248" t="s">
        <v>401</v>
      </c>
      <c r="C79" s="278">
        <f t="shared" ref="C79:G79" si="9">SUM(C80:C80)</f>
        <v>0</v>
      </c>
      <c r="D79" s="278">
        <f t="shared" si="9"/>
        <v>0</v>
      </c>
      <c r="E79" s="358">
        <f t="shared" si="9"/>
        <v>0</v>
      </c>
      <c r="F79" s="377">
        <f t="shared" si="9"/>
        <v>0</v>
      </c>
      <c r="G79" s="278">
        <f t="shared" si="9"/>
        <v>0</v>
      </c>
      <c r="H79" s="378"/>
      <c r="I79" s="368">
        <f>SUM(I80:I80)</f>
        <v>0</v>
      </c>
      <c r="J79" s="278">
        <f>SUM(J80:J80)</f>
        <v>0</v>
      </c>
      <c r="K79" s="278"/>
      <c r="L79" s="278">
        <f>SUM(L80:L80)</f>
        <v>0</v>
      </c>
      <c r="M79" s="278"/>
      <c r="N79" s="173"/>
    </row>
    <row r="80" spans="1:14" s="288" customFormat="1" hidden="1" x14ac:dyDescent="0.2">
      <c r="A80" s="236"/>
      <c r="B80" s="246" t="s">
        <v>402</v>
      </c>
      <c r="C80" s="277"/>
      <c r="D80" s="277"/>
      <c r="E80" s="359"/>
      <c r="F80" s="381"/>
      <c r="G80" s="277"/>
      <c r="H80" s="382"/>
      <c r="I80" s="370"/>
      <c r="J80" s="277"/>
      <c r="K80" s="277"/>
      <c r="L80" s="277"/>
      <c r="M80" s="277"/>
      <c r="N80" s="263"/>
    </row>
    <row r="81" spans="1:14" s="288" customFormat="1" hidden="1" x14ac:dyDescent="0.2">
      <c r="A81" s="234" t="s">
        <v>809</v>
      </c>
      <c r="B81" s="248" t="s">
        <v>810</v>
      </c>
      <c r="C81" s="278"/>
      <c r="D81" s="278">
        <f>D82</f>
        <v>0</v>
      </c>
      <c r="E81" s="358">
        <f t="shared" ref="E81:M81" si="10">E82</f>
        <v>0</v>
      </c>
      <c r="F81" s="377">
        <f t="shared" si="10"/>
        <v>0</v>
      </c>
      <c r="G81" s="278">
        <f t="shared" si="10"/>
        <v>0</v>
      </c>
      <c r="H81" s="378">
        <f t="shared" si="10"/>
        <v>0</v>
      </c>
      <c r="I81" s="368">
        <f>D81+G81</f>
        <v>0</v>
      </c>
      <c r="J81" s="278">
        <f t="shared" si="10"/>
        <v>0</v>
      </c>
      <c r="K81" s="278">
        <f t="shared" si="10"/>
        <v>0</v>
      </c>
      <c r="L81" s="278">
        <f t="shared" si="10"/>
        <v>0</v>
      </c>
      <c r="M81" s="278">
        <f t="shared" si="10"/>
        <v>0</v>
      </c>
      <c r="N81" s="173"/>
    </row>
    <row r="82" spans="1:14" hidden="1" x14ac:dyDescent="0.2">
      <c r="A82" s="236"/>
      <c r="B82" s="249" t="s">
        <v>829</v>
      </c>
      <c r="C82" s="277">
        <v>0</v>
      </c>
      <c r="D82" s="277">
        <v>0</v>
      </c>
      <c r="E82" s="359">
        <v>0</v>
      </c>
      <c r="F82" s="381">
        <v>0</v>
      </c>
      <c r="G82" s="277">
        <v>0</v>
      </c>
      <c r="H82" s="382">
        <v>0</v>
      </c>
      <c r="I82" s="370"/>
      <c r="J82" s="277"/>
      <c r="K82" s="277">
        <v>0</v>
      </c>
      <c r="L82" s="277">
        <v>0</v>
      </c>
      <c r="M82" s="277">
        <v>0</v>
      </c>
      <c r="N82" s="263"/>
    </row>
    <row r="83" spans="1:14" s="288" customFormat="1" hidden="1" x14ac:dyDescent="0.2">
      <c r="A83" s="234" t="s">
        <v>729</v>
      </c>
      <c r="B83" s="248" t="s">
        <v>879</v>
      </c>
      <c r="C83" s="278"/>
      <c r="D83" s="278">
        <f>D84+D86+D85</f>
        <v>0</v>
      </c>
      <c r="E83" s="358">
        <v>1</v>
      </c>
      <c r="F83" s="377"/>
      <c r="G83" s="278"/>
      <c r="H83" s="378"/>
      <c r="I83" s="368">
        <f>D83+G83</f>
        <v>0</v>
      </c>
      <c r="J83" s="278">
        <f>J84+J85+J86</f>
        <v>0</v>
      </c>
      <c r="K83" s="278">
        <f t="shared" ref="K83:M83" si="11">K84+K85+K86</f>
        <v>0</v>
      </c>
      <c r="L83" s="278">
        <f t="shared" si="11"/>
        <v>0</v>
      </c>
      <c r="M83" s="278">
        <f t="shared" si="11"/>
        <v>0</v>
      </c>
      <c r="N83" s="173"/>
    </row>
    <row r="84" spans="1:14" ht="30.6" hidden="1" x14ac:dyDescent="0.2">
      <c r="A84" s="236"/>
      <c r="B84" s="249" t="s">
        <v>814</v>
      </c>
      <c r="C84" s="277">
        <v>0</v>
      </c>
      <c r="D84" s="277">
        <v>0</v>
      </c>
      <c r="E84" s="359">
        <v>0</v>
      </c>
      <c r="F84" s="381">
        <v>0</v>
      </c>
      <c r="G84" s="277">
        <v>0</v>
      </c>
      <c r="H84" s="382">
        <v>0</v>
      </c>
      <c r="I84" s="370"/>
      <c r="J84" s="277"/>
      <c r="K84" s="277">
        <v>0</v>
      </c>
      <c r="L84" s="277"/>
      <c r="M84" s="277">
        <v>0</v>
      </c>
      <c r="N84" s="263"/>
    </row>
    <row r="85" spans="1:14" ht="30.6" hidden="1" x14ac:dyDescent="0.2">
      <c r="A85" s="236"/>
      <c r="B85" s="249" t="s">
        <v>815</v>
      </c>
      <c r="C85" s="277">
        <v>0</v>
      </c>
      <c r="D85" s="277">
        <v>0</v>
      </c>
      <c r="E85" s="359">
        <v>0</v>
      </c>
      <c r="F85" s="381">
        <v>0</v>
      </c>
      <c r="G85" s="277">
        <v>0</v>
      </c>
      <c r="H85" s="382">
        <v>0</v>
      </c>
      <c r="I85" s="370"/>
      <c r="J85" s="277"/>
      <c r="K85" s="277">
        <v>0</v>
      </c>
      <c r="L85" s="277"/>
      <c r="M85" s="277">
        <v>0</v>
      </c>
      <c r="N85" s="263"/>
    </row>
    <row r="86" spans="1:14" ht="51" hidden="1" x14ac:dyDescent="0.2">
      <c r="A86" s="236"/>
      <c r="B86" s="249" t="s">
        <v>816</v>
      </c>
      <c r="C86" s="277">
        <v>0</v>
      </c>
      <c r="D86" s="277">
        <v>0</v>
      </c>
      <c r="E86" s="359">
        <v>0</v>
      </c>
      <c r="F86" s="381">
        <v>0</v>
      </c>
      <c r="G86" s="277">
        <v>0</v>
      </c>
      <c r="H86" s="382">
        <v>0</v>
      </c>
      <c r="I86" s="370"/>
      <c r="J86" s="277"/>
      <c r="K86" s="277">
        <v>0</v>
      </c>
      <c r="L86" s="277"/>
      <c r="M86" s="277">
        <v>0</v>
      </c>
      <c r="N86" s="263"/>
    </row>
    <row r="87" spans="1:14" ht="21.6" x14ac:dyDescent="0.25">
      <c r="A87" s="238" t="s">
        <v>403</v>
      </c>
      <c r="B87" s="252" t="s">
        <v>404</v>
      </c>
      <c r="C87" s="279">
        <f>C88+C89+C90+C91+C92</f>
        <v>0</v>
      </c>
      <c r="D87" s="279">
        <f t="shared" ref="D87:L87" si="12">D88+D89+D90+D91+D92</f>
        <v>2000000</v>
      </c>
      <c r="E87" s="361">
        <f>E88+E89+E90+E91+E92</f>
        <v>1</v>
      </c>
      <c r="F87" s="383">
        <f t="shared" si="12"/>
        <v>500000</v>
      </c>
      <c r="G87" s="279">
        <f t="shared" si="12"/>
        <v>1590280</v>
      </c>
      <c r="H87" s="384">
        <f t="shared" si="12"/>
        <v>3.1805599999999998</v>
      </c>
      <c r="I87" s="371">
        <f t="shared" si="12"/>
        <v>3590280</v>
      </c>
      <c r="J87" s="279">
        <f t="shared" si="12"/>
        <v>0</v>
      </c>
      <c r="K87" s="279"/>
      <c r="L87" s="279">
        <f t="shared" si="12"/>
        <v>0</v>
      </c>
      <c r="M87" s="279"/>
      <c r="N87" s="265"/>
    </row>
    <row r="88" spans="1:14" ht="20.399999999999999" hidden="1" x14ac:dyDescent="0.2">
      <c r="A88" s="234" t="s">
        <v>405</v>
      </c>
      <c r="B88" s="248" t="s">
        <v>406</v>
      </c>
      <c r="C88" s="278"/>
      <c r="D88" s="278"/>
      <c r="E88" s="358"/>
      <c r="F88" s="377"/>
      <c r="G88" s="278"/>
      <c r="H88" s="378"/>
      <c r="I88" s="368"/>
      <c r="J88" s="278"/>
      <c r="K88" s="278"/>
      <c r="L88" s="278"/>
      <c r="M88" s="278"/>
      <c r="N88" s="173"/>
    </row>
    <row r="89" spans="1:14" ht="30.6" hidden="1" x14ac:dyDescent="0.2">
      <c r="A89" s="234" t="s">
        <v>407</v>
      </c>
      <c r="B89" s="248" t="s">
        <v>408</v>
      </c>
      <c r="C89" s="278"/>
      <c r="D89" s="278"/>
      <c r="E89" s="358"/>
      <c r="F89" s="377"/>
      <c r="G89" s="278"/>
      <c r="H89" s="378"/>
      <c r="I89" s="368"/>
      <c r="J89" s="278"/>
      <c r="K89" s="278"/>
      <c r="L89" s="278"/>
      <c r="M89" s="278"/>
      <c r="N89" s="173"/>
    </row>
    <row r="90" spans="1:14" ht="20.399999999999999" hidden="1" x14ac:dyDescent="0.2">
      <c r="A90" s="234" t="s">
        <v>409</v>
      </c>
      <c r="B90" s="248" t="s">
        <v>410</v>
      </c>
      <c r="C90" s="278"/>
      <c r="D90" s="278"/>
      <c r="E90" s="358"/>
      <c r="F90" s="377"/>
      <c r="G90" s="278"/>
      <c r="H90" s="378"/>
      <c r="I90" s="368"/>
      <c r="J90" s="278"/>
      <c r="K90" s="278"/>
      <c r="L90" s="278"/>
      <c r="M90" s="278"/>
      <c r="N90" s="173"/>
    </row>
    <row r="91" spans="1:14" ht="30.6" hidden="1" x14ac:dyDescent="0.2">
      <c r="A91" s="234" t="s">
        <v>411</v>
      </c>
      <c r="B91" s="248" t="s">
        <v>412</v>
      </c>
      <c r="C91" s="278"/>
      <c r="D91" s="278"/>
      <c r="E91" s="358"/>
      <c r="F91" s="377"/>
      <c r="G91" s="278"/>
      <c r="H91" s="378"/>
      <c r="I91" s="368"/>
      <c r="J91" s="278"/>
      <c r="K91" s="278"/>
      <c r="L91" s="278"/>
      <c r="M91" s="278"/>
      <c r="N91" s="173"/>
    </row>
    <row r="92" spans="1:14" ht="21" x14ac:dyDescent="0.25">
      <c r="A92" s="234" t="s">
        <v>413</v>
      </c>
      <c r="B92" s="248" t="s">
        <v>414</v>
      </c>
      <c r="C92" s="281">
        <f>SUM(C93:C94)</f>
        <v>0</v>
      </c>
      <c r="D92" s="281">
        <f t="shared" ref="D92:M92" si="13">SUM(D93:D94)</f>
        <v>2000000</v>
      </c>
      <c r="E92" s="362">
        <v>1</v>
      </c>
      <c r="F92" s="385">
        <f t="shared" si="13"/>
        <v>500000</v>
      </c>
      <c r="G92" s="281">
        <f t="shared" si="13"/>
        <v>1590280</v>
      </c>
      <c r="H92" s="378">
        <f>G92/F92</f>
        <v>3.1805599999999998</v>
      </c>
      <c r="I92" s="372">
        <f t="shared" si="13"/>
        <v>3590280</v>
      </c>
      <c r="J92" s="281">
        <f t="shared" si="13"/>
        <v>0</v>
      </c>
      <c r="K92" s="281">
        <f t="shared" si="13"/>
        <v>0</v>
      </c>
      <c r="L92" s="281">
        <f t="shared" si="13"/>
        <v>0</v>
      </c>
      <c r="M92" s="281">
        <f t="shared" si="13"/>
        <v>0</v>
      </c>
      <c r="N92" s="281"/>
    </row>
    <row r="93" spans="1:14" x14ac:dyDescent="0.2">
      <c r="A93" s="235"/>
      <c r="B93" s="246" t="s">
        <v>379</v>
      </c>
      <c r="C93" s="224">
        <v>0</v>
      </c>
      <c r="D93" s="224">
        <v>0</v>
      </c>
      <c r="E93" s="360">
        <v>0</v>
      </c>
      <c r="F93" s="379">
        <v>500000</v>
      </c>
      <c r="G93" s="224">
        <v>25000</v>
      </c>
      <c r="H93" s="380">
        <f>G93/F93</f>
        <v>0.05</v>
      </c>
      <c r="I93" s="369">
        <f>D93+G93</f>
        <v>25000</v>
      </c>
      <c r="J93" s="224">
        <v>0</v>
      </c>
      <c r="K93" s="224">
        <v>0</v>
      </c>
      <c r="L93" s="224">
        <v>0</v>
      </c>
      <c r="M93" s="224">
        <v>0</v>
      </c>
      <c r="N93" s="264"/>
    </row>
    <row r="94" spans="1:14" ht="20.399999999999999" x14ac:dyDescent="0.2">
      <c r="A94" s="235"/>
      <c r="B94" s="246" t="s">
        <v>978</v>
      </c>
      <c r="C94" s="224">
        <v>0</v>
      </c>
      <c r="D94" s="224">
        <v>2000000</v>
      </c>
      <c r="E94" s="360">
        <v>1</v>
      </c>
      <c r="F94" s="379">
        <v>0</v>
      </c>
      <c r="G94" s="224">
        <f>565280+500000+500000</f>
        <v>1565280</v>
      </c>
      <c r="H94" s="380">
        <v>1</v>
      </c>
      <c r="I94" s="369">
        <f>D94+G94</f>
        <v>3565280</v>
      </c>
      <c r="J94" s="224">
        <v>0</v>
      </c>
      <c r="K94" s="224">
        <v>0</v>
      </c>
      <c r="L94" s="224">
        <v>0</v>
      </c>
      <c r="M94" s="224">
        <v>0</v>
      </c>
      <c r="N94" s="264" t="s">
        <v>986</v>
      </c>
    </row>
    <row r="95" spans="1:14" ht="21.6" hidden="1" x14ac:dyDescent="0.25">
      <c r="A95" s="238" t="s">
        <v>6</v>
      </c>
      <c r="B95" s="252" t="s">
        <v>415</v>
      </c>
      <c r="C95" s="279">
        <f t="shared" ref="C95:L95" si="14">SUM(C96:C99)</f>
        <v>0</v>
      </c>
      <c r="D95" s="279">
        <f t="shared" si="14"/>
        <v>0</v>
      </c>
      <c r="E95" s="361">
        <f t="shared" si="14"/>
        <v>0</v>
      </c>
      <c r="F95" s="383">
        <f t="shared" si="14"/>
        <v>0</v>
      </c>
      <c r="G95" s="279">
        <f t="shared" si="14"/>
        <v>0</v>
      </c>
      <c r="H95" s="384">
        <f t="shared" si="14"/>
        <v>0</v>
      </c>
      <c r="I95" s="371">
        <f t="shared" si="14"/>
        <v>0</v>
      </c>
      <c r="J95" s="279">
        <f t="shared" si="14"/>
        <v>0</v>
      </c>
      <c r="K95" s="279"/>
      <c r="L95" s="279">
        <f t="shared" si="14"/>
        <v>0</v>
      </c>
      <c r="M95" s="279"/>
      <c r="N95" s="265"/>
    </row>
    <row r="96" spans="1:14" ht="20.399999999999999" hidden="1" x14ac:dyDescent="0.2">
      <c r="A96" s="234" t="s">
        <v>416</v>
      </c>
      <c r="B96" s="248" t="s">
        <v>417</v>
      </c>
      <c r="C96" s="278"/>
      <c r="D96" s="278"/>
      <c r="E96" s="358"/>
      <c r="F96" s="377"/>
      <c r="G96" s="278"/>
      <c r="H96" s="378"/>
      <c r="I96" s="368"/>
      <c r="J96" s="278"/>
      <c r="K96" s="278"/>
      <c r="L96" s="278"/>
      <c r="M96" s="278"/>
      <c r="N96" s="173"/>
    </row>
    <row r="97" spans="1:14" ht="20.399999999999999" hidden="1" x14ac:dyDescent="0.2">
      <c r="A97" s="234" t="s">
        <v>418</v>
      </c>
      <c r="B97" s="248" t="s">
        <v>419</v>
      </c>
      <c r="C97" s="278"/>
      <c r="D97" s="278"/>
      <c r="E97" s="358"/>
      <c r="F97" s="377"/>
      <c r="G97" s="278"/>
      <c r="H97" s="378"/>
      <c r="I97" s="368"/>
      <c r="J97" s="278"/>
      <c r="K97" s="278"/>
      <c r="L97" s="278"/>
      <c r="M97" s="278"/>
      <c r="N97" s="173"/>
    </row>
    <row r="98" spans="1:14" hidden="1" x14ac:dyDescent="0.2">
      <c r="A98" s="234" t="s">
        <v>420</v>
      </c>
      <c r="B98" s="248" t="s">
        <v>240</v>
      </c>
      <c r="C98" s="278"/>
      <c r="D98" s="278"/>
      <c r="E98" s="358"/>
      <c r="F98" s="377"/>
      <c r="G98" s="278"/>
      <c r="H98" s="378"/>
      <c r="I98" s="368"/>
      <c r="J98" s="278"/>
      <c r="K98" s="278"/>
      <c r="L98" s="278"/>
      <c r="M98" s="278"/>
      <c r="N98" s="173"/>
    </row>
    <row r="99" spans="1:14" hidden="1" x14ac:dyDescent="0.2">
      <c r="A99" s="234" t="s">
        <v>421</v>
      </c>
      <c r="B99" s="248" t="s">
        <v>422</v>
      </c>
      <c r="C99" s="278"/>
      <c r="D99" s="278"/>
      <c r="E99" s="358"/>
      <c r="F99" s="377"/>
      <c r="G99" s="278"/>
      <c r="H99" s="378"/>
      <c r="I99" s="368"/>
      <c r="J99" s="278"/>
      <c r="K99" s="278"/>
      <c r="L99" s="278"/>
      <c r="M99" s="278"/>
      <c r="N99" s="173"/>
    </row>
    <row r="100" spans="1:14" hidden="1" x14ac:dyDescent="0.2">
      <c r="A100" s="234"/>
      <c r="B100" s="248"/>
      <c r="C100" s="278"/>
      <c r="D100" s="278"/>
      <c r="E100" s="358"/>
      <c r="F100" s="377"/>
      <c r="G100" s="278"/>
      <c r="H100" s="378"/>
      <c r="I100" s="368"/>
      <c r="J100" s="278"/>
      <c r="K100" s="278"/>
      <c r="L100" s="278"/>
      <c r="M100" s="278"/>
      <c r="N100" s="173"/>
    </row>
    <row r="101" spans="1:14" ht="32.4" hidden="1" x14ac:dyDescent="0.25">
      <c r="A101" s="238" t="s">
        <v>423</v>
      </c>
      <c r="B101" s="252" t="s">
        <v>424</v>
      </c>
      <c r="C101" s="279">
        <f t="shared" ref="C101:L101" si="15">SUM(C102:C104)</f>
        <v>0</v>
      </c>
      <c r="D101" s="279">
        <f t="shared" si="15"/>
        <v>0</v>
      </c>
      <c r="E101" s="361">
        <f t="shared" si="15"/>
        <v>0</v>
      </c>
      <c r="F101" s="383">
        <f t="shared" si="15"/>
        <v>0</v>
      </c>
      <c r="G101" s="279">
        <f t="shared" si="15"/>
        <v>0</v>
      </c>
      <c r="H101" s="384"/>
      <c r="I101" s="371">
        <f t="shared" si="15"/>
        <v>0</v>
      </c>
      <c r="J101" s="279">
        <f t="shared" si="15"/>
        <v>0</v>
      </c>
      <c r="K101" s="279"/>
      <c r="L101" s="279">
        <f t="shared" si="15"/>
        <v>0</v>
      </c>
      <c r="M101" s="279"/>
      <c r="N101" s="265"/>
    </row>
    <row r="102" spans="1:14" ht="20.399999999999999" hidden="1" x14ac:dyDescent="0.2">
      <c r="A102" s="234" t="s">
        <v>425</v>
      </c>
      <c r="B102" s="248" t="s">
        <v>426</v>
      </c>
      <c r="C102" s="278"/>
      <c r="D102" s="278"/>
      <c r="E102" s="358"/>
      <c r="F102" s="377"/>
      <c r="G102" s="278"/>
      <c r="H102" s="378"/>
      <c r="I102" s="368"/>
      <c r="J102" s="278"/>
      <c r="K102" s="278"/>
      <c r="L102" s="278"/>
      <c r="M102" s="278"/>
      <c r="N102" s="173"/>
    </row>
    <row r="103" spans="1:14" ht="20.399999999999999" hidden="1" x14ac:dyDescent="0.2">
      <c r="A103" s="234" t="s">
        <v>427</v>
      </c>
      <c r="B103" s="248" t="s">
        <v>428</v>
      </c>
      <c r="C103" s="278"/>
      <c r="D103" s="278"/>
      <c r="E103" s="358"/>
      <c r="F103" s="377"/>
      <c r="G103" s="278"/>
      <c r="H103" s="378"/>
      <c r="I103" s="368"/>
      <c r="J103" s="278"/>
      <c r="K103" s="278"/>
      <c r="L103" s="278"/>
      <c r="M103" s="278"/>
      <c r="N103" s="173"/>
    </row>
    <row r="104" spans="1:14" ht="20.399999999999999" hidden="1" x14ac:dyDescent="0.2">
      <c r="A104" s="234" t="s">
        <v>429</v>
      </c>
      <c r="B104" s="248" t="s">
        <v>430</v>
      </c>
      <c r="C104" s="278"/>
      <c r="D104" s="278"/>
      <c r="E104" s="358"/>
      <c r="F104" s="377"/>
      <c r="G104" s="278"/>
      <c r="H104" s="378"/>
      <c r="I104" s="368"/>
      <c r="J104" s="278"/>
      <c r="K104" s="278"/>
      <c r="L104" s="278"/>
      <c r="M104" s="278"/>
      <c r="N104" s="173"/>
    </row>
    <row r="105" spans="1:14" ht="32.4" x14ac:dyDescent="0.25">
      <c r="A105" s="238" t="s">
        <v>431</v>
      </c>
      <c r="B105" s="253" t="s">
        <v>432</v>
      </c>
      <c r="C105" s="279">
        <f>SUM(C106:C111)</f>
        <v>0</v>
      </c>
      <c r="D105" s="279">
        <f t="shared" ref="D105:M105" si="16">SUM(D106:D111)</f>
        <v>2200000</v>
      </c>
      <c r="E105" s="361">
        <f t="shared" si="16"/>
        <v>1</v>
      </c>
      <c r="F105" s="383">
        <f t="shared" si="16"/>
        <v>0</v>
      </c>
      <c r="G105" s="279">
        <f t="shared" si="16"/>
        <v>1000000</v>
      </c>
      <c r="H105" s="384">
        <f t="shared" si="16"/>
        <v>1</v>
      </c>
      <c r="I105" s="371">
        <f t="shared" si="16"/>
        <v>3200000</v>
      </c>
      <c r="J105" s="279">
        <f t="shared" si="16"/>
        <v>0</v>
      </c>
      <c r="K105" s="279">
        <f t="shared" si="16"/>
        <v>0</v>
      </c>
      <c r="L105" s="279">
        <f t="shared" si="16"/>
        <v>0</v>
      </c>
      <c r="M105" s="279">
        <f t="shared" si="16"/>
        <v>0</v>
      </c>
      <c r="N105" s="265"/>
    </row>
    <row r="106" spans="1:14" ht="20.399999999999999" hidden="1" x14ac:dyDescent="0.2">
      <c r="A106" s="234" t="s">
        <v>433</v>
      </c>
      <c r="B106" s="248" t="s">
        <v>434</v>
      </c>
      <c r="C106" s="278"/>
      <c r="D106" s="278"/>
      <c r="E106" s="358"/>
      <c r="F106" s="377"/>
      <c r="G106" s="278"/>
      <c r="H106" s="378"/>
      <c r="I106" s="368"/>
      <c r="J106" s="278"/>
      <c r="K106" s="278"/>
      <c r="L106" s="278"/>
      <c r="M106" s="278"/>
      <c r="N106" s="173"/>
    </row>
    <row r="107" spans="1:14" ht="20.399999999999999" hidden="1" x14ac:dyDescent="0.2">
      <c r="A107" s="234" t="s">
        <v>435</v>
      </c>
      <c r="B107" s="248" t="s">
        <v>436</v>
      </c>
      <c r="C107" s="278"/>
      <c r="D107" s="278"/>
      <c r="E107" s="358"/>
      <c r="F107" s="377"/>
      <c r="G107" s="278"/>
      <c r="H107" s="378"/>
      <c r="I107" s="368"/>
      <c r="J107" s="278"/>
      <c r="K107" s="278"/>
      <c r="L107" s="278"/>
      <c r="M107" s="278"/>
      <c r="N107" s="173"/>
    </row>
    <row r="108" spans="1:14" ht="30.6" hidden="1" x14ac:dyDescent="0.2">
      <c r="A108" s="234" t="s">
        <v>437</v>
      </c>
      <c r="B108" s="248" t="s">
        <v>438</v>
      </c>
      <c r="C108" s="278"/>
      <c r="D108" s="278"/>
      <c r="E108" s="358"/>
      <c r="F108" s="377"/>
      <c r="G108" s="278"/>
      <c r="H108" s="378"/>
      <c r="I108" s="368"/>
      <c r="J108" s="278"/>
      <c r="K108" s="278"/>
      <c r="L108" s="278"/>
      <c r="M108" s="278"/>
      <c r="N108" s="173"/>
    </row>
    <row r="109" spans="1:14" ht="20.399999999999999" hidden="1" x14ac:dyDescent="0.2">
      <c r="A109" s="234" t="s">
        <v>439</v>
      </c>
      <c r="B109" s="248" t="s">
        <v>440</v>
      </c>
      <c r="C109" s="278"/>
      <c r="D109" s="278"/>
      <c r="E109" s="358"/>
      <c r="F109" s="377"/>
      <c r="G109" s="278"/>
      <c r="H109" s="378"/>
      <c r="I109" s="368"/>
      <c r="J109" s="278"/>
      <c r="K109" s="278"/>
      <c r="L109" s="278"/>
      <c r="M109" s="278"/>
      <c r="N109" s="173"/>
    </row>
    <row r="110" spans="1:14" ht="20.399999999999999" hidden="1" x14ac:dyDescent="0.2">
      <c r="A110" s="234" t="s">
        <v>441</v>
      </c>
      <c r="B110" s="248" t="s">
        <v>442</v>
      </c>
      <c r="C110" s="278"/>
      <c r="D110" s="278"/>
      <c r="E110" s="358"/>
      <c r="F110" s="377"/>
      <c r="G110" s="278"/>
      <c r="H110" s="378"/>
      <c r="I110" s="368"/>
      <c r="J110" s="278"/>
      <c r="K110" s="278"/>
      <c r="L110" s="278"/>
      <c r="M110" s="278"/>
      <c r="N110" s="173"/>
    </row>
    <row r="111" spans="1:14" ht="20.399999999999999" x14ac:dyDescent="0.2">
      <c r="A111" s="234" t="s">
        <v>838</v>
      </c>
      <c r="B111" s="248" t="s">
        <v>839</v>
      </c>
      <c r="C111" s="278">
        <v>0</v>
      </c>
      <c r="D111" s="278">
        <v>2200000</v>
      </c>
      <c r="E111" s="358">
        <v>1</v>
      </c>
      <c r="F111" s="377">
        <v>0</v>
      </c>
      <c r="G111" s="278">
        <v>1000000</v>
      </c>
      <c r="H111" s="378">
        <v>1</v>
      </c>
      <c r="I111" s="368">
        <f>D111+G111</f>
        <v>3200000</v>
      </c>
      <c r="J111" s="278"/>
      <c r="K111" s="278"/>
      <c r="L111" s="278"/>
      <c r="M111" s="278"/>
      <c r="N111" s="173" t="s">
        <v>987</v>
      </c>
    </row>
    <row r="112" spans="1:14" ht="21.6" x14ac:dyDescent="0.25">
      <c r="A112" s="238" t="s">
        <v>443</v>
      </c>
      <c r="B112" s="252" t="s">
        <v>444</v>
      </c>
      <c r="C112" s="279">
        <f>C113+C114+C119+C120</f>
        <v>0</v>
      </c>
      <c r="D112" s="279">
        <f>D113+D114+D119+D120+D122</f>
        <v>7948000</v>
      </c>
      <c r="E112" s="361">
        <v>0</v>
      </c>
      <c r="F112" s="383">
        <f t="shared" ref="F112" si="17">F113+F114+F119+F120+F122</f>
        <v>0</v>
      </c>
      <c r="G112" s="279">
        <f>G113+G114+G119+G120+G122</f>
        <v>2800000</v>
      </c>
      <c r="H112" s="384">
        <f>H113+H114+H119+H120</f>
        <v>1</v>
      </c>
      <c r="I112" s="371">
        <f t="shared" ref="I112:M112" si="18">I113+I114+I119+I120+I122</f>
        <v>10748000</v>
      </c>
      <c r="J112" s="279">
        <f t="shared" si="18"/>
        <v>0</v>
      </c>
      <c r="K112" s="279">
        <f t="shared" si="18"/>
        <v>0</v>
      </c>
      <c r="L112" s="279">
        <f t="shared" si="18"/>
        <v>0</v>
      </c>
      <c r="M112" s="279">
        <f t="shared" si="18"/>
        <v>0</v>
      </c>
      <c r="N112" s="265"/>
    </row>
    <row r="113" spans="1:14" ht="20.399999999999999" hidden="1" x14ac:dyDescent="0.2">
      <c r="A113" s="234" t="s">
        <v>445</v>
      </c>
      <c r="B113" s="248" t="s">
        <v>446</v>
      </c>
      <c r="C113" s="278"/>
      <c r="D113" s="278"/>
      <c r="E113" s="358"/>
      <c r="F113" s="377"/>
      <c r="G113" s="278"/>
      <c r="H113" s="378"/>
      <c r="I113" s="368"/>
      <c r="J113" s="278"/>
      <c r="K113" s="278"/>
      <c r="L113" s="278"/>
      <c r="M113" s="278"/>
      <c r="N113" s="173"/>
    </row>
    <row r="114" spans="1:14" ht="20.399999999999999" x14ac:dyDescent="0.2">
      <c r="A114" s="234" t="s">
        <v>447</v>
      </c>
      <c r="B114" s="248" t="s">
        <v>448</v>
      </c>
      <c r="C114" s="278">
        <f>SUM(C115:C118)</f>
        <v>0</v>
      </c>
      <c r="D114" s="278">
        <f>SUM(D115:D118)</f>
        <v>6948000</v>
      </c>
      <c r="E114" s="358">
        <v>1</v>
      </c>
      <c r="F114" s="377">
        <f>SUM(F115:F118)</f>
        <v>0</v>
      </c>
      <c r="G114" s="278">
        <f>SUM(G115:G118)</f>
        <v>2800000</v>
      </c>
      <c r="H114" s="378">
        <v>1</v>
      </c>
      <c r="I114" s="368">
        <f>D114+G114</f>
        <v>9748000</v>
      </c>
      <c r="J114" s="278">
        <f>SUM(J115:J118)</f>
        <v>0</v>
      </c>
      <c r="K114" s="278">
        <f>SUM(K115:K118)</f>
        <v>0</v>
      </c>
      <c r="L114" s="278">
        <f>SUM(L115:L118)</f>
        <v>0</v>
      </c>
      <c r="M114" s="278">
        <f>SUM(M115:M118)</f>
        <v>0</v>
      </c>
      <c r="N114" s="173"/>
    </row>
    <row r="115" spans="1:14" hidden="1" x14ac:dyDescent="0.2">
      <c r="A115" s="237"/>
      <c r="B115" s="246" t="s">
        <v>855</v>
      </c>
      <c r="C115" s="277">
        <v>0</v>
      </c>
      <c r="D115" s="277">
        <v>0</v>
      </c>
      <c r="E115" s="359">
        <v>0</v>
      </c>
      <c r="F115" s="381"/>
      <c r="G115" s="277"/>
      <c r="H115" s="382" t="e">
        <f>G115/F115</f>
        <v>#DIV/0!</v>
      </c>
      <c r="I115" s="370">
        <f t="shared" ref="I115:I116" si="19">D115+G115</f>
        <v>0</v>
      </c>
      <c r="J115" s="277">
        <v>0</v>
      </c>
      <c r="K115" s="277">
        <v>0</v>
      </c>
      <c r="L115" s="277">
        <v>0</v>
      </c>
      <c r="M115" s="277">
        <v>0</v>
      </c>
      <c r="N115" s="263"/>
    </row>
    <row r="116" spans="1:14" ht="28.95" customHeight="1" x14ac:dyDescent="0.2">
      <c r="A116" s="237"/>
      <c r="B116" s="246" t="s">
        <v>883</v>
      </c>
      <c r="C116" s="277">
        <v>0</v>
      </c>
      <c r="D116" s="277">
        <v>148000</v>
      </c>
      <c r="E116" s="359">
        <v>1</v>
      </c>
      <c r="F116" s="381">
        <v>0</v>
      </c>
      <c r="G116" s="277">
        <v>0</v>
      </c>
      <c r="H116" s="382">
        <v>0</v>
      </c>
      <c r="I116" s="370">
        <f t="shared" si="19"/>
        <v>148000</v>
      </c>
      <c r="J116" s="277">
        <v>0</v>
      </c>
      <c r="K116" s="277">
        <v>0</v>
      </c>
      <c r="L116" s="277">
        <v>0</v>
      </c>
      <c r="M116" s="277">
        <v>0</v>
      </c>
      <c r="N116" s="263" t="s">
        <v>957</v>
      </c>
    </row>
    <row r="117" spans="1:14" ht="30.6" hidden="1" x14ac:dyDescent="0.2">
      <c r="A117" s="237"/>
      <c r="B117" s="246" t="s">
        <v>856</v>
      </c>
      <c r="C117" s="277">
        <v>0</v>
      </c>
      <c r="D117" s="277">
        <v>0</v>
      </c>
      <c r="E117" s="359">
        <v>0</v>
      </c>
      <c r="F117" s="381">
        <v>0</v>
      </c>
      <c r="G117" s="277">
        <v>0</v>
      </c>
      <c r="H117" s="382">
        <v>0</v>
      </c>
      <c r="I117" s="370">
        <f>D117+G117</f>
        <v>0</v>
      </c>
      <c r="J117" s="277">
        <v>0</v>
      </c>
      <c r="K117" s="277">
        <v>0</v>
      </c>
      <c r="L117" s="277">
        <v>0</v>
      </c>
      <c r="M117" s="277">
        <v>0</v>
      </c>
      <c r="N117" s="263"/>
    </row>
    <row r="118" spans="1:14" ht="37.950000000000003" customHeight="1" x14ac:dyDescent="0.2">
      <c r="A118" s="237"/>
      <c r="B118" s="246" t="s">
        <v>885</v>
      </c>
      <c r="C118" s="277">
        <v>0</v>
      </c>
      <c r="D118" s="277">
        <v>6800000</v>
      </c>
      <c r="E118" s="359">
        <v>1</v>
      </c>
      <c r="F118" s="381">
        <v>0</v>
      </c>
      <c r="G118" s="277">
        <v>2800000</v>
      </c>
      <c r="H118" s="382">
        <v>1</v>
      </c>
      <c r="I118" s="370">
        <f>D118+G118</f>
        <v>9600000</v>
      </c>
      <c r="J118" s="277">
        <v>0</v>
      </c>
      <c r="K118" s="277">
        <v>0</v>
      </c>
      <c r="L118" s="277">
        <v>0</v>
      </c>
      <c r="M118" s="277">
        <v>0</v>
      </c>
      <c r="N118" s="263" t="s">
        <v>987</v>
      </c>
    </row>
    <row r="119" spans="1:14" hidden="1" x14ac:dyDescent="0.2">
      <c r="A119" s="234" t="s">
        <v>449</v>
      </c>
      <c r="B119" s="248" t="s">
        <v>450</v>
      </c>
      <c r="C119" s="278">
        <v>0</v>
      </c>
      <c r="D119" s="278">
        <v>0</v>
      </c>
      <c r="E119" s="358">
        <v>0</v>
      </c>
      <c r="F119" s="377">
        <f>E119</f>
        <v>0</v>
      </c>
      <c r="G119" s="278">
        <v>0</v>
      </c>
      <c r="H119" s="378"/>
      <c r="I119" s="368"/>
      <c r="J119" s="278"/>
      <c r="K119" s="278"/>
      <c r="L119" s="278"/>
      <c r="M119" s="278"/>
      <c r="N119" s="173"/>
    </row>
    <row r="120" spans="1:14" hidden="1" x14ac:dyDescent="0.2">
      <c r="A120" s="234" t="s">
        <v>451</v>
      </c>
      <c r="B120" s="248" t="s">
        <v>452</v>
      </c>
      <c r="C120" s="278">
        <v>0</v>
      </c>
      <c r="D120" s="278">
        <v>0</v>
      </c>
      <c r="E120" s="358">
        <v>0</v>
      </c>
      <c r="F120" s="377"/>
      <c r="G120" s="278">
        <v>0</v>
      </c>
      <c r="H120" s="378"/>
      <c r="I120" s="368"/>
      <c r="J120" s="278"/>
      <c r="K120" s="278"/>
      <c r="L120" s="278"/>
      <c r="M120" s="278"/>
      <c r="N120" s="173"/>
    </row>
    <row r="121" spans="1:14" ht="20.399999999999999" hidden="1" x14ac:dyDescent="0.2">
      <c r="A121" s="236"/>
      <c r="B121" s="249" t="s">
        <v>830</v>
      </c>
      <c r="C121" s="277"/>
      <c r="D121" s="277"/>
      <c r="E121" s="359"/>
      <c r="F121" s="381"/>
      <c r="G121" s="277"/>
      <c r="H121" s="382"/>
      <c r="I121" s="370"/>
      <c r="J121" s="277"/>
      <c r="K121" s="277"/>
      <c r="L121" s="277"/>
      <c r="M121" s="277"/>
      <c r="N121" s="263"/>
    </row>
    <row r="122" spans="1:14" ht="21.6" customHeight="1" x14ac:dyDescent="0.2">
      <c r="A122" s="234" t="s">
        <v>884</v>
      </c>
      <c r="B122" s="248" t="s">
        <v>885</v>
      </c>
      <c r="C122" s="278">
        <v>0</v>
      </c>
      <c r="D122" s="278">
        <f>D123</f>
        <v>1000000</v>
      </c>
      <c r="E122" s="358">
        <v>1</v>
      </c>
      <c r="F122" s="377"/>
      <c r="G122" s="278">
        <f>G123</f>
        <v>0</v>
      </c>
      <c r="H122" s="378"/>
      <c r="I122" s="368">
        <f>I123</f>
        <v>1000000</v>
      </c>
      <c r="J122" s="278"/>
      <c r="K122" s="278"/>
      <c r="L122" s="278"/>
      <c r="M122" s="278"/>
      <c r="N122" s="173"/>
    </row>
    <row r="123" spans="1:14" ht="20.399999999999999" x14ac:dyDescent="0.2">
      <c r="A123" s="236"/>
      <c r="B123" s="249" t="s">
        <v>830</v>
      </c>
      <c r="C123" s="277"/>
      <c r="D123" s="277">
        <v>1000000</v>
      </c>
      <c r="E123" s="359">
        <v>1</v>
      </c>
      <c r="F123" s="381">
        <v>0</v>
      </c>
      <c r="G123" s="277">
        <v>0</v>
      </c>
      <c r="H123" s="382">
        <v>0</v>
      </c>
      <c r="I123" s="370">
        <f>G123+D123</f>
        <v>1000000</v>
      </c>
      <c r="J123" s="277"/>
      <c r="K123" s="277"/>
      <c r="L123" s="277"/>
      <c r="M123" s="277"/>
      <c r="N123" s="263" t="s">
        <v>987</v>
      </c>
    </row>
    <row r="124" spans="1:14" ht="20.399999999999999" x14ac:dyDescent="0.2">
      <c r="A124" s="233" t="s">
        <v>9</v>
      </c>
      <c r="B124" s="251" t="s">
        <v>453</v>
      </c>
      <c r="C124" s="282">
        <f t="shared" ref="C124:L124" si="20">C125+C128+C131+C144+C150</f>
        <v>0</v>
      </c>
      <c r="D124" s="282">
        <f t="shared" si="20"/>
        <v>3530000</v>
      </c>
      <c r="E124" s="357">
        <v>1</v>
      </c>
      <c r="F124" s="386">
        <f t="shared" si="20"/>
        <v>112647190</v>
      </c>
      <c r="G124" s="282">
        <f t="shared" si="20"/>
        <v>9738867</v>
      </c>
      <c r="H124" s="387">
        <f>G124/F124</f>
        <v>8.6454593319194209E-2</v>
      </c>
      <c r="I124" s="367">
        <f t="shared" si="20"/>
        <v>13268867</v>
      </c>
      <c r="J124" s="282">
        <f>J125+J128+J131+J144+J150</f>
        <v>0</v>
      </c>
      <c r="K124" s="282"/>
      <c r="L124" s="282">
        <f t="shared" si="20"/>
        <v>0</v>
      </c>
      <c r="M124" s="282"/>
      <c r="N124" s="269"/>
    </row>
    <row r="125" spans="1:14" ht="21.6" hidden="1" x14ac:dyDescent="0.25">
      <c r="A125" s="238" t="s">
        <v>11</v>
      </c>
      <c r="B125" s="252" t="s">
        <v>454</v>
      </c>
      <c r="C125" s="279">
        <f t="shared" ref="C125:M126" si="21">C126</f>
        <v>0</v>
      </c>
      <c r="D125" s="279">
        <f t="shared" si="21"/>
        <v>0</v>
      </c>
      <c r="E125" s="361">
        <v>0</v>
      </c>
      <c r="F125" s="383">
        <f t="shared" si="21"/>
        <v>0</v>
      </c>
      <c r="G125" s="279">
        <f t="shared" si="21"/>
        <v>0</v>
      </c>
      <c r="H125" s="384">
        <v>0</v>
      </c>
      <c r="I125" s="371">
        <f t="shared" si="21"/>
        <v>0</v>
      </c>
      <c r="J125" s="279">
        <f t="shared" si="21"/>
        <v>0</v>
      </c>
      <c r="K125" s="279"/>
      <c r="L125" s="279">
        <f t="shared" si="21"/>
        <v>0</v>
      </c>
      <c r="M125" s="279"/>
      <c r="N125" s="265"/>
    </row>
    <row r="126" spans="1:14" ht="20.399999999999999" hidden="1" x14ac:dyDescent="0.2">
      <c r="A126" s="234" t="s">
        <v>455</v>
      </c>
      <c r="B126" s="248" t="s">
        <v>456</v>
      </c>
      <c r="C126" s="278">
        <f>C127</f>
        <v>0</v>
      </c>
      <c r="D126" s="278">
        <f t="shared" si="21"/>
        <v>0</v>
      </c>
      <c r="E126" s="358">
        <v>0</v>
      </c>
      <c r="F126" s="377">
        <f t="shared" si="21"/>
        <v>0</v>
      </c>
      <c r="G126" s="278">
        <f t="shared" si="21"/>
        <v>0</v>
      </c>
      <c r="H126" s="378">
        <f t="shared" si="21"/>
        <v>0</v>
      </c>
      <c r="I126" s="368">
        <f>D126+G126</f>
        <v>0</v>
      </c>
      <c r="J126" s="278">
        <f t="shared" si="21"/>
        <v>0</v>
      </c>
      <c r="K126" s="278">
        <f t="shared" si="21"/>
        <v>0</v>
      </c>
      <c r="L126" s="278">
        <f t="shared" si="21"/>
        <v>0</v>
      </c>
      <c r="M126" s="278">
        <f t="shared" si="21"/>
        <v>0</v>
      </c>
      <c r="N126" s="173"/>
    </row>
    <row r="127" spans="1:14" ht="30.6" hidden="1" x14ac:dyDescent="0.2">
      <c r="A127" s="235"/>
      <c r="B127" s="246" t="s">
        <v>857</v>
      </c>
      <c r="C127" s="224">
        <v>0</v>
      </c>
      <c r="D127" s="224">
        <v>0</v>
      </c>
      <c r="E127" s="360">
        <v>0</v>
      </c>
      <c r="F127" s="379">
        <v>0</v>
      </c>
      <c r="G127" s="224">
        <v>0</v>
      </c>
      <c r="H127" s="380">
        <v>0</v>
      </c>
      <c r="I127" s="369"/>
      <c r="J127" s="224"/>
      <c r="K127" s="224">
        <v>0</v>
      </c>
      <c r="L127" s="224"/>
      <c r="M127" s="224">
        <v>0</v>
      </c>
      <c r="N127" s="264"/>
    </row>
    <row r="128" spans="1:14" ht="21.6" hidden="1" x14ac:dyDescent="0.25">
      <c r="A128" s="238" t="s">
        <v>13</v>
      </c>
      <c r="B128" s="252" t="s">
        <v>457</v>
      </c>
      <c r="C128" s="279">
        <f t="shared" ref="C128:L128" si="22">SUM(C129:C130)</f>
        <v>0</v>
      </c>
      <c r="D128" s="279">
        <f t="shared" si="22"/>
        <v>0</v>
      </c>
      <c r="E128" s="361">
        <f t="shared" si="22"/>
        <v>0</v>
      </c>
      <c r="F128" s="383">
        <f t="shared" si="22"/>
        <v>0</v>
      </c>
      <c r="G128" s="279">
        <f t="shared" si="22"/>
        <v>0</v>
      </c>
      <c r="H128" s="384"/>
      <c r="I128" s="371">
        <f t="shared" si="22"/>
        <v>0</v>
      </c>
      <c r="J128" s="279">
        <f t="shared" si="22"/>
        <v>0</v>
      </c>
      <c r="K128" s="279"/>
      <c r="L128" s="279">
        <f t="shared" si="22"/>
        <v>0</v>
      </c>
      <c r="M128" s="279"/>
      <c r="N128" s="265"/>
    </row>
    <row r="129" spans="1:14" hidden="1" x14ac:dyDescent="0.2">
      <c r="A129" s="234" t="s">
        <v>458</v>
      </c>
      <c r="B129" s="248" t="s">
        <v>459</v>
      </c>
      <c r="C129" s="278"/>
      <c r="D129" s="278">
        <v>0</v>
      </c>
      <c r="E129" s="358"/>
      <c r="F129" s="377"/>
      <c r="G129" s="278">
        <v>0</v>
      </c>
      <c r="H129" s="378"/>
      <c r="I129" s="368"/>
      <c r="J129" s="278">
        <v>0</v>
      </c>
      <c r="K129" s="278"/>
      <c r="L129" s="278">
        <v>0</v>
      </c>
      <c r="M129" s="278"/>
      <c r="N129" s="173"/>
    </row>
    <row r="130" spans="1:14" hidden="1" x14ac:dyDescent="0.2">
      <c r="A130" s="234" t="s">
        <v>460</v>
      </c>
      <c r="B130" s="248" t="s">
        <v>461</v>
      </c>
      <c r="C130" s="278"/>
      <c r="D130" s="278"/>
      <c r="E130" s="358"/>
      <c r="F130" s="377"/>
      <c r="G130" s="278"/>
      <c r="H130" s="378"/>
      <c r="I130" s="368"/>
      <c r="J130" s="278"/>
      <c r="K130" s="278"/>
      <c r="L130" s="278"/>
      <c r="M130" s="278"/>
      <c r="N130" s="173"/>
    </row>
    <row r="131" spans="1:14" ht="21.6" x14ac:dyDescent="0.25">
      <c r="A131" s="238" t="s">
        <v>15</v>
      </c>
      <c r="B131" s="252" t="s">
        <v>462</v>
      </c>
      <c r="C131" s="279">
        <f t="shared" ref="C131:M131" si="23">C132+C140</f>
        <v>0</v>
      </c>
      <c r="D131" s="279">
        <f t="shared" si="23"/>
        <v>2530000</v>
      </c>
      <c r="E131" s="361">
        <f t="shared" si="23"/>
        <v>1</v>
      </c>
      <c r="F131" s="383">
        <f t="shared" si="23"/>
        <v>2757190</v>
      </c>
      <c r="G131" s="279">
        <f>G132+G140</f>
        <v>-582183</v>
      </c>
      <c r="H131" s="384">
        <f t="shared" si="23"/>
        <v>0.34592651091553167</v>
      </c>
      <c r="I131" s="371">
        <f>I132+I140</f>
        <v>1947817</v>
      </c>
      <c r="J131" s="279">
        <f t="shared" si="23"/>
        <v>0</v>
      </c>
      <c r="K131" s="279">
        <f t="shared" si="23"/>
        <v>0</v>
      </c>
      <c r="L131" s="279">
        <f t="shared" si="23"/>
        <v>0</v>
      </c>
      <c r="M131" s="279">
        <f t="shared" si="23"/>
        <v>0</v>
      </c>
      <c r="N131" s="265"/>
    </row>
    <row r="132" spans="1:14" ht="20.399999999999999" x14ac:dyDescent="0.2">
      <c r="A132" s="234" t="s">
        <v>463</v>
      </c>
      <c r="B132" s="248" t="s">
        <v>464</v>
      </c>
      <c r="C132" s="278">
        <f t="shared" ref="C132:M132" si="24">SUM(C133:C138)</f>
        <v>0</v>
      </c>
      <c r="D132" s="278">
        <f>SUM(D133:D139)</f>
        <v>2530000</v>
      </c>
      <c r="E132" s="358">
        <v>1</v>
      </c>
      <c r="F132" s="377">
        <f t="shared" si="24"/>
        <v>2700000</v>
      </c>
      <c r="G132" s="278">
        <f>SUM(G133:G138)</f>
        <v>-614993</v>
      </c>
      <c r="H132" s="378">
        <f>G132/F132</f>
        <v>-0.22777518518518519</v>
      </c>
      <c r="I132" s="368">
        <f>D132+G132</f>
        <v>1915007</v>
      </c>
      <c r="J132" s="278">
        <f t="shared" si="24"/>
        <v>0</v>
      </c>
      <c r="K132" s="278">
        <f t="shared" si="24"/>
        <v>0</v>
      </c>
      <c r="L132" s="278">
        <f t="shared" si="24"/>
        <v>0</v>
      </c>
      <c r="M132" s="278">
        <f t="shared" si="24"/>
        <v>0</v>
      </c>
      <c r="N132" s="173"/>
    </row>
    <row r="133" spans="1:14" x14ac:dyDescent="0.2">
      <c r="A133" s="235"/>
      <c r="B133" s="246" t="s">
        <v>1003</v>
      </c>
      <c r="C133" s="224">
        <v>0</v>
      </c>
      <c r="D133" s="224">
        <v>0</v>
      </c>
      <c r="E133" s="360">
        <v>0</v>
      </c>
      <c r="F133" s="379">
        <v>0</v>
      </c>
      <c r="G133" s="224">
        <v>215000</v>
      </c>
      <c r="H133" s="380">
        <v>1</v>
      </c>
      <c r="I133" s="369">
        <f>G133+D133</f>
        <v>215000</v>
      </c>
      <c r="J133" s="224"/>
      <c r="K133" s="224"/>
      <c r="L133" s="224"/>
      <c r="M133" s="224"/>
      <c r="N133" s="264" t="s">
        <v>1004</v>
      </c>
    </row>
    <row r="134" spans="1:14" ht="19.95" customHeight="1" x14ac:dyDescent="0.2">
      <c r="A134" s="235"/>
      <c r="B134" s="246" t="s">
        <v>830</v>
      </c>
      <c r="C134" s="224">
        <v>0</v>
      </c>
      <c r="D134" s="277">
        <v>600000</v>
      </c>
      <c r="E134" s="360">
        <v>1</v>
      </c>
      <c r="F134" s="379">
        <v>0</v>
      </c>
      <c r="G134" s="224">
        <v>0</v>
      </c>
      <c r="H134" s="380">
        <v>0</v>
      </c>
      <c r="I134" s="369">
        <f>D134+G134</f>
        <v>600000</v>
      </c>
      <c r="J134" s="224">
        <v>0</v>
      </c>
      <c r="K134" s="224">
        <v>0</v>
      </c>
      <c r="L134" s="224">
        <v>0</v>
      </c>
      <c r="M134" s="224">
        <v>0</v>
      </c>
      <c r="N134" s="264" t="s">
        <v>988</v>
      </c>
    </row>
    <row r="135" spans="1:14" ht="17.399999999999999" customHeight="1" x14ac:dyDescent="0.2">
      <c r="A135" s="235"/>
      <c r="B135" s="246" t="s">
        <v>966</v>
      </c>
      <c r="C135" s="224">
        <v>0</v>
      </c>
      <c r="D135" s="277">
        <v>1930000</v>
      </c>
      <c r="E135" s="360">
        <v>1</v>
      </c>
      <c r="F135" s="379">
        <v>0</v>
      </c>
      <c r="G135" s="224">
        <v>152793</v>
      </c>
      <c r="H135" s="380">
        <v>1</v>
      </c>
      <c r="I135" s="369">
        <f>D135+G135</f>
        <v>2082793</v>
      </c>
      <c r="J135" s="224">
        <v>0</v>
      </c>
      <c r="K135" s="224">
        <v>0</v>
      </c>
      <c r="L135" s="224">
        <v>0</v>
      </c>
      <c r="M135" s="224">
        <v>0</v>
      </c>
      <c r="N135" s="264" t="s">
        <v>970</v>
      </c>
    </row>
    <row r="136" spans="1:14" x14ac:dyDescent="0.2">
      <c r="A136" s="235"/>
      <c r="B136" s="246" t="s">
        <v>374</v>
      </c>
      <c r="C136" s="224"/>
      <c r="D136" s="224"/>
      <c r="E136" s="360"/>
      <c r="F136" s="379"/>
      <c r="G136" s="224"/>
      <c r="H136" s="380"/>
      <c r="I136" s="369"/>
      <c r="J136" s="224"/>
      <c r="K136" s="224"/>
      <c r="L136" s="224"/>
      <c r="M136" s="224"/>
      <c r="N136" s="264"/>
    </row>
    <row r="137" spans="1:14" x14ac:dyDescent="0.2">
      <c r="A137" s="235"/>
      <c r="B137" s="246" t="s">
        <v>375</v>
      </c>
      <c r="C137" s="224">
        <v>0</v>
      </c>
      <c r="D137" s="224">
        <v>0</v>
      </c>
      <c r="E137" s="360">
        <v>0</v>
      </c>
      <c r="F137" s="379">
        <v>2700000</v>
      </c>
      <c r="G137" s="277">
        <v>-982786</v>
      </c>
      <c r="H137" s="382">
        <f>G137/F137</f>
        <v>-0.36399481481481483</v>
      </c>
      <c r="I137" s="369">
        <f>G137+D137</f>
        <v>-982786</v>
      </c>
      <c r="J137" s="224"/>
      <c r="K137" s="224"/>
      <c r="L137" s="224"/>
      <c r="M137" s="224"/>
      <c r="N137" s="264" t="s">
        <v>979</v>
      </c>
    </row>
    <row r="138" spans="1:14" hidden="1" x14ac:dyDescent="0.2">
      <c r="A138" s="235"/>
      <c r="B138" s="246" t="s">
        <v>465</v>
      </c>
      <c r="C138" s="224"/>
      <c r="D138" s="224"/>
      <c r="E138" s="360"/>
      <c r="F138" s="379"/>
      <c r="G138" s="224"/>
      <c r="H138" s="380"/>
      <c r="I138" s="369"/>
      <c r="J138" s="224"/>
      <c r="K138" s="224"/>
      <c r="L138" s="224"/>
      <c r="M138" s="224"/>
      <c r="N138" s="264"/>
    </row>
    <row r="139" spans="1:14" hidden="1" x14ac:dyDescent="0.2">
      <c r="A139" s="235"/>
      <c r="B139" s="246" t="s">
        <v>737</v>
      </c>
      <c r="C139" s="224"/>
      <c r="D139" s="224">
        <v>0</v>
      </c>
      <c r="E139" s="360"/>
      <c r="F139" s="379"/>
      <c r="G139" s="224">
        <v>0</v>
      </c>
      <c r="H139" s="380"/>
      <c r="I139" s="369"/>
      <c r="J139" s="224"/>
      <c r="K139" s="224"/>
      <c r="L139" s="224"/>
      <c r="M139" s="224"/>
      <c r="N139" s="264"/>
    </row>
    <row r="140" spans="1:14" x14ac:dyDescent="0.2">
      <c r="A140" s="234" t="s">
        <v>466</v>
      </c>
      <c r="B140" s="248" t="s">
        <v>467</v>
      </c>
      <c r="C140" s="278">
        <f t="shared" ref="C140:M140" si="25">SUM(C141:C143)</f>
        <v>0</v>
      </c>
      <c r="D140" s="278">
        <f t="shared" si="25"/>
        <v>0</v>
      </c>
      <c r="E140" s="358">
        <f t="shared" si="25"/>
        <v>0</v>
      </c>
      <c r="F140" s="377">
        <f t="shared" si="25"/>
        <v>57190</v>
      </c>
      <c r="G140" s="278">
        <f t="shared" si="25"/>
        <v>32810</v>
      </c>
      <c r="H140" s="378">
        <f>G140/F140</f>
        <v>0.57370169610071686</v>
      </c>
      <c r="I140" s="368">
        <f>D140+G140</f>
        <v>32810</v>
      </c>
      <c r="J140" s="278">
        <f t="shared" si="25"/>
        <v>0</v>
      </c>
      <c r="K140" s="278">
        <f t="shared" si="25"/>
        <v>0</v>
      </c>
      <c r="L140" s="278">
        <f t="shared" si="25"/>
        <v>0</v>
      </c>
      <c r="M140" s="278">
        <f t="shared" si="25"/>
        <v>0</v>
      </c>
      <c r="N140" s="173"/>
    </row>
    <row r="141" spans="1:14" ht="20.399999999999999" hidden="1" x14ac:dyDescent="0.2">
      <c r="A141" s="235"/>
      <c r="B141" s="246" t="s">
        <v>858</v>
      </c>
      <c r="C141" s="224">
        <v>0</v>
      </c>
      <c r="D141" s="224">
        <v>0</v>
      </c>
      <c r="E141" s="360">
        <v>0</v>
      </c>
      <c r="F141" s="379"/>
      <c r="G141" s="224"/>
      <c r="H141" s="380" t="e">
        <f>G141/F141</f>
        <v>#DIV/0!</v>
      </c>
      <c r="I141" s="369">
        <f>D141+G141</f>
        <v>0</v>
      </c>
      <c r="J141" s="277">
        <v>0</v>
      </c>
      <c r="K141" s="277">
        <v>0</v>
      </c>
      <c r="L141" s="277">
        <v>0</v>
      </c>
      <c r="M141" s="277">
        <v>0</v>
      </c>
      <c r="N141" s="264"/>
    </row>
    <row r="142" spans="1:14" x14ac:dyDescent="0.2">
      <c r="A142" s="235"/>
      <c r="B142" s="246" t="s">
        <v>380</v>
      </c>
      <c r="C142" s="224"/>
      <c r="D142" s="224"/>
      <c r="E142" s="360"/>
      <c r="F142" s="379">
        <v>57190</v>
      </c>
      <c r="G142" s="224">
        <v>32810</v>
      </c>
      <c r="H142" s="380">
        <f>G142/F142</f>
        <v>0.57370169610071686</v>
      </c>
      <c r="I142" s="369">
        <f>G142+D142</f>
        <v>32810</v>
      </c>
      <c r="J142" s="277">
        <v>0</v>
      </c>
      <c r="K142" s="224"/>
      <c r="L142" s="224"/>
      <c r="M142" s="224"/>
      <c r="N142" s="264" t="s">
        <v>909</v>
      </c>
    </row>
    <row r="143" spans="1:14" hidden="1" x14ac:dyDescent="0.2">
      <c r="A143" s="235"/>
      <c r="B143" s="246" t="s">
        <v>468</v>
      </c>
      <c r="C143" s="224"/>
      <c r="D143" s="224"/>
      <c r="E143" s="360"/>
      <c r="F143" s="379"/>
      <c r="G143" s="224"/>
      <c r="H143" s="380"/>
      <c r="I143" s="369"/>
      <c r="J143" s="277">
        <f t="shared" ref="J143" si="26">G143+D143</f>
        <v>0</v>
      </c>
      <c r="K143" s="224"/>
      <c r="L143" s="224"/>
      <c r="M143" s="224"/>
      <c r="N143" s="264"/>
    </row>
    <row r="144" spans="1:14" ht="21.6" x14ac:dyDescent="0.25">
      <c r="A144" s="238" t="s">
        <v>17</v>
      </c>
      <c r="B144" s="252" t="s">
        <v>469</v>
      </c>
      <c r="C144" s="279">
        <f t="shared" ref="C144:D144" si="27">SUM(C145:C149)</f>
        <v>0</v>
      </c>
      <c r="D144" s="279">
        <f t="shared" si="27"/>
        <v>0</v>
      </c>
      <c r="E144" s="361">
        <f>E145+E148+E149</f>
        <v>0</v>
      </c>
      <c r="F144" s="383">
        <f t="shared" ref="F144:M144" si="28">F145+F148+F149</f>
        <v>900000</v>
      </c>
      <c r="G144" s="279">
        <f t="shared" si="28"/>
        <v>4401050</v>
      </c>
      <c r="H144" s="384">
        <f>G144/F144</f>
        <v>4.8900555555555556</v>
      </c>
      <c r="I144" s="371">
        <f t="shared" si="28"/>
        <v>4401050</v>
      </c>
      <c r="J144" s="279">
        <f t="shared" si="28"/>
        <v>0</v>
      </c>
      <c r="K144" s="279">
        <f t="shared" si="28"/>
        <v>0</v>
      </c>
      <c r="L144" s="279">
        <f t="shared" si="28"/>
        <v>0</v>
      </c>
      <c r="M144" s="279">
        <f t="shared" si="28"/>
        <v>0</v>
      </c>
      <c r="N144" s="265"/>
    </row>
    <row r="145" spans="1:14" ht="20.399999999999999" x14ac:dyDescent="0.2">
      <c r="A145" s="234" t="s">
        <v>470</v>
      </c>
      <c r="B145" s="248" t="s">
        <v>471</v>
      </c>
      <c r="C145" s="278">
        <v>0</v>
      </c>
      <c r="D145" s="278">
        <v>0</v>
      </c>
      <c r="E145" s="358">
        <f>E146+E147</f>
        <v>0</v>
      </c>
      <c r="F145" s="377">
        <f t="shared" ref="F145:G145" si="29">F146+F147</f>
        <v>800000</v>
      </c>
      <c r="G145" s="278">
        <f t="shared" si="29"/>
        <v>4501050</v>
      </c>
      <c r="H145" s="378">
        <f>G145/F145</f>
        <v>5.6263125</v>
      </c>
      <c r="I145" s="368">
        <f>D145+G145</f>
        <v>4501050</v>
      </c>
      <c r="J145" s="278">
        <v>0</v>
      </c>
      <c r="K145" s="278">
        <f>K146+K147</f>
        <v>0</v>
      </c>
      <c r="L145" s="278">
        <f t="shared" ref="L145:M145" si="30">L146+L147</f>
        <v>0</v>
      </c>
      <c r="M145" s="278">
        <f t="shared" si="30"/>
        <v>0</v>
      </c>
      <c r="N145" s="173"/>
    </row>
    <row r="146" spans="1:14" ht="20.399999999999999" x14ac:dyDescent="0.2">
      <c r="A146" s="236"/>
      <c r="B146" s="256" t="s">
        <v>472</v>
      </c>
      <c r="C146" s="277">
        <v>0</v>
      </c>
      <c r="D146" s="277">
        <v>0</v>
      </c>
      <c r="E146" s="359">
        <v>0</v>
      </c>
      <c r="F146" s="381">
        <v>800000</v>
      </c>
      <c r="G146" s="277">
        <f>5000000-498950</f>
        <v>4501050</v>
      </c>
      <c r="H146" s="382">
        <f>G146/F146</f>
        <v>5.6263125</v>
      </c>
      <c r="I146" s="370">
        <f>D146+G146</f>
        <v>4501050</v>
      </c>
      <c r="J146" s="277">
        <v>0</v>
      </c>
      <c r="K146" s="277">
        <v>0</v>
      </c>
      <c r="L146" s="277"/>
      <c r="M146" s="277"/>
      <c r="N146" s="263" t="s">
        <v>1015</v>
      </c>
    </row>
    <row r="147" spans="1:14" hidden="1" x14ac:dyDescent="0.2">
      <c r="A147" s="236"/>
      <c r="B147" s="256" t="s">
        <v>473</v>
      </c>
      <c r="C147" s="277">
        <v>0</v>
      </c>
      <c r="D147" s="277">
        <v>0</v>
      </c>
      <c r="E147" s="359">
        <v>0</v>
      </c>
      <c r="F147" s="381"/>
      <c r="G147" s="277">
        <v>0</v>
      </c>
      <c r="H147" s="382" t="e">
        <f>G147/F147</f>
        <v>#DIV/0!</v>
      </c>
      <c r="I147" s="370">
        <f>D147+G147</f>
        <v>0</v>
      </c>
      <c r="J147" s="277">
        <f t="shared" ref="J147" si="31">G147+D147</f>
        <v>0</v>
      </c>
      <c r="K147" s="277"/>
      <c r="L147" s="277">
        <v>0</v>
      </c>
      <c r="M147" s="277"/>
      <c r="N147" s="263" t="s">
        <v>1005</v>
      </c>
    </row>
    <row r="148" spans="1:14" ht="20.399999999999999" x14ac:dyDescent="0.2">
      <c r="A148" s="234" t="s">
        <v>474</v>
      </c>
      <c r="B148" s="248" t="s">
        <v>475</v>
      </c>
      <c r="C148" s="278">
        <v>0</v>
      </c>
      <c r="D148" s="278">
        <v>0</v>
      </c>
      <c r="E148" s="358"/>
      <c r="F148" s="377">
        <v>100000</v>
      </c>
      <c r="G148" s="278">
        <v>-100000</v>
      </c>
      <c r="H148" s="378">
        <f>G148/F148</f>
        <v>-1</v>
      </c>
      <c r="I148" s="368">
        <f>D148+G148</f>
        <v>-100000</v>
      </c>
      <c r="J148" s="278">
        <v>0</v>
      </c>
      <c r="K148" s="278"/>
      <c r="L148" s="278"/>
      <c r="M148" s="278">
        <v>0</v>
      </c>
      <c r="N148" s="173" t="s">
        <v>910</v>
      </c>
    </row>
    <row r="149" spans="1:14" ht="20.399999999999999" hidden="1" x14ac:dyDescent="0.2">
      <c r="A149" s="234" t="s">
        <v>476</v>
      </c>
      <c r="B149" s="248" t="s">
        <v>477</v>
      </c>
      <c r="C149" s="278">
        <v>0</v>
      </c>
      <c r="D149" s="278">
        <v>0</v>
      </c>
      <c r="E149" s="358"/>
      <c r="F149" s="377"/>
      <c r="G149" s="278"/>
      <c r="H149" s="378"/>
      <c r="I149" s="368"/>
      <c r="J149" s="278">
        <f>D149+G149</f>
        <v>0</v>
      </c>
      <c r="K149" s="278"/>
      <c r="L149" s="278"/>
      <c r="M149" s="278"/>
      <c r="N149" s="173"/>
    </row>
    <row r="150" spans="1:14" ht="21.6" x14ac:dyDescent="0.25">
      <c r="A150" s="238" t="s">
        <v>19</v>
      </c>
      <c r="B150" s="252" t="s">
        <v>478</v>
      </c>
      <c r="C150" s="279">
        <f t="shared" ref="C150:M150" si="32">C151+C159+C161+C162</f>
        <v>0</v>
      </c>
      <c r="D150" s="279">
        <f t="shared" si="32"/>
        <v>1000000</v>
      </c>
      <c r="E150" s="361">
        <f t="shared" si="32"/>
        <v>1</v>
      </c>
      <c r="F150" s="383">
        <f t="shared" si="32"/>
        <v>108990000</v>
      </c>
      <c r="G150" s="279">
        <f t="shared" si="32"/>
        <v>5920000</v>
      </c>
      <c r="H150" s="384">
        <f>G150/F150</f>
        <v>5.4316909808239285E-2</v>
      </c>
      <c r="I150" s="371">
        <f>I151+I159+I161+I162</f>
        <v>6920000</v>
      </c>
      <c r="J150" s="279">
        <f t="shared" si="32"/>
        <v>0</v>
      </c>
      <c r="K150" s="279">
        <f t="shared" si="32"/>
        <v>0</v>
      </c>
      <c r="L150" s="279">
        <f t="shared" si="32"/>
        <v>0</v>
      </c>
      <c r="M150" s="279">
        <f t="shared" si="32"/>
        <v>0</v>
      </c>
      <c r="N150" s="265"/>
    </row>
    <row r="151" spans="1:14" ht="20.399999999999999" x14ac:dyDescent="0.2">
      <c r="A151" s="234" t="s">
        <v>479</v>
      </c>
      <c r="B151" s="247" t="s">
        <v>480</v>
      </c>
      <c r="C151" s="278">
        <f t="shared" ref="C151:M151" si="33">SUM(C152:C157)</f>
        <v>0</v>
      </c>
      <c r="D151" s="278">
        <f>SUM(D152:D158)</f>
        <v>1000000</v>
      </c>
      <c r="E151" s="358">
        <f t="shared" si="33"/>
        <v>1</v>
      </c>
      <c r="F151" s="377">
        <f t="shared" si="33"/>
        <v>79990000</v>
      </c>
      <c r="G151" s="278">
        <f t="shared" si="33"/>
        <v>-4044213</v>
      </c>
      <c r="H151" s="378">
        <f t="shared" si="33"/>
        <v>-5.0558982372796601E-2</v>
      </c>
      <c r="I151" s="368">
        <f>G151+D151</f>
        <v>-3044213</v>
      </c>
      <c r="J151" s="278">
        <f t="shared" si="33"/>
        <v>0</v>
      </c>
      <c r="K151" s="278">
        <f t="shared" si="33"/>
        <v>0</v>
      </c>
      <c r="L151" s="278">
        <f t="shared" si="33"/>
        <v>0</v>
      </c>
      <c r="M151" s="278">
        <f t="shared" si="33"/>
        <v>0</v>
      </c>
      <c r="N151" s="173"/>
    </row>
    <row r="152" spans="1:14" hidden="1" x14ac:dyDescent="0.2">
      <c r="A152" s="235"/>
      <c r="B152" s="245" t="s">
        <v>337</v>
      </c>
      <c r="C152" s="224"/>
      <c r="D152" s="224"/>
      <c r="E152" s="360"/>
      <c r="F152" s="379"/>
      <c r="G152" s="224"/>
      <c r="H152" s="380"/>
      <c r="I152" s="369">
        <f>D152+G152</f>
        <v>0</v>
      </c>
      <c r="J152" s="224">
        <f>D152+G152</f>
        <v>0</v>
      </c>
      <c r="K152" s="224"/>
      <c r="L152" s="224"/>
      <c r="M152" s="224"/>
      <c r="N152" s="263"/>
    </row>
    <row r="153" spans="1:14" ht="31.2" customHeight="1" x14ac:dyDescent="0.2">
      <c r="A153" s="235"/>
      <c r="B153" s="245" t="s">
        <v>830</v>
      </c>
      <c r="C153" s="224">
        <v>0</v>
      </c>
      <c r="D153" s="277">
        <v>1000000</v>
      </c>
      <c r="E153" s="360">
        <v>1</v>
      </c>
      <c r="F153" s="379">
        <v>0</v>
      </c>
      <c r="G153" s="224">
        <v>0</v>
      </c>
      <c r="H153" s="380">
        <v>0</v>
      </c>
      <c r="I153" s="369">
        <f t="shared" ref="I153:I158" si="34">D153+G153</f>
        <v>1000000</v>
      </c>
      <c r="J153" s="224">
        <v>0</v>
      </c>
      <c r="K153" s="224">
        <v>0</v>
      </c>
      <c r="L153" s="224">
        <v>0</v>
      </c>
      <c r="M153" s="224">
        <v>0</v>
      </c>
      <c r="N153" s="263" t="s">
        <v>989</v>
      </c>
    </row>
    <row r="154" spans="1:14" ht="20.399999999999999" x14ac:dyDescent="0.2">
      <c r="A154" s="235"/>
      <c r="B154" s="245" t="s">
        <v>846</v>
      </c>
      <c r="C154" s="224">
        <v>0</v>
      </c>
      <c r="D154" s="224">
        <v>0</v>
      </c>
      <c r="E154" s="360">
        <v>0</v>
      </c>
      <c r="F154" s="379">
        <v>79990000</v>
      </c>
      <c r="G154" s="224">
        <f>1135000-2700000-2264213-215000</f>
        <v>-4044213</v>
      </c>
      <c r="H154" s="380">
        <f>G154/F154</f>
        <v>-5.0558982372796601E-2</v>
      </c>
      <c r="I154" s="369">
        <f t="shared" si="34"/>
        <v>-4044213</v>
      </c>
      <c r="J154" s="224">
        <v>0</v>
      </c>
      <c r="K154" s="224">
        <v>0</v>
      </c>
      <c r="L154" s="224">
        <v>0</v>
      </c>
      <c r="M154" s="224">
        <v>0</v>
      </c>
      <c r="N154" s="264" t="s">
        <v>1002</v>
      </c>
    </row>
    <row r="155" spans="1:14" hidden="1" x14ac:dyDescent="0.2">
      <c r="A155" s="235"/>
      <c r="B155" s="246" t="s">
        <v>374</v>
      </c>
      <c r="C155" s="224"/>
      <c r="D155" s="224"/>
      <c r="E155" s="360"/>
      <c r="F155" s="379"/>
      <c r="G155" s="224"/>
      <c r="H155" s="380"/>
      <c r="I155" s="369">
        <f t="shared" si="34"/>
        <v>0</v>
      </c>
      <c r="J155" s="224"/>
      <c r="K155" s="224"/>
      <c r="L155" s="224"/>
      <c r="M155" s="224"/>
      <c r="N155" s="264"/>
    </row>
    <row r="156" spans="1:14" hidden="1" x14ac:dyDescent="0.2">
      <c r="A156" s="235"/>
      <c r="B156" s="246" t="s">
        <v>375</v>
      </c>
      <c r="C156" s="224"/>
      <c r="D156" s="224"/>
      <c r="E156" s="360"/>
      <c r="F156" s="379"/>
      <c r="G156" s="224"/>
      <c r="H156" s="380"/>
      <c r="I156" s="369">
        <f t="shared" si="34"/>
        <v>0</v>
      </c>
      <c r="J156" s="224"/>
      <c r="K156" s="224"/>
      <c r="L156" s="224"/>
      <c r="M156" s="224"/>
      <c r="N156" s="264"/>
    </row>
    <row r="157" spans="1:14" ht="30.6" hidden="1" customHeight="1" x14ac:dyDescent="0.2">
      <c r="A157" s="235"/>
      <c r="B157" s="246" t="s">
        <v>481</v>
      </c>
      <c r="C157" s="224"/>
      <c r="D157" s="224"/>
      <c r="E157" s="360"/>
      <c r="F157" s="379"/>
      <c r="G157" s="224"/>
      <c r="H157" s="380"/>
      <c r="I157" s="369">
        <f t="shared" si="34"/>
        <v>0</v>
      </c>
      <c r="J157" s="224"/>
      <c r="K157" s="224"/>
      <c r="L157" s="224"/>
      <c r="M157" s="224"/>
      <c r="N157" s="264"/>
    </row>
    <row r="158" spans="1:14" ht="30.6" hidden="1" customHeight="1" x14ac:dyDescent="0.2">
      <c r="A158" s="235"/>
      <c r="B158" s="246" t="s">
        <v>736</v>
      </c>
      <c r="C158" s="224"/>
      <c r="D158" s="224">
        <v>0</v>
      </c>
      <c r="E158" s="360"/>
      <c r="F158" s="379"/>
      <c r="G158" s="224"/>
      <c r="H158" s="380"/>
      <c r="I158" s="369">
        <f t="shared" si="34"/>
        <v>0</v>
      </c>
      <c r="J158" s="224"/>
      <c r="K158" s="224"/>
      <c r="L158" s="224"/>
      <c r="M158" s="224"/>
      <c r="N158" s="264"/>
    </row>
    <row r="159" spans="1:14" ht="30.6" hidden="1" x14ac:dyDescent="0.2">
      <c r="A159" s="234" t="s">
        <v>482</v>
      </c>
      <c r="B159" s="248" t="s">
        <v>483</v>
      </c>
      <c r="C159" s="278">
        <f>C160</f>
        <v>0</v>
      </c>
      <c r="D159" s="278">
        <f t="shared" ref="D159:M159" si="35">D160</f>
        <v>0</v>
      </c>
      <c r="E159" s="358">
        <f t="shared" si="35"/>
        <v>0</v>
      </c>
      <c r="F159" s="377">
        <f t="shared" si="35"/>
        <v>0</v>
      </c>
      <c r="G159" s="278">
        <f t="shared" si="35"/>
        <v>0</v>
      </c>
      <c r="H159" s="378">
        <v>0</v>
      </c>
      <c r="I159" s="368">
        <f>D159+G159</f>
        <v>0</v>
      </c>
      <c r="J159" s="278">
        <f t="shared" si="35"/>
        <v>0</v>
      </c>
      <c r="K159" s="278">
        <f t="shared" si="35"/>
        <v>0</v>
      </c>
      <c r="L159" s="278">
        <f t="shared" si="35"/>
        <v>0</v>
      </c>
      <c r="M159" s="278">
        <f t="shared" si="35"/>
        <v>0</v>
      </c>
      <c r="N159" s="289"/>
    </row>
    <row r="160" spans="1:14" ht="28.2" hidden="1" customHeight="1" x14ac:dyDescent="0.2">
      <c r="A160" s="236"/>
      <c r="B160" s="246" t="s">
        <v>845</v>
      </c>
      <c r="C160" s="224">
        <v>0</v>
      </c>
      <c r="D160" s="224">
        <v>0</v>
      </c>
      <c r="E160" s="360">
        <v>0</v>
      </c>
      <c r="F160" s="379"/>
      <c r="G160" s="224"/>
      <c r="H160" s="380">
        <v>0</v>
      </c>
      <c r="I160" s="369"/>
      <c r="J160" s="224">
        <v>0</v>
      </c>
      <c r="K160" s="224">
        <v>0</v>
      </c>
      <c r="L160" s="224">
        <v>0</v>
      </c>
      <c r="M160" s="224">
        <v>0</v>
      </c>
      <c r="N160" s="264"/>
    </row>
    <row r="161" spans="1:14" ht="21.6" hidden="1" customHeight="1" x14ac:dyDescent="0.2">
      <c r="A161" s="234" t="s">
        <v>484</v>
      </c>
      <c r="B161" s="248" t="s">
        <v>485</v>
      </c>
      <c r="C161" s="278">
        <v>0</v>
      </c>
      <c r="D161" s="278">
        <f>+G161</f>
        <v>0</v>
      </c>
      <c r="E161" s="358">
        <v>0</v>
      </c>
      <c r="F161" s="377">
        <v>0</v>
      </c>
      <c r="G161" s="278">
        <v>0</v>
      </c>
      <c r="H161" s="378">
        <v>0</v>
      </c>
      <c r="I161" s="368">
        <f>D161+G161</f>
        <v>0</v>
      </c>
      <c r="J161" s="278">
        <f>D161+G161</f>
        <v>0</v>
      </c>
      <c r="K161" s="278">
        <v>0</v>
      </c>
      <c r="L161" s="278">
        <v>0</v>
      </c>
      <c r="M161" s="278">
        <v>0</v>
      </c>
      <c r="N161" s="173"/>
    </row>
    <row r="162" spans="1:14" x14ac:dyDescent="0.2">
      <c r="A162" s="234" t="s">
        <v>486</v>
      </c>
      <c r="B162" s="248" t="s">
        <v>487</v>
      </c>
      <c r="C162" s="278">
        <f t="shared" ref="C162:M162" si="36">C163+C164</f>
        <v>0</v>
      </c>
      <c r="D162" s="278">
        <f>D163+D164+D165</f>
        <v>0</v>
      </c>
      <c r="E162" s="358">
        <f t="shared" si="36"/>
        <v>0</v>
      </c>
      <c r="F162" s="377">
        <f t="shared" si="36"/>
        <v>29000000</v>
      </c>
      <c r="G162" s="278">
        <f t="shared" si="36"/>
        <v>9964213</v>
      </c>
      <c r="H162" s="378">
        <f>G162/F162</f>
        <v>0.34359355172413791</v>
      </c>
      <c r="I162" s="368">
        <f>D162+G162</f>
        <v>9964213</v>
      </c>
      <c r="J162" s="278">
        <f t="shared" si="36"/>
        <v>0</v>
      </c>
      <c r="K162" s="278">
        <f t="shared" si="36"/>
        <v>0</v>
      </c>
      <c r="L162" s="278">
        <f t="shared" si="36"/>
        <v>0</v>
      </c>
      <c r="M162" s="278">
        <f t="shared" si="36"/>
        <v>0</v>
      </c>
      <c r="N162" s="173"/>
    </row>
    <row r="163" spans="1:14" ht="10.199999999999999" customHeight="1" x14ac:dyDescent="0.2">
      <c r="A163" s="236"/>
      <c r="B163" s="246" t="s">
        <v>844</v>
      </c>
      <c r="C163" s="224">
        <v>0</v>
      </c>
      <c r="D163" s="224">
        <v>0</v>
      </c>
      <c r="E163" s="360">
        <v>0</v>
      </c>
      <c r="F163" s="379">
        <v>29000000</v>
      </c>
      <c r="G163" s="224">
        <f>5000000+2700000+2264213</f>
        <v>9964213</v>
      </c>
      <c r="H163" s="380">
        <f>G163/F163</f>
        <v>0.34359355172413791</v>
      </c>
      <c r="I163" s="369">
        <f t="shared" ref="I163" si="37">D163+G163</f>
        <v>9964213</v>
      </c>
      <c r="J163" s="224">
        <v>0</v>
      </c>
      <c r="K163" s="224">
        <v>0</v>
      </c>
      <c r="L163" s="224">
        <v>0</v>
      </c>
      <c r="M163" s="224">
        <v>0</v>
      </c>
      <c r="N163" s="264" t="s">
        <v>977</v>
      </c>
    </row>
    <row r="164" spans="1:14" hidden="1" x14ac:dyDescent="0.2">
      <c r="A164" s="236"/>
      <c r="B164" s="249" t="s">
        <v>487</v>
      </c>
      <c r="C164" s="277"/>
      <c r="D164" s="277"/>
      <c r="E164" s="359"/>
      <c r="F164" s="381"/>
      <c r="G164" s="277"/>
      <c r="H164" s="382"/>
      <c r="I164" s="370"/>
      <c r="J164" s="277"/>
      <c r="K164" s="277"/>
      <c r="L164" s="277"/>
      <c r="M164" s="277"/>
      <c r="N164" s="263"/>
    </row>
    <row r="165" spans="1:14" hidden="1" x14ac:dyDescent="0.2">
      <c r="A165" s="236"/>
      <c r="B165" s="249"/>
      <c r="C165" s="277"/>
      <c r="D165" s="277">
        <v>0</v>
      </c>
      <c r="E165" s="359"/>
      <c r="F165" s="381"/>
      <c r="G165" s="277"/>
      <c r="H165" s="382"/>
      <c r="I165" s="370"/>
      <c r="J165" s="277"/>
      <c r="K165" s="277"/>
      <c r="L165" s="277"/>
      <c r="M165" s="277"/>
      <c r="N165" s="263"/>
    </row>
    <row r="166" spans="1:14" ht="25.95" customHeight="1" x14ac:dyDescent="0.2">
      <c r="A166" s="240" t="s">
        <v>21</v>
      </c>
      <c r="B166" s="251" t="s">
        <v>488</v>
      </c>
      <c r="C166" s="282">
        <f>C167+C176+C179+C184+C196+C217</f>
        <v>235714739</v>
      </c>
      <c r="D166" s="282">
        <f>D167+D176+D179+D184+D196+D217</f>
        <v>76012524</v>
      </c>
      <c r="E166" s="357">
        <v>1</v>
      </c>
      <c r="F166" s="386">
        <f>F167+F176+F179+F184+F196+F217</f>
        <v>68323399</v>
      </c>
      <c r="G166" s="282">
        <f>G167+G176+G179+G184+G196+G217</f>
        <v>37191992.630000003</v>
      </c>
      <c r="H166" s="387">
        <f>G166/F166</f>
        <v>0.54435220106657756</v>
      </c>
      <c r="I166" s="367">
        <f>I167+I176+I179+I184+I196+I217</f>
        <v>113204516.63000001</v>
      </c>
      <c r="J166" s="282">
        <f>J167+J176+J179+J184+J196</f>
        <v>32285430</v>
      </c>
      <c r="K166" s="282">
        <f>K167+K176+K179+K184+K196+K217</f>
        <v>0</v>
      </c>
      <c r="L166" s="282">
        <f>L167+L176+L179+L184+L196+L217</f>
        <v>0</v>
      </c>
      <c r="M166" s="282">
        <f>M167+M176+M179+M184+M196+M217</f>
        <v>0</v>
      </c>
      <c r="N166" s="267"/>
    </row>
    <row r="167" spans="1:14" ht="25.2" customHeight="1" x14ac:dyDescent="0.25">
      <c r="A167" s="238" t="s">
        <v>23</v>
      </c>
      <c r="B167" s="253" t="s">
        <v>489</v>
      </c>
      <c r="C167" s="279">
        <f t="shared" ref="C167" si="38">C168+C172</f>
        <v>0</v>
      </c>
      <c r="D167" s="279">
        <f>D168+D172</f>
        <v>0</v>
      </c>
      <c r="E167" s="361">
        <v>0</v>
      </c>
      <c r="F167" s="383">
        <f t="shared" ref="F167:M167" si="39">F168+F172</f>
        <v>21684875</v>
      </c>
      <c r="G167" s="279">
        <f t="shared" si="39"/>
        <v>28145000</v>
      </c>
      <c r="H167" s="384">
        <f t="shared" si="39"/>
        <v>1.2979092570282282</v>
      </c>
      <c r="I167" s="371">
        <f t="shared" si="39"/>
        <v>28145000</v>
      </c>
      <c r="J167" s="279">
        <f t="shared" si="39"/>
        <v>0</v>
      </c>
      <c r="K167" s="279">
        <f t="shared" si="39"/>
        <v>0</v>
      </c>
      <c r="L167" s="279">
        <f t="shared" si="39"/>
        <v>0</v>
      </c>
      <c r="M167" s="279">
        <f t="shared" si="39"/>
        <v>0</v>
      </c>
      <c r="N167" s="265"/>
    </row>
    <row r="168" spans="1:14" ht="30.6" x14ac:dyDescent="0.2">
      <c r="A168" s="234" t="s">
        <v>490</v>
      </c>
      <c r="B168" s="248" t="s">
        <v>491</v>
      </c>
      <c r="C168" s="278">
        <f t="shared" ref="C168:L168" si="40">SUM(C169:C170)</f>
        <v>0</v>
      </c>
      <c r="D168" s="278">
        <f>SUM(D169:D171)</f>
        <v>0</v>
      </c>
      <c r="E168" s="358">
        <f t="shared" si="40"/>
        <v>0</v>
      </c>
      <c r="F168" s="377">
        <f t="shared" si="40"/>
        <v>21684875</v>
      </c>
      <c r="G168" s="278">
        <f t="shared" si="40"/>
        <v>28145000</v>
      </c>
      <c r="H168" s="378">
        <f t="shared" si="40"/>
        <v>1.2979092570282282</v>
      </c>
      <c r="I168" s="368">
        <f>D168+G168</f>
        <v>28145000</v>
      </c>
      <c r="J168" s="278">
        <f t="shared" si="40"/>
        <v>0</v>
      </c>
      <c r="K168" s="278">
        <v>0</v>
      </c>
      <c r="L168" s="278">
        <f t="shared" si="40"/>
        <v>0</v>
      </c>
      <c r="M168" s="278"/>
      <c r="N168" s="173"/>
    </row>
    <row r="169" spans="1:14" ht="20.399999999999999" x14ac:dyDescent="0.2">
      <c r="A169" s="236"/>
      <c r="B169" s="249" t="s">
        <v>843</v>
      </c>
      <c r="C169" s="277">
        <v>0</v>
      </c>
      <c r="D169" s="277">
        <v>0</v>
      </c>
      <c r="E169" s="359">
        <v>0</v>
      </c>
      <c r="F169" s="381">
        <v>21684875</v>
      </c>
      <c r="G169" s="277">
        <f>27153189+991811</f>
        <v>28145000</v>
      </c>
      <c r="H169" s="382">
        <f>G169/F169</f>
        <v>1.2979092570282282</v>
      </c>
      <c r="I169" s="370">
        <f>D169+G169</f>
        <v>28145000</v>
      </c>
      <c r="J169" s="277">
        <v>0</v>
      </c>
      <c r="K169" s="277">
        <v>0</v>
      </c>
      <c r="L169" s="277">
        <v>0</v>
      </c>
      <c r="M169" s="277">
        <v>0</v>
      </c>
      <c r="N169" s="263" t="s">
        <v>990</v>
      </c>
    </row>
    <row r="170" spans="1:14" hidden="1" x14ac:dyDescent="0.2">
      <c r="A170" s="236"/>
      <c r="B170" s="249" t="s">
        <v>492</v>
      </c>
      <c r="C170" s="277"/>
      <c r="D170" s="277">
        <v>0</v>
      </c>
      <c r="E170" s="359">
        <v>0</v>
      </c>
      <c r="F170" s="381"/>
      <c r="G170" s="277"/>
      <c r="H170" s="382"/>
      <c r="I170" s="370"/>
      <c r="J170" s="277"/>
      <c r="K170" s="277"/>
      <c r="L170" s="277"/>
      <c r="M170" s="277"/>
      <c r="N170" s="263"/>
    </row>
    <row r="171" spans="1:14" hidden="1" x14ac:dyDescent="0.2">
      <c r="A171" s="236"/>
      <c r="B171" s="249" t="s">
        <v>735</v>
      </c>
      <c r="C171" s="277"/>
      <c r="D171" s="277">
        <v>0</v>
      </c>
      <c r="E171" s="359">
        <v>0</v>
      </c>
      <c r="F171" s="381"/>
      <c r="G171" s="277"/>
      <c r="H171" s="382"/>
      <c r="I171" s="370"/>
      <c r="J171" s="277"/>
      <c r="K171" s="277"/>
      <c r="L171" s="277"/>
      <c r="M171" s="277"/>
      <c r="N171" s="263"/>
    </row>
    <row r="172" spans="1:14" ht="20.399999999999999" hidden="1" x14ac:dyDescent="0.2">
      <c r="A172" s="234" t="s">
        <v>493</v>
      </c>
      <c r="B172" s="248" t="s">
        <v>494</v>
      </c>
      <c r="C172" s="278">
        <f>C173+C174+C175</f>
        <v>0</v>
      </c>
      <c r="D172" s="278">
        <f t="shared" ref="D172:M172" si="41">D173+D174+D175</f>
        <v>0</v>
      </c>
      <c r="E172" s="358">
        <f t="shared" si="41"/>
        <v>0</v>
      </c>
      <c r="F172" s="377">
        <f t="shared" si="41"/>
        <v>0</v>
      </c>
      <c r="G172" s="278">
        <f t="shared" si="41"/>
        <v>0</v>
      </c>
      <c r="H172" s="378">
        <f t="shared" si="41"/>
        <v>0</v>
      </c>
      <c r="I172" s="368">
        <f>D172+G172</f>
        <v>0</v>
      </c>
      <c r="J172" s="278">
        <f t="shared" si="41"/>
        <v>0</v>
      </c>
      <c r="K172" s="278">
        <f t="shared" si="41"/>
        <v>0</v>
      </c>
      <c r="L172" s="278">
        <f t="shared" si="41"/>
        <v>0</v>
      </c>
      <c r="M172" s="278">
        <f t="shared" si="41"/>
        <v>0</v>
      </c>
      <c r="N172" s="173"/>
    </row>
    <row r="173" spans="1:14" ht="30.6" hidden="1" x14ac:dyDescent="0.2">
      <c r="A173" s="237"/>
      <c r="B173" s="249" t="s">
        <v>842</v>
      </c>
      <c r="C173" s="277">
        <v>0</v>
      </c>
      <c r="D173" s="277">
        <v>0</v>
      </c>
      <c r="E173" s="359">
        <v>0</v>
      </c>
      <c r="F173" s="381">
        <v>0</v>
      </c>
      <c r="G173" s="277">
        <v>0</v>
      </c>
      <c r="H173" s="382">
        <v>0</v>
      </c>
      <c r="I173" s="370"/>
      <c r="J173" s="277">
        <v>0</v>
      </c>
      <c r="K173" s="277">
        <v>0</v>
      </c>
      <c r="L173" s="277">
        <v>0</v>
      </c>
      <c r="M173" s="277">
        <v>0</v>
      </c>
      <c r="N173" s="172"/>
    </row>
    <row r="174" spans="1:14" hidden="1" x14ac:dyDescent="0.2">
      <c r="A174" s="237"/>
      <c r="B174" s="249" t="s">
        <v>495</v>
      </c>
      <c r="C174" s="277">
        <v>0</v>
      </c>
      <c r="D174" s="277">
        <v>0</v>
      </c>
      <c r="E174" s="359">
        <v>0</v>
      </c>
      <c r="F174" s="381"/>
      <c r="G174" s="277"/>
      <c r="H174" s="382"/>
      <c r="I174" s="370"/>
      <c r="J174" s="277"/>
      <c r="K174" s="277"/>
      <c r="L174" s="277"/>
      <c r="M174" s="277"/>
      <c r="N174" s="263"/>
    </row>
    <row r="175" spans="1:14" hidden="1" x14ac:dyDescent="0.2">
      <c r="A175" s="237"/>
      <c r="B175" s="249" t="s">
        <v>496</v>
      </c>
      <c r="C175" s="277">
        <v>0</v>
      </c>
      <c r="D175" s="277">
        <v>0</v>
      </c>
      <c r="E175" s="359">
        <v>0</v>
      </c>
      <c r="F175" s="381"/>
      <c r="G175" s="277"/>
      <c r="H175" s="382"/>
      <c r="I175" s="370"/>
      <c r="J175" s="277"/>
      <c r="K175" s="277"/>
      <c r="L175" s="277"/>
      <c r="M175" s="277"/>
      <c r="N175" s="263"/>
    </row>
    <row r="176" spans="1:14" ht="21.6" x14ac:dyDescent="0.25">
      <c r="A176" s="238" t="s">
        <v>25</v>
      </c>
      <c r="B176" s="252" t="s">
        <v>497</v>
      </c>
      <c r="C176" s="279">
        <f>C177+C178</f>
        <v>0</v>
      </c>
      <c r="D176" s="279">
        <f t="shared" ref="D176:M176" si="42">D177+D178</f>
        <v>0</v>
      </c>
      <c r="E176" s="361">
        <f t="shared" si="42"/>
        <v>0</v>
      </c>
      <c r="F176" s="383">
        <f t="shared" si="42"/>
        <v>991811</v>
      </c>
      <c r="G176" s="279">
        <f t="shared" si="42"/>
        <v>-991811</v>
      </c>
      <c r="H176" s="400">
        <f>G176/F176</f>
        <v>-1</v>
      </c>
      <c r="I176" s="371">
        <f t="shared" si="42"/>
        <v>-991811</v>
      </c>
      <c r="J176" s="279">
        <f t="shared" si="42"/>
        <v>0</v>
      </c>
      <c r="K176" s="279">
        <f t="shared" si="42"/>
        <v>0</v>
      </c>
      <c r="L176" s="279">
        <f t="shared" si="42"/>
        <v>0</v>
      </c>
      <c r="M176" s="279">
        <f t="shared" si="42"/>
        <v>0</v>
      </c>
      <c r="N176" s="265"/>
    </row>
    <row r="177" spans="1:14" ht="20.399999999999999" hidden="1" x14ac:dyDescent="0.2">
      <c r="A177" s="234" t="s">
        <v>498</v>
      </c>
      <c r="B177" s="248" t="s">
        <v>499</v>
      </c>
      <c r="C177" s="278">
        <v>0</v>
      </c>
      <c r="D177" s="278">
        <v>0</v>
      </c>
      <c r="E177" s="358">
        <v>0</v>
      </c>
      <c r="F177" s="377"/>
      <c r="G177" s="278"/>
      <c r="H177" s="378">
        <v>0</v>
      </c>
      <c r="I177" s="368">
        <f>G177+D177</f>
        <v>0</v>
      </c>
      <c r="J177" s="278"/>
      <c r="K177" s="278"/>
      <c r="L177" s="278"/>
      <c r="M177" s="278"/>
      <c r="N177" s="173"/>
    </row>
    <row r="178" spans="1:14" ht="20.399999999999999" x14ac:dyDescent="0.2">
      <c r="A178" s="234" t="s">
        <v>500</v>
      </c>
      <c r="B178" s="254" t="s">
        <v>831</v>
      </c>
      <c r="C178" s="278">
        <v>0</v>
      </c>
      <c r="D178" s="278">
        <v>0</v>
      </c>
      <c r="E178" s="358">
        <v>0</v>
      </c>
      <c r="F178" s="377">
        <v>991811</v>
      </c>
      <c r="G178" s="278">
        <v>-991811</v>
      </c>
      <c r="H178" s="378">
        <f>G178/F178</f>
        <v>-1</v>
      </c>
      <c r="I178" s="368">
        <f>D178+G178</f>
        <v>-991811</v>
      </c>
      <c r="J178" s="278"/>
      <c r="K178" s="278"/>
      <c r="L178" s="278"/>
      <c r="M178" s="278"/>
      <c r="N178" s="173" t="s">
        <v>944</v>
      </c>
    </row>
    <row r="179" spans="1:14" ht="21.6" hidden="1" x14ac:dyDescent="0.25">
      <c r="A179" s="238" t="s">
        <v>27</v>
      </c>
      <c r="B179" s="252" t="s">
        <v>501</v>
      </c>
      <c r="C179" s="279">
        <f t="shared" ref="C179" si="43">C180</f>
        <v>0</v>
      </c>
      <c r="D179" s="279">
        <f>D180</f>
        <v>0</v>
      </c>
      <c r="E179" s="361">
        <f t="shared" ref="E179:M179" si="44">E180</f>
        <v>0</v>
      </c>
      <c r="F179" s="383">
        <f t="shared" si="44"/>
        <v>0</v>
      </c>
      <c r="G179" s="279">
        <f t="shared" si="44"/>
        <v>0</v>
      </c>
      <c r="H179" s="384">
        <f t="shared" si="44"/>
        <v>0</v>
      </c>
      <c r="I179" s="371">
        <f t="shared" si="44"/>
        <v>0</v>
      </c>
      <c r="J179" s="279">
        <f t="shared" si="44"/>
        <v>0</v>
      </c>
      <c r="K179" s="279">
        <f t="shared" si="44"/>
        <v>0</v>
      </c>
      <c r="L179" s="279">
        <f t="shared" si="44"/>
        <v>0</v>
      </c>
      <c r="M179" s="279">
        <f t="shared" si="44"/>
        <v>0</v>
      </c>
      <c r="N179" s="265"/>
    </row>
    <row r="180" spans="1:14" ht="20.399999999999999" hidden="1" x14ac:dyDescent="0.2">
      <c r="A180" s="234" t="s">
        <v>502</v>
      </c>
      <c r="B180" s="247" t="s">
        <v>503</v>
      </c>
      <c r="C180" s="278">
        <f t="shared" ref="C180:L180" si="45">C181+C182</f>
        <v>0</v>
      </c>
      <c r="D180" s="278">
        <f>D181+D183</f>
        <v>0</v>
      </c>
      <c r="E180" s="358">
        <f t="shared" si="45"/>
        <v>0</v>
      </c>
      <c r="F180" s="377">
        <f t="shared" si="45"/>
        <v>0</v>
      </c>
      <c r="G180" s="278">
        <f t="shared" si="45"/>
        <v>0</v>
      </c>
      <c r="H180" s="378">
        <f t="shared" si="45"/>
        <v>0</v>
      </c>
      <c r="I180" s="368">
        <f>G180+D180</f>
        <v>0</v>
      </c>
      <c r="J180" s="278">
        <f t="shared" si="45"/>
        <v>0</v>
      </c>
      <c r="K180" s="278">
        <v>0</v>
      </c>
      <c r="L180" s="278">
        <f t="shared" si="45"/>
        <v>0</v>
      </c>
      <c r="M180" s="278">
        <v>0</v>
      </c>
      <c r="N180" s="173"/>
    </row>
    <row r="181" spans="1:14" hidden="1" x14ac:dyDescent="0.2">
      <c r="A181" s="235"/>
      <c r="B181" s="245" t="s">
        <v>504</v>
      </c>
      <c r="C181" s="224"/>
      <c r="D181" s="224"/>
      <c r="E181" s="360"/>
      <c r="F181" s="379"/>
      <c r="G181" s="224"/>
      <c r="H181" s="380"/>
      <c r="I181" s="369"/>
      <c r="J181" s="224"/>
      <c r="K181" s="224"/>
      <c r="L181" s="224"/>
      <c r="M181" s="224"/>
      <c r="N181" s="264"/>
    </row>
    <row r="182" spans="1:14" ht="20.399999999999999" hidden="1" x14ac:dyDescent="0.2">
      <c r="A182" s="235"/>
      <c r="B182" s="245" t="s">
        <v>841</v>
      </c>
      <c r="C182" s="224">
        <v>0</v>
      </c>
      <c r="D182" s="224">
        <v>0</v>
      </c>
      <c r="E182" s="360">
        <v>0</v>
      </c>
      <c r="F182" s="379"/>
      <c r="G182" s="224"/>
      <c r="H182" s="380">
        <v>0</v>
      </c>
      <c r="I182" s="369"/>
      <c r="J182" s="224">
        <v>0</v>
      </c>
      <c r="K182" s="224">
        <v>0</v>
      </c>
      <c r="L182" s="224">
        <v>0</v>
      </c>
      <c r="M182" s="224">
        <v>0</v>
      </c>
      <c r="N182" s="264"/>
    </row>
    <row r="183" spans="1:14" hidden="1" x14ac:dyDescent="0.2">
      <c r="A183" s="235"/>
      <c r="B183" s="245" t="s">
        <v>736</v>
      </c>
      <c r="C183" s="224"/>
      <c r="D183" s="224">
        <v>0</v>
      </c>
      <c r="E183" s="360"/>
      <c r="F183" s="379"/>
      <c r="G183" s="224"/>
      <c r="H183" s="380"/>
      <c r="I183" s="369"/>
      <c r="J183" s="224"/>
      <c r="K183" s="224"/>
      <c r="L183" s="224"/>
      <c r="M183" s="224"/>
      <c r="N183" s="264"/>
    </row>
    <row r="184" spans="1:14" ht="20.399999999999999" customHeight="1" x14ac:dyDescent="0.25">
      <c r="A184" s="238" t="s">
        <v>505</v>
      </c>
      <c r="B184" s="252" t="s">
        <v>506</v>
      </c>
      <c r="C184" s="279">
        <f>C185+C187+C190+C191+C192+C194</f>
        <v>3600000</v>
      </c>
      <c r="D184" s="279">
        <f>D185+D187+D190+D191+D192+D194</f>
        <v>61519333</v>
      </c>
      <c r="E184" s="363">
        <f>D184/C184</f>
        <v>17.088703611111111</v>
      </c>
      <c r="F184" s="383">
        <f>F185+F187+F190+F191+F192+F194</f>
        <v>0</v>
      </c>
      <c r="G184" s="279">
        <f>G185+G187+G190+G191+G192+G194</f>
        <v>11611855.74</v>
      </c>
      <c r="H184" s="400">
        <v>1</v>
      </c>
      <c r="I184" s="371">
        <f>I185+I187+I190+I191+I192+I194</f>
        <v>73131188.74000001</v>
      </c>
      <c r="J184" s="279">
        <f>J185+J187+J190+J191+J192+J194</f>
        <v>32285430</v>
      </c>
      <c r="K184" s="279">
        <f>K185+K187+K190+K191+K192+K194</f>
        <v>0</v>
      </c>
      <c r="L184" s="279">
        <f>L185+L187+L190+L191+L192+L194</f>
        <v>0</v>
      </c>
      <c r="M184" s="279">
        <f>M185+M187+M190+M191+M192+M194</f>
        <v>0</v>
      </c>
      <c r="N184" s="279">
        <f>N185+N187+N190+N191+N194</f>
        <v>0</v>
      </c>
    </row>
    <row r="185" spans="1:14" x14ac:dyDescent="0.2">
      <c r="A185" s="234" t="s">
        <v>507</v>
      </c>
      <c r="B185" s="247" t="s">
        <v>508</v>
      </c>
      <c r="C185" s="278">
        <f>C186</f>
        <v>0</v>
      </c>
      <c r="D185" s="278">
        <f t="shared" ref="D185:M185" si="46">D186</f>
        <v>0</v>
      </c>
      <c r="E185" s="358">
        <f t="shared" si="46"/>
        <v>0</v>
      </c>
      <c r="F185" s="377">
        <f t="shared" si="46"/>
        <v>0</v>
      </c>
      <c r="G185" s="278">
        <f t="shared" si="46"/>
        <v>2393550</v>
      </c>
      <c r="H185" s="378">
        <v>1</v>
      </c>
      <c r="I185" s="368">
        <f t="shared" si="46"/>
        <v>2393550</v>
      </c>
      <c r="J185" s="278">
        <f>J186</f>
        <v>0</v>
      </c>
      <c r="K185" s="278">
        <f t="shared" si="46"/>
        <v>0</v>
      </c>
      <c r="L185" s="278">
        <f t="shared" si="46"/>
        <v>0</v>
      </c>
      <c r="M185" s="278">
        <f t="shared" si="46"/>
        <v>0</v>
      </c>
      <c r="N185" s="173"/>
    </row>
    <row r="186" spans="1:14" ht="20.399999999999999" x14ac:dyDescent="0.2">
      <c r="A186" s="235"/>
      <c r="B186" s="245" t="s">
        <v>866</v>
      </c>
      <c r="C186" s="224">
        <v>0</v>
      </c>
      <c r="D186" s="224">
        <v>0</v>
      </c>
      <c r="E186" s="360">
        <v>0</v>
      </c>
      <c r="F186" s="379"/>
      <c r="G186" s="224">
        <f>2393550</f>
        <v>2393550</v>
      </c>
      <c r="H186" s="380">
        <v>1</v>
      </c>
      <c r="I186" s="369">
        <f>G186+D186</f>
        <v>2393550</v>
      </c>
      <c r="J186" s="224">
        <v>0</v>
      </c>
      <c r="K186" s="224">
        <v>0</v>
      </c>
      <c r="L186" s="224">
        <v>0</v>
      </c>
      <c r="M186" s="224">
        <v>0</v>
      </c>
      <c r="N186" s="264" t="s">
        <v>975</v>
      </c>
    </row>
    <row r="187" spans="1:14" x14ac:dyDescent="0.2">
      <c r="A187" s="234" t="s">
        <v>509</v>
      </c>
      <c r="B187" s="247" t="s">
        <v>510</v>
      </c>
      <c r="C187" s="278">
        <f>SUM(C188:C189)</f>
        <v>0</v>
      </c>
      <c r="D187" s="278">
        <f>D188+D189</f>
        <v>52452803</v>
      </c>
      <c r="E187" s="358">
        <v>1</v>
      </c>
      <c r="F187" s="377">
        <f>SUM(F188:F189)</f>
        <v>0</v>
      </c>
      <c r="G187" s="278">
        <f>G188+G189</f>
        <v>9218305.7400000002</v>
      </c>
      <c r="H187" s="378">
        <v>1</v>
      </c>
      <c r="I187" s="368">
        <f>SUM(I188:I189)</f>
        <v>61671108.740000002</v>
      </c>
      <c r="J187" s="278">
        <f>J188+J189</f>
        <v>32285430</v>
      </c>
      <c r="K187" s="278">
        <f>K188+K189</f>
        <v>0</v>
      </c>
      <c r="L187" s="278">
        <f>L188+L189</f>
        <v>0</v>
      </c>
      <c r="M187" s="278">
        <f>M188+M189</f>
        <v>0</v>
      </c>
      <c r="N187" s="173"/>
    </row>
    <row r="188" spans="1:14" hidden="1" x14ac:dyDescent="0.2">
      <c r="A188" s="235"/>
      <c r="B188" s="175"/>
      <c r="C188" s="224"/>
      <c r="D188" s="224"/>
      <c r="E188" s="360"/>
      <c r="F188" s="379"/>
      <c r="G188" s="224"/>
      <c r="H188" s="380"/>
      <c r="I188" s="369"/>
      <c r="J188" s="224"/>
      <c r="K188" s="224"/>
      <c r="L188" s="224"/>
      <c r="M188" s="224"/>
      <c r="N188" s="264"/>
    </row>
    <row r="189" spans="1:14" ht="20.399999999999999" x14ac:dyDescent="0.2">
      <c r="A189" s="235"/>
      <c r="B189" s="245" t="s">
        <v>867</v>
      </c>
      <c r="C189" s="224">
        <v>0</v>
      </c>
      <c r="D189" s="224">
        <v>52452803</v>
      </c>
      <c r="E189" s="360">
        <v>1</v>
      </c>
      <c r="F189" s="379">
        <v>0</v>
      </c>
      <c r="G189" s="224">
        <v>9218305.7400000002</v>
      </c>
      <c r="H189" s="380">
        <v>1</v>
      </c>
      <c r="I189" s="369">
        <f t="shared" ref="I189:I194" si="47">D189+G189</f>
        <v>61671108.740000002</v>
      </c>
      <c r="J189" s="277">
        <v>32285430</v>
      </c>
      <c r="K189" s="224">
        <v>0</v>
      </c>
      <c r="L189" s="224">
        <v>0</v>
      </c>
      <c r="M189" s="224">
        <v>0</v>
      </c>
      <c r="N189" s="264" t="s">
        <v>991</v>
      </c>
    </row>
    <row r="190" spans="1:14" x14ac:dyDescent="0.2">
      <c r="A190" s="234" t="s">
        <v>511</v>
      </c>
      <c r="B190" s="247" t="s">
        <v>512</v>
      </c>
      <c r="C190" s="278">
        <v>0</v>
      </c>
      <c r="D190" s="278">
        <v>0</v>
      </c>
      <c r="E190" s="358">
        <v>0</v>
      </c>
      <c r="F190" s="377">
        <v>0</v>
      </c>
      <c r="G190" s="278">
        <v>0</v>
      </c>
      <c r="H190" s="378">
        <v>0</v>
      </c>
      <c r="I190" s="368">
        <f t="shared" si="47"/>
        <v>0</v>
      </c>
      <c r="J190" s="278">
        <v>0</v>
      </c>
      <c r="K190" s="278">
        <v>0</v>
      </c>
      <c r="L190" s="278">
        <v>0</v>
      </c>
      <c r="M190" s="278">
        <v>0</v>
      </c>
      <c r="N190" s="173"/>
    </row>
    <row r="191" spans="1:14" ht="20.399999999999999" x14ac:dyDescent="0.2">
      <c r="A191" s="234" t="s">
        <v>513</v>
      </c>
      <c r="B191" s="247" t="s">
        <v>515</v>
      </c>
      <c r="C191" s="278">
        <v>3600000</v>
      </c>
      <c r="D191" s="278">
        <v>2400000</v>
      </c>
      <c r="E191" s="358">
        <f>D191/C191</f>
        <v>0.66666666666666663</v>
      </c>
      <c r="F191" s="377">
        <v>0</v>
      </c>
      <c r="G191" s="278">
        <v>0</v>
      </c>
      <c r="H191" s="378">
        <v>0</v>
      </c>
      <c r="I191" s="368">
        <f t="shared" si="47"/>
        <v>2400000</v>
      </c>
      <c r="J191" s="278">
        <v>0</v>
      </c>
      <c r="K191" s="278">
        <v>0</v>
      </c>
      <c r="L191" s="278">
        <v>0</v>
      </c>
      <c r="M191" s="278">
        <v>0</v>
      </c>
      <c r="N191" s="173"/>
    </row>
    <row r="192" spans="1:14" ht="20.399999999999999" x14ac:dyDescent="0.2">
      <c r="A192" s="234" t="s">
        <v>880</v>
      </c>
      <c r="B192" s="247" t="s">
        <v>514</v>
      </c>
      <c r="C192" s="278">
        <f t="shared" ref="C192:F194" si="48">C193</f>
        <v>0</v>
      </c>
      <c r="D192" s="278">
        <f>D193</f>
        <v>6666530</v>
      </c>
      <c r="E192" s="358">
        <v>1</v>
      </c>
      <c r="F192" s="377">
        <f t="shared" si="48"/>
        <v>0</v>
      </c>
      <c r="G192" s="278">
        <f>G193</f>
        <v>0</v>
      </c>
      <c r="H192" s="378">
        <v>0</v>
      </c>
      <c r="I192" s="368">
        <f t="shared" si="47"/>
        <v>6666530</v>
      </c>
      <c r="J192" s="278">
        <f>J193</f>
        <v>0</v>
      </c>
      <c r="K192" s="278">
        <f t="shared" ref="K192:M194" si="49">K193</f>
        <v>0</v>
      </c>
      <c r="L192" s="278">
        <f t="shared" si="49"/>
        <v>0</v>
      </c>
      <c r="M192" s="278">
        <f t="shared" si="49"/>
        <v>0</v>
      </c>
      <c r="N192" s="173"/>
    </row>
    <row r="193" spans="1:14" x14ac:dyDescent="0.2">
      <c r="A193" s="235"/>
      <c r="B193" s="245" t="s">
        <v>881</v>
      </c>
      <c r="C193" s="224">
        <v>0</v>
      </c>
      <c r="D193" s="224">
        <v>6666530</v>
      </c>
      <c r="E193" s="360">
        <v>1</v>
      </c>
      <c r="F193" s="379">
        <v>0</v>
      </c>
      <c r="G193" s="224">
        <v>0</v>
      </c>
      <c r="H193" s="380">
        <v>0</v>
      </c>
      <c r="I193" s="369">
        <f t="shared" si="47"/>
        <v>6666530</v>
      </c>
      <c r="J193" s="224">
        <v>0</v>
      </c>
      <c r="K193" s="224">
        <v>0</v>
      </c>
      <c r="L193" s="224">
        <v>0</v>
      </c>
      <c r="M193" s="224">
        <v>0</v>
      </c>
      <c r="N193" s="173"/>
    </row>
    <row r="194" spans="1:14" ht="16.2" hidden="1" customHeight="1" x14ac:dyDescent="0.2">
      <c r="A194" s="234" t="s">
        <v>732</v>
      </c>
      <c r="B194" s="247" t="s">
        <v>516</v>
      </c>
      <c r="C194" s="278">
        <f t="shared" si="48"/>
        <v>0</v>
      </c>
      <c r="D194" s="278">
        <f>D195</f>
        <v>0</v>
      </c>
      <c r="E194" s="358">
        <v>0</v>
      </c>
      <c r="F194" s="377">
        <f t="shared" si="48"/>
        <v>0</v>
      </c>
      <c r="G194" s="278">
        <f>G195</f>
        <v>0</v>
      </c>
      <c r="H194" s="378" t="e">
        <f>G194/F194</f>
        <v>#DIV/0!</v>
      </c>
      <c r="I194" s="368">
        <f t="shared" si="47"/>
        <v>0</v>
      </c>
      <c r="J194" s="278">
        <f>J195</f>
        <v>0</v>
      </c>
      <c r="K194" s="278">
        <f t="shared" si="49"/>
        <v>0</v>
      </c>
      <c r="L194" s="278">
        <f t="shared" si="49"/>
        <v>0</v>
      </c>
      <c r="M194" s="278">
        <f t="shared" si="49"/>
        <v>0</v>
      </c>
      <c r="N194" s="173"/>
    </row>
    <row r="195" spans="1:14" ht="19.2" hidden="1" customHeight="1" x14ac:dyDescent="0.2">
      <c r="A195" s="235"/>
      <c r="B195" s="245" t="s">
        <v>840</v>
      </c>
      <c r="C195" s="224">
        <v>0</v>
      </c>
      <c r="D195" s="224">
        <v>0</v>
      </c>
      <c r="E195" s="360">
        <v>0</v>
      </c>
      <c r="F195" s="379"/>
      <c r="G195" s="224"/>
      <c r="H195" s="380" t="e">
        <f>G195/F195</f>
        <v>#DIV/0!</v>
      </c>
      <c r="I195" s="369"/>
      <c r="J195" s="224">
        <v>0</v>
      </c>
      <c r="K195" s="224">
        <v>0</v>
      </c>
      <c r="L195" s="224">
        <v>0</v>
      </c>
      <c r="M195" s="224">
        <v>0</v>
      </c>
      <c r="N195" s="264"/>
    </row>
    <row r="196" spans="1:14" ht="21.6" x14ac:dyDescent="0.25">
      <c r="A196" s="238" t="s">
        <v>517</v>
      </c>
      <c r="B196" s="252" t="s">
        <v>518</v>
      </c>
      <c r="C196" s="279">
        <f>C197+C201+C214</f>
        <v>185362769</v>
      </c>
      <c r="D196" s="279">
        <f>D197+D201+D214</f>
        <v>14990631</v>
      </c>
      <c r="E196" s="361">
        <v>1</v>
      </c>
      <c r="F196" s="383">
        <f>F197+F201+F214</f>
        <v>0</v>
      </c>
      <c r="G196" s="279">
        <f>G197+G201+G214</f>
        <v>0</v>
      </c>
      <c r="H196" s="384">
        <f>H197+H201+H214</f>
        <v>0</v>
      </c>
      <c r="I196" s="371">
        <f>D196+G196</f>
        <v>14990631</v>
      </c>
      <c r="J196" s="279">
        <f>J201+J214</f>
        <v>0</v>
      </c>
      <c r="K196" s="279"/>
      <c r="L196" s="279">
        <f>L197+L201+L214</f>
        <v>0</v>
      </c>
      <c r="M196" s="279"/>
      <c r="N196" s="265"/>
    </row>
    <row r="197" spans="1:14" ht="21" hidden="1" x14ac:dyDescent="0.25">
      <c r="A197" s="234" t="s">
        <v>519</v>
      </c>
      <c r="B197" s="248" t="s">
        <v>520</v>
      </c>
      <c r="C197" s="281">
        <f t="shared" ref="C197:D197" si="50">SUM(C198:C200)</f>
        <v>0</v>
      </c>
      <c r="D197" s="281">
        <f t="shared" si="50"/>
        <v>0</v>
      </c>
      <c r="E197" s="364">
        <f>SUM(E198:E200)</f>
        <v>0</v>
      </c>
      <c r="F197" s="385">
        <f t="shared" ref="F197:L197" si="51">SUM(F198:F200)</f>
        <v>0</v>
      </c>
      <c r="G197" s="281">
        <f t="shared" si="51"/>
        <v>0</v>
      </c>
      <c r="H197" s="388">
        <f t="shared" si="51"/>
        <v>0</v>
      </c>
      <c r="I197" s="372">
        <f t="shared" si="51"/>
        <v>0</v>
      </c>
      <c r="J197" s="281">
        <f t="shared" si="51"/>
        <v>0</v>
      </c>
      <c r="K197" s="281">
        <v>0</v>
      </c>
      <c r="L197" s="281">
        <f t="shared" si="51"/>
        <v>0</v>
      </c>
      <c r="M197" s="281">
        <v>0</v>
      </c>
      <c r="N197" s="173"/>
    </row>
    <row r="198" spans="1:14" hidden="1" x14ac:dyDescent="0.2">
      <c r="A198" s="235"/>
      <c r="B198" s="246" t="s">
        <v>521</v>
      </c>
      <c r="C198" s="224"/>
      <c r="D198" s="224"/>
      <c r="E198" s="360"/>
      <c r="F198" s="379"/>
      <c r="G198" s="224"/>
      <c r="H198" s="380"/>
      <c r="I198" s="369"/>
      <c r="J198" s="224"/>
      <c r="K198" s="224"/>
      <c r="L198" s="224"/>
      <c r="M198" s="224"/>
      <c r="N198" s="264"/>
    </row>
    <row r="199" spans="1:14" hidden="1" x14ac:dyDescent="0.2">
      <c r="A199" s="235"/>
      <c r="B199" s="246" t="s">
        <v>522</v>
      </c>
      <c r="C199" s="224"/>
      <c r="D199" s="224"/>
      <c r="E199" s="360"/>
      <c r="F199" s="379"/>
      <c r="G199" s="224"/>
      <c r="H199" s="380"/>
      <c r="I199" s="369"/>
      <c r="J199" s="224"/>
      <c r="K199" s="224"/>
      <c r="L199" s="224"/>
      <c r="M199" s="224"/>
      <c r="N199" s="264"/>
    </row>
    <row r="200" spans="1:14" hidden="1" x14ac:dyDescent="0.2">
      <c r="A200" s="235"/>
      <c r="B200" s="246" t="s">
        <v>523</v>
      </c>
      <c r="C200" s="224"/>
      <c r="D200" s="224"/>
      <c r="E200" s="360"/>
      <c r="F200" s="379"/>
      <c r="G200" s="224"/>
      <c r="H200" s="380"/>
      <c r="I200" s="369"/>
      <c r="J200" s="224"/>
      <c r="K200" s="224"/>
      <c r="L200" s="224"/>
      <c r="M200" s="224"/>
      <c r="N200" s="264"/>
    </row>
    <row r="201" spans="1:14" ht="21" x14ac:dyDescent="0.25">
      <c r="A201" s="234" t="s">
        <v>524</v>
      </c>
      <c r="B201" s="248" t="s">
        <v>525</v>
      </c>
      <c r="C201" s="281">
        <f>SUM(C202:C213)</f>
        <v>185362769</v>
      </c>
      <c r="D201" s="281">
        <f>SUM(D202:D213)</f>
        <v>14990631</v>
      </c>
      <c r="E201" s="364">
        <v>1</v>
      </c>
      <c r="F201" s="385">
        <f>SUM(F202:F213)</f>
        <v>0</v>
      </c>
      <c r="G201" s="281">
        <f>SUM(G202:G213)</f>
        <v>0</v>
      </c>
      <c r="H201" s="388">
        <f>SUM(H202:H213)</f>
        <v>0</v>
      </c>
      <c r="I201" s="372">
        <f>D201+G201</f>
        <v>14990631</v>
      </c>
      <c r="J201" s="281">
        <f>SUM(J202:J213)</f>
        <v>0</v>
      </c>
      <c r="K201" s="281">
        <f t="shared" ref="K201:M201" si="52">SUM(K202:K213)</f>
        <v>0</v>
      </c>
      <c r="L201" s="281">
        <f t="shared" si="52"/>
        <v>0</v>
      </c>
      <c r="M201" s="281">
        <f t="shared" si="52"/>
        <v>0</v>
      </c>
      <c r="N201" s="173"/>
    </row>
    <row r="202" spans="1:14" hidden="1" x14ac:dyDescent="0.2">
      <c r="A202" s="235"/>
      <c r="B202" s="246" t="s">
        <v>526</v>
      </c>
      <c r="C202" s="224"/>
      <c r="D202" s="224"/>
      <c r="E202" s="360"/>
      <c r="F202" s="379"/>
      <c r="G202" s="224"/>
      <c r="H202" s="380"/>
      <c r="I202" s="369"/>
      <c r="J202" s="224"/>
      <c r="K202" s="224"/>
      <c r="L202" s="224"/>
      <c r="M202" s="224"/>
      <c r="N202" s="264"/>
    </row>
    <row r="203" spans="1:14" hidden="1" x14ac:dyDescent="0.2">
      <c r="A203" s="235"/>
      <c r="B203" s="246" t="s">
        <v>527</v>
      </c>
      <c r="C203" s="224"/>
      <c r="D203" s="224"/>
      <c r="E203" s="360"/>
      <c r="F203" s="379"/>
      <c r="G203" s="224"/>
      <c r="H203" s="380"/>
      <c r="I203" s="369"/>
      <c r="J203" s="224"/>
      <c r="K203" s="224"/>
      <c r="L203" s="224"/>
      <c r="M203" s="224"/>
      <c r="N203" s="264"/>
    </row>
    <row r="204" spans="1:14" hidden="1" x14ac:dyDescent="0.2">
      <c r="A204" s="235"/>
      <c r="B204" s="246" t="s">
        <v>528</v>
      </c>
      <c r="C204" s="224"/>
      <c r="D204" s="224"/>
      <c r="E204" s="360"/>
      <c r="F204" s="379"/>
      <c r="G204" s="224"/>
      <c r="H204" s="380"/>
      <c r="I204" s="369"/>
      <c r="J204" s="224"/>
      <c r="K204" s="224"/>
      <c r="L204" s="224"/>
      <c r="M204" s="224"/>
      <c r="N204" s="264"/>
    </row>
    <row r="205" spans="1:14" hidden="1" x14ac:dyDescent="0.2">
      <c r="A205" s="235"/>
      <c r="B205" s="246" t="s">
        <v>529</v>
      </c>
      <c r="C205" s="224"/>
      <c r="D205" s="224"/>
      <c r="E205" s="360"/>
      <c r="F205" s="379"/>
      <c r="G205" s="224"/>
      <c r="H205" s="380"/>
      <c r="I205" s="369"/>
      <c r="J205" s="224"/>
      <c r="K205" s="224"/>
      <c r="L205" s="224"/>
      <c r="M205" s="224"/>
      <c r="N205" s="264"/>
    </row>
    <row r="206" spans="1:14" hidden="1" x14ac:dyDescent="0.2">
      <c r="A206" s="235"/>
      <c r="B206" s="246" t="s">
        <v>530</v>
      </c>
      <c r="C206" s="224"/>
      <c r="D206" s="224"/>
      <c r="E206" s="360"/>
      <c r="F206" s="379"/>
      <c r="G206" s="224"/>
      <c r="H206" s="380"/>
      <c r="I206" s="369"/>
      <c r="J206" s="224"/>
      <c r="K206" s="224"/>
      <c r="L206" s="224"/>
      <c r="M206" s="224"/>
      <c r="N206" s="264"/>
    </row>
    <row r="207" spans="1:14" hidden="1" x14ac:dyDescent="0.2">
      <c r="A207" s="235"/>
      <c r="B207" s="246" t="s">
        <v>531</v>
      </c>
      <c r="C207" s="224"/>
      <c r="D207" s="224"/>
      <c r="E207" s="360"/>
      <c r="F207" s="379"/>
      <c r="G207" s="224"/>
      <c r="H207" s="380"/>
      <c r="I207" s="369"/>
      <c r="J207" s="224"/>
      <c r="K207" s="224"/>
      <c r="L207" s="224"/>
      <c r="M207" s="224"/>
      <c r="N207" s="264"/>
    </row>
    <row r="208" spans="1:14" hidden="1" x14ac:dyDescent="0.2">
      <c r="A208" s="235"/>
      <c r="B208" s="246" t="s">
        <v>532</v>
      </c>
      <c r="C208" s="224"/>
      <c r="D208" s="224"/>
      <c r="E208" s="360"/>
      <c r="F208" s="379"/>
      <c r="G208" s="224"/>
      <c r="H208" s="380"/>
      <c r="I208" s="369"/>
      <c r="J208" s="224"/>
      <c r="K208" s="224"/>
      <c r="L208" s="224"/>
      <c r="M208" s="224"/>
      <c r="N208" s="264"/>
    </row>
    <row r="209" spans="1:14" hidden="1" x14ac:dyDescent="0.2">
      <c r="A209" s="235"/>
      <c r="B209" s="246" t="s">
        <v>533</v>
      </c>
      <c r="C209" s="224"/>
      <c r="D209" s="224"/>
      <c r="E209" s="360"/>
      <c r="F209" s="379"/>
      <c r="G209" s="224"/>
      <c r="H209" s="380"/>
      <c r="I209" s="369"/>
      <c r="J209" s="224"/>
      <c r="K209" s="224"/>
      <c r="L209" s="224"/>
      <c r="M209" s="224"/>
      <c r="N209" s="264"/>
    </row>
    <row r="210" spans="1:14" x14ac:dyDescent="0.2">
      <c r="A210" s="235"/>
      <c r="B210" s="246" t="s">
        <v>139</v>
      </c>
      <c r="C210" s="224">
        <v>65462769</v>
      </c>
      <c r="D210" s="224">
        <v>8960138</v>
      </c>
      <c r="E210" s="360">
        <f>D210/C210</f>
        <v>0.13687380074008174</v>
      </c>
      <c r="F210" s="379">
        <v>0</v>
      </c>
      <c r="G210" s="224">
        <v>0</v>
      </c>
      <c r="H210" s="380">
        <v>0</v>
      </c>
      <c r="I210" s="369">
        <f>D210+G210</f>
        <v>8960138</v>
      </c>
      <c r="J210" s="224">
        <v>0</v>
      </c>
      <c r="K210" s="224">
        <v>0</v>
      </c>
      <c r="L210" s="224">
        <v>0</v>
      </c>
      <c r="M210" s="224">
        <v>0</v>
      </c>
      <c r="N210" s="264"/>
    </row>
    <row r="211" spans="1:14" ht="20.399999999999999" x14ac:dyDescent="0.2">
      <c r="A211" s="235"/>
      <c r="B211" s="246" t="s">
        <v>860</v>
      </c>
      <c r="C211" s="224">
        <v>119900000</v>
      </c>
      <c r="D211" s="224">
        <v>6030493</v>
      </c>
      <c r="E211" s="360">
        <f>D211/C211</f>
        <v>5.0296021684737284E-2</v>
      </c>
      <c r="F211" s="379">
        <v>0</v>
      </c>
      <c r="G211" s="224">
        <v>0</v>
      </c>
      <c r="H211" s="380">
        <v>0</v>
      </c>
      <c r="I211" s="369">
        <f>D211+G211</f>
        <v>6030493</v>
      </c>
      <c r="J211" s="224">
        <v>0</v>
      </c>
      <c r="K211" s="224">
        <v>0</v>
      </c>
      <c r="L211" s="224">
        <v>0</v>
      </c>
      <c r="M211" s="224">
        <v>0</v>
      </c>
      <c r="N211" s="264"/>
    </row>
    <row r="212" spans="1:14" hidden="1" x14ac:dyDescent="0.2">
      <c r="A212" s="235"/>
      <c r="B212" s="246" t="s">
        <v>534</v>
      </c>
      <c r="C212" s="224"/>
      <c r="D212" s="224"/>
      <c r="E212" s="360"/>
      <c r="F212" s="379"/>
      <c r="G212" s="224"/>
      <c r="H212" s="380"/>
      <c r="I212" s="369"/>
      <c r="J212" s="224"/>
      <c r="K212" s="224"/>
      <c r="L212" s="224"/>
      <c r="M212" s="224"/>
      <c r="N212" s="264"/>
    </row>
    <row r="213" spans="1:14" hidden="1" x14ac:dyDescent="0.2">
      <c r="A213" s="235"/>
      <c r="B213" s="246" t="s">
        <v>535</v>
      </c>
      <c r="C213" s="224"/>
      <c r="D213" s="224"/>
      <c r="E213" s="360"/>
      <c r="F213" s="379"/>
      <c r="G213" s="224"/>
      <c r="H213" s="380"/>
      <c r="I213" s="369"/>
      <c r="J213" s="224"/>
      <c r="K213" s="224"/>
      <c r="L213" s="224"/>
      <c r="M213" s="224"/>
      <c r="N213" s="264"/>
    </row>
    <row r="214" spans="1:14" ht="10.8" hidden="1" x14ac:dyDescent="0.25">
      <c r="A214" s="234" t="s">
        <v>536</v>
      </c>
      <c r="B214" s="248" t="s">
        <v>537</v>
      </c>
      <c r="C214" s="281">
        <f t="shared" ref="C214" si="53">C216</f>
        <v>0</v>
      </c>
      <c r="D214" s="281">
        <f>D215</f>
        <v>0</v>
      </c>
      <c r="E214" s="364">
        <v>1</v>
      </c>
      <c r="F214" s="385">
        <f t="shared" ref="F214:M214" si="54">F215</f>
        <v>0</v>
      </c>
      <c r="G214" s="281">
        <f t="shared" si="54"/>
        <v>0</v>
      </c>
      <c r="H214" s="388">
        <f t="shared" si="54"/>
        <v>0</v>
      </c>
      <c r="I214" s="372">
        <f>D214+G214</f>
        <v>0</v>
      </c>
      <c r="J214" s="281">
        <f t="shared" si="54"/>
        <v>0</v>
      </c>
      <c r="K214" s="281">
        <f t="shared" si="54"/>
        <v>0</v>
      </c>
      <c r="L214" s="281">
        <f t="shared" si="54"/>
        <v>0</v>
      </c>
      <c r="M214" s="281">
        <f t="shared" si="54"/>
        <v>0</v>
      </c>
      <c r="N214" s="173"/>
    </row>
    <row r="215" spans="1:14" ht="30.6" hidden="1" x14ac:dyDescent="0.2">
      <c r="A215" s="235"/>
      <c r="B215" s="246" t="s">
        <v>859</v>
      </c>
      <c r="C215" s="224">
        <v>0</v>
      </c>
      <c r="D215" s="224">
        <v>0</v>
      </c>
      <c r="E215" s="360">
        <v>0</v>
      </c>
      <c r="F215" s="379">
        <v>0</v>
      </c>
      <c r="G215" s="224">
        <v>0</v>
      </c>
      <c r="H215" s="380">
        <v>0</v>
      </c>
      <c r="I215" s="369">
        <f>D215+G215</f>
        <v>0</v>
      </c>
      <c r="J215" s="224">
        <v>0</v>
      </c>
      <c r="K215" s="224">
        <v>0</v>
      </c>
      <c r="L215" s="224">
        <v>0</v>
      </c>
      <c r="M215" s="224">
        <v>0</v>
      </c>
      <c r="N215" s="264"/>
    </row>
    <row r="216" spans="1:14" hidden="1" x14ac:dyDescent="0.2">
      <c r="A216" s="235"/>
      <c r="B216" s="246"/>
      <c r="C216" s="224">
        <v>0</v>
      </c>
      <c r="D216" s="224">
        <v>0</v>
      </c>
      <c r="E216" s="360">
        <v>0</v>
      </c>
      <c r="F216" s="379">
        <v>0</v>
      </c>
      <c r="G216" s="224"/>
      <c r="H216" s="380"/>
      <c r="I216" s="369"/>
      <c r="J216" s="224">
        <v>0</v>
      </c>
      <c r="K216" s="224"/>
      <c r="L216" s="224">
        <v>0</v>
      </c>
      <c r="M216" s="224"/>
      <c r="N216" s="264"/>
    </row>
    <row r="217" spans="1:14" ht="43.2" x14ac:dyDescent="0.25">
      <c r="A217" s="238" t="s">
        <v>538</v>
      </c>
      <c r="B217" s="252" t="s">
        <v>539</v>
      </c>
      <c r="C217" s="279">
        <f t="shared" ref="C217:M217" si="55">C218+C222+C237+C244+C241</f>
        <v>46751970</v>
      </c>
      <c r="D217" s="279">
        <f>D218+D222+D237+D244+D241</f>
        <v>-497440</v>
      </c>
      <c r="E217" s="361">
        <v>1</v>
      </c>
      <c r="F217" s="383">
        <f t="shared" ref="F217:G217" si="56">F218+F222+F237+F244+F241</f>
        <v>45646713</v>
      </c>
      <c r="G217" s="279">
        <f t="shared" si="56"/>
        <v>-1573052.1099999999</v>
      </c>
      <c r="H217" s="384">
        <f>G217/F217</f>
        <v>-3.4461454212486226E-2</v>
      </c>
      <c r="I217" s="371">
        <f t="shared" si="55"/>
        <v>-2070492.1099999999</v>
      </c>
      <c r="J217" s="279">
        <f t="shared" si="55"/>
        <v>0</v>
      </c>
      <c r="K217" s="279">
        <f t="shared" si="55"/>
        <v>0</v>
      </c>
      <c r="L217" s="279">
        <f t="shared" si="55"/>
        <v>0</v>
      </c>
      <c r="M217" s="279">
        <f t="shared" si="55"/>
        <v>0</v>
      </c>
      <c r="N217" s="265"/>
    </row>
    <row r="218" spans="1:14" ht="20.399999999999999" x14ac:dyDescent="0.2">
      <c r="A218" s="244" t="s">
        <v>540</v>
      </c>
      <c r="B218" s="254" t="s">
        <v>541</v>
      </c>
      <c r="C218" s="278">
        <f t="shared" ref="C218" si="57">SUM(C219:C220)</f>
        <v>0</v>
      </c>
      <c r="D218" s="278">
        <f>SUM(D219:D221)</f>
        <v>440000</v>
      </c>
      <c r="E218" s="358">
        <v>1</v>
      </c>
      <c r="F218" s="377">
        <f t="shared" ref="F218:G218" si="58">SUM(F219:F221)</f>
        <v>500000</v>
      </c>
      <c r="G218" s="278">
        <f t="shared" si="58"/>
        <v>161997.76999999999</v>
      </c>
      <c r="H218" s="378">
        <f>SUM(H219:H220)</f>
        <v>0.32399553999999997</v>
      </c>
      <c r="I218" s="368">
        <f t="shared" ref="I218:L218" si="59">SUM(I219:I221)</f>
        <v>601997.77</v>
      </c>
      <c r="J218" s="278">
        <f t="shared" si="59"/>
        <v>0</v>
      </c>
      <c r="K218" s="278">
        <f t="shared" si="59"/>
        <v>0</v>
      </c>
      <c r="L218" s="278">
        <f t="shared" si="59"/>
        <v>0</v>
      </c>
      <c r="M218" s="278"/>
      <c r="N218" s="173"/>
    </row>
    <row r="219" spans="1:14" hidden="1" x14ac:dyDescent="0.2">
      <c r="A219" s="231"/>
      <c r="B219" s="255" t="s">
        <v>337</v>
      </c>
      <c r="C219" s="224"/>
      <c r="D219" s="224"/>
      <c r="E219" s="360"/>
      <c r="F219" s="379"/>
      <c r="G219" s="224"/>
      <c r="H219" s="380"/>
      <c r="I219" s="369"/>
      <c r="J219" s="224"/>
      <c r="K219" s="224"/>
      <c r="L219" s="224"/>
      <c r="M219" s="224"/>
      <c r="N219" s="264"/>
    </row>
    <row r="220" spans="1:14" ht="22.8" customHeight="1" x14ac:dyDescent="0.2">
      <c r="A220" s="237"/>
      <c r="B220" s="256" t="s">
        <v>542</v>
      </c>
      <c r="C220" s="277"/>
      <c r="D220" s="277">
        <v>0</v>
      </c>
      <c r="E220" s="359">
        <v>0</v>
      </c>
      <c r="F220" s="381">
        <v>500000</v>
      </c>
      <c r="G220" s="224">
        <f>-37349-4897-1597.45-210341.81+400000+16183.03</f>
        <v>161997.76999999999</v>
      </c>
      <c r="H220" s="380">
        <f>G220/F220</f>
        <v>0.32399553999999997</v>
      </c>
      <c r="I220" s="370">
        <f>G220</f>
        <v>161997.76999999999</v>
      </c>
      <c r="J220" s="277">
        <v>0</v>
      </c>
      <c r="K220" s="277">
        <v>0</v>
      </c>
      <c r="L220" s="277">
        <v>0</v>
      </c>
      <c r="M220" s="277">
        <v>0</v>
      </c>
      <c r="N220" s="268" t="s">
        <v>1012</v>
      </c>
    </row>
    <row r="221" spans="1:14" ht="21.6" customHeight="1" x14ac:dyDescent="0.2">
      <c r="A221" s="237"/>
      <c r="B221" s="256" t="s">
        <v>830</v>
      </c>
      <c r="C221" s="277">
        <v>0</v>
      </c>
      <c r="D221" s="277">
        <v>440000</v>
      </c>
      <c r="E221" s="359">
        <v>1</v>
      </c>
      <c r="F221" s="381">
        <v>0</v>
      </c>
      <c r="G221" s="224">
        <v>0</v>
      </c>
      <c r="H221" s="380">
        <v>0</v>
      </c>
      <c r="I221" s="369">
        <f>D221+G221</f>
        <v>440000</v>
      </c>
      <c r="J221" s="277">
        <v>0</v>
      </c>
      <c r="K221" s="277">
        <v>0</v>
      </c>
      <c r="L221" s="277">
        <v>0</v>
      </c>
      <c r="M221" s="277">
        <v>0</v>
      </c>
      <c r="N221" s="268" t="s">
        <v>972</v>
      </c>
    </row>
    <row r="222" spans="1:14" x14ac:dyDescent="0.2">
      <c r="A222" s="244" t="s">
        <v>543</v>
      </c>
      <c r="B222" s="248" t="s">
        <v>544</v>
      </c>
      <c r="C222" s="278">
        <f>C236</f>
        <v>46751970</v>
      </c>
      <c r="D222" s="278">
        <f>SUM(D223:D236)</f>
        <v>-937440</v>
      </c>
      <c r="E222" s="358">
        <f t="shared" ref="E222:G222" si="60">SUM(E223:E234)</f>
        <v>0</v>
      </c>
      <c r="F222" s="377">
        <f t="shared" si="60"/>
        <v>45146713</v>
      </c>
      <c r="G222" s="278">
        <f t="shared" si="60"/>
        <v>-1735049.88</v>
      </c>
      <c r="H222" s="378">
        <f>G222/F222</f>
        <v>-3.8431366642351125E-2</v>
      </c>
      <c r="I222" s="368">
        <f>D222+G222</f>
        <v>-2672489.88</v>
      </c>
      <c r="J222" s="278">
        <f>SUM(J223:J236)</f>
        <v>0</v>
      </c>
      <c r="K222" s="278">
        <f t="shared" ref="K222:M222" si="61">SUM(K223:K236)</f>
        <v>0</v>
      </c>
      <c r="L222" s="278">
        <f t="shared" si="61"/>
        <v>0</v>
      </c>
      <c r="M222" s="278">
        <f t="shared" si="61"/>
        <v>0</v>
      </c>
      <c r="N222" s="173"/>
    </row>
    <row r="223" spans="1:14" ht="20.399999999999999" x14ac:dyDescent="0.2">
      <c r="A223" s="237"/>
      <c r="B223" s="249" t="s">
        <v>818</v>
      </c>
      <c r="C223" s="277">
        <v>0</v>
      </c>
      <c r="D223" s="277"/>
      <c r="E223" s="359">
        <v>0</v>
      </c>
      <c r="F223" s="381">
        <v>43521713</v>
      </c>
      <c r="G223" s="277">
        <v>-565280</v>
      </c>
      <c r="H223" s="382">
        <f>G223/F223</f>
        <v>-1.298845934671735E-2</v>
      </c>
      <c r="I223" s="370"/>
      <c r="J223" s="277">
        <v>0</v>
      </c>
      <c r="K223" s="277">
        <v>0</v>
      </c>
      <c r="L223" s="277">
        <v>0</v>
      </c>
      <c r="M223" s="277">
        <v>0</v>
      </c>
      <c r="N223" s="263" t="s">
        <v>1011</v>
      </c>
    </row>
    <row r="224" spans="1:14" hidden="1" x14ac:dyDescent="0.2">
      <c r="A224" s="237"/>
      <c r="B224" s="249" t="s">
        <v>545</v>
      </c>
      <c r="C224" s="277"/>
      <c r="D224" s="277"/>
      <c r="E224" s="359"/>
      <c r="F224" s="381"/>
      <c r="G224" s="277"/>
      <c r="H224" s="382"/>
      <c r="I224" s="370"/>
      <c r="J224" s="277"/>
      <c r="K224" s="277"/>
      <c r="L224" s="277"/>
      <c r="M224" s="277"/>
      <c r="N224" s="263"/>
    </row>
    <row r="225" spans="1:14" hidden="1" x14ac:dyDescent="0.2">
      <c r="A225" s="237"/>
      <c r="B225" s="249" t="s">
        <v>546</v>
      </c>
      <c r="C225" s="277"/>
      <c r="D225" s="277"/>
      <c r="E225" s="359"/>
      <c r="F225" s="381"/>
      <c r="G225" s="277"/>
      <c r="H225" s="382"/>
      <c r="I225" s="370"/>
      <c r="J225" s="277"/>
      <c r="K225" s="277"/>
      <c r="L225" s="277"/>
      <c r="M225" s="277"/>
      <c r="N225" s="268"/>
    </row>
    <row r="226" spans="1:14" x14ac:dyDescent="0.2">
      <c r="A226" s="237"/>
      <c r="B226" s="249" t="s">
        <v>547</v>
      </c>
      <c r="C226" s="277">
        <v>0</v>
      </c>
      <c r="D226" s="277">
        <v>0</v>
      </c>
      <c r="E226" s="359">
        <v>0</v>
      </c>
      <c r="F226" s="381">
        <v>400000</v>
      </c>
      <c r="G226" s="277">
        <v>-1159.8800000000001</v>
      </c>
      <c r="H226" s="382">
        <f>G226/F226</f>
        <v>-2.8997000000000003E-3</v>
      </c>
      <c r="I226" s="370">
        <f>D226+G226</f>
        <v>-1159.8800000000001</v>
      </c>
      <c r="J226" s="277">
        <v>0</v>
      </c>
      <c r="K226" s="277">
        <v>0</v>
      </c>
      <c r="L226" s="277">
        <v>0</v>
      </c>
      <c r="M226" s="277">
        <v>0</v>
      </c>
      <c r="N226" s="263" t="s">
        <v>327</v>
      </c>
    </row>
    <row r="227" spans="1:14" hidden="1" x14ac:dyDescent="0.2">
      <c r="A227" s="237"/>
      <c r="B227" s="249" t="s">
        <v>938</v>
      </c>
      <c r="C227" s="277">
        <v>0</v>
      </c>
      <c r="D227" s="277">
        <v>0</v>
      </c>
      <c r="E227" s="359">
        <v>0</v>
      </c>
      <c r="F227" s="381">
        <v>0</v>
      </c>
      <c r="G227" s="277">
        <v>0</v>
      </c>
      <c r="H227" s="382" t="e">
        <f>G227/F227</f>
        <v>#DIV/0!</v>
      </c>
      <c r="I227" s="370">
        <f t="shared" ref="I227:I229" si="62">D227+G227</f>
        <v>0</v>
      </c>
      <c r="J227" s="277">
        <v>0</v>
      </c>
      <c r="K227" s="277">
        <v>0</v>
      </c>
      <c r="L227" s="277">
        <v>0</v>
      </c>
      <c r="M227" s="277">
        <v>0</v>
      </c>
      <c r="N227" s="263" t="s">
        <v>980</v>
      </c>
    </row>
    <row r="228" spans="1:14" ht="20.399999999999999" x14ac:dyDescent="0.2">
      <c r="A228" s="237"/>
      <c r="B228" s="249" t="s">
        <v>939</v>
      </c>
      <c r="C228" s="277">
        <v>0</v>
      </c>
      <c r="D228" s="277">
        <v>0</v>
      </c>
      <c r="E228" s="359">
        <v>0</v>
      </c>
      <c r="F228" s="381">
        <v>1000000</v>
      </c>
      <c r="G228" s="277">
        <v>-1000000</v>
      </c>
      <c r="H228" s="382">
        <f>G228/F228</f>
        <v>-1</v>
      </c>
      <c r="I228" s="370">
        <f t="shared" si="62"/>
        <v>-1000000</v>
      </c>
      <c r="J228" s="277">
        <v>0</v>
      </c>
      <c r="K228" s="277">
        <v>0</v>
      </c>
      <c r="L228" s="277">
        <v>0</v>
      </c>
      <c r="M228" s="277">
        <v>0</v>
      </c>
      <c r="N228" s="263" t="s">
        <v>981</v>
      </c>
    </row>
    <row r="229" spans="1:14" x14ac:dyDescent="0.2">
      <c r="A229" s="237"/>
      <c r="B229" s="249" t="s">
        <v>548</v>
      </c>
      <c r="C229" s="277">
        <v>0</v>
      </c>
      <c r="D229" s="277">
        <v>0</v>
      </c>
      <c r="E229" s="359">
        <v>0</v>
      </c>
      <c r="F229" s="381">
        <v>225000</v>
      </c>
      <c r="G229" s="277">
        <v>-168610</v>
      </c>
      <c r="H229" s="382">
        <f>G229/F229</f>
        <v>-0.74937777777777781</v>
      </c>
      <c r="I229" s="370">
        <f t="shared" si="62"/>
        <v>-168610</v>
      </c>
      <c r="J229" s="277">
        <v>0</v>
      </c>
      <c r="K229" s="277">
        <v>0</v>
      </c>
      <c r="L229" s="277">
        <v>0</v>
      </c>
      <c r="M229" s="277">
        <v>0</v>
      </c>
      <c r="N229" s="263" t="s">
        <v>959</v>
      </c>
    </row>
    <row r="230" spans="1:14" hidden="1" x14ac:dyDescent="0.2">
      <c r="A230" s="237"/>
      <c r="B230" s="249" t="s">
        <v>549</v>
      </c>
      <c r="C230" s="277"/>
      <c r="D230" s="277"/>
      <c r="E230" s="359"/>
      <c r="F230" s="381"/>
      <c r="G230" s="277"/>
      <c r="H230" s="382"/>
      <c r="I230" s="370"/>
      <c r="J230" s="277"/>
      <c r="K230" s="277"/>
      <c r="L230" s="277"/>
      <c r="M230" s="277"/>
      <c r="N230" s="263"/>
    </row>
    <row r="231" spans="1:14" hidden="1" x14ac:dyDescent="0.2">
      <c r="A231" s="237"/>
      <c r="B231" s="249" t="s">
        <v>550</v>
      </c>
      <c r="C231" s="277"/>
      <c r="D231" s="277"/>
      <c r="E231" s="359"/>
      <c r="F231" s="381"/>
      <c r="G231" s="277"/>
      <c r="H231" s="382"/>
      <c r="I231" s="370"/>
      <c r="J231" s="277"/>
      <c r="K231" s="277"/>
      <c r="L231" s="277"/>
      <c r="M231" s="277"/>
      <c r="N231" s="263"/>
    </row>
    <row r="232" spans="1:14" hidden="1" x14ac:dyDescent="0.2">
      <c r="A232" s="237"/>
      <c r="B232" s="249" t="s">
        <v>551</v>
      </c>
      <c r="C232" s="277"/>
      <c r="D232" s="277"/>
      <c r="E232" s="359"/>
      <c r="F232" s="381"/>
      <c r="G232" s="277"/>
      <c r="H232" s="382"/>
      <c r="I232" s="370"/>
      <c r="J232" s="277"/>
      <c r="K232" s="277"/>
      <c r="L232" s="277"/>
      <c r="M232" s="277"/>
      <c r="N232" s="263"/>
    </row>
    <row r="233" spans="1:14" hidden="1" x14ac:dyDescent="0.2">
      <c r="A233" s="237"/>
      <c r="B233" s="249" t="s">
        <v>552</v>
      </c>
      <c r="C233" s="277"/>
      <c r="D233" s="277"/>
      <c r="E233" s="359"/>
      <c r="F233" s="381"/>
      <c r="G233" s="277"/>
      <c r="H233" s="382"/>
      <c r="I233" s="370"/>
      <c r="J233" s="277"/>
      <c r="K233" s="277"/>
      <c r="L233" s="277"/>
      <c r="M233" s="277"/>
      <c r="N233" s="263"/>
    </row>
    <row r="234" spans="1:14" hidden="1" x14ac:dyDescent="0.2">
      <c r="A234" s="237"/>
      <c r="B234" s="249" t="s">
        <v>553</v>
      </c>
      <c r="C234" s="277"/>
      <c r="D234" s="277"/>
      <c r="E234" s="359"/>
      <c r="F234" s="381"/>
      <c r="G234" s="277"/>
      <c r="H234" s="382"/>
      <c r="I234" s="370"/>
      <c r="J234" s="277"/>
      <c r="K234" s="277"/>
      <c r="L234" s="277"/>
      <c r="M234" s="277"/>
      <c r="N234" s="263"/>
    </row>
    <row r="235" spans="1:14" hidden="1" x14ac:dyDescent="0.2">
      <c r="A235" s="237"/>
      <c r="B235" s="249"/>
      <c r="C235" s="277"/>
      <c r="D235" s="277"/>
      <c r="E235" s="359"/>
      <c r="F235" s="381"/>
      <c r="G235" s="277"/>
      <c r="H235" s="382"/>
      <c r="I235" s="370"/>
      <c r="J235" s="277"/>
      <c r="K235" s="277"/>
      <c r="L235" s="277"/>
      <c r="M235" s="277"/>
      <c r="N235" s="263"/>
    </row>
    <row r="236" spans="1:14" ht="20.399999999999999" x14ac:dyDescent="0.2">
      <c r="A236" s="237"/>
      <c r="B236" s="249" t="s">
        <v>819</v>
      </c>
      <c r="C236" s="277">
        <v>46751970</v>
      </c>
      <c r="D236" s="277">
        <f>-937440</f>
        <v>-937440</v>
      </c>
      <c r="E236" s="359">
        <f>D236/C236</f>
        <v>-2.0051347568883195E-2</v>
      </c>
      <c r="F236" s="381">
        <v>0</v>
      </c>
      <c r="G236" s="277">
        <v>0</v>
      </c>
      <c r="H236" s="382">
        <v>0</v>
      </c>
      <c r="I236" s="370">
        <f>D236+G236</f>
        <v>-937440</v>
      </c>
      <c r="J236" s="277">
        <v>0</v>
      </c>
      <c r="K236" s="277">
        <v>0</v>
      </c>
      <c r="L236" s="277">
        <v>0</v>
      </c>
      <c r="M236" s="277">
        <v>0</v>
      </c>
      <c r="N236" s="263" t="s">
        <v>973</v>
      </c>
    </row>
    <row r="237" spans="1:14" hidden="1" x14ac:dyDescent="0.2">
      <c r="A237" s="234" t="s">
        <v>554</v>
      </c>
      <c r="B237" s="248" t="s">
        <v>73</v>
      </c>
      <c r="C237" s="278">
        <f t="shared" ref="C237:L237" si="63">SUM(C238:C240)</f>
        <v>0</v>
      </c>
      <c r="D237" s="278">
        <f t="shared" si="63"/>
        <v>0</v>
      </c>
      <c r="E237" s="358">
        <f t="shared" si="63"/>
        <v>0</v>
      </c>
      <c r="F237" s="377">
        <f t="shared" si="63"/>
        <v>0</v>
      </c>
      <c r="G237" s="278">
        <f t="shared" si="63"/>
        <v>0</v>
      </c>
      <c r="H237" s="378">
        <f t="shared" si="63"/>
        <v>0</v>
      </c>
      <c r="I237" s="368">
        <f t="shared" si="63"/>
        <v>0</v>
      </c>
      <c r="J237" s="278">
        <f t="shared" si="63"/>
        <v>0</v>
      </c>
      <c r="K237" s="278"/>
      <c r="L237" s="278">
        <f t="shared" si="63"/>
        <v>0</v>
      </c>
      <c r="M237" s="278"/>
      <c r="N237" s="173"/>
    </row>
    <row r="238" spans="1:14" hidden="1" x14ac:dyDescent="0.2">
      <c r="A238" s="237"/>
      <c r="B238" s="249" t="s">
        <v>555</v>
      </c>
      <c r="C238" s="277"/>
      <c r="D238" s="277"/>
      <c r="E238" s="359"/>
      <c r="F238" s="381"/>
      <c r="G238" s="277"/>
      <c r="H238" s="382"/>
      <c r="I238" s="370"/>
      <c r="J238" s="277"/>
      <c r="K238" s="277"/>
      <c r="L238" s="277"/>
      <c r="M238" s="277"/>
      <c r="N238" s="263"/>
    </row>
    <row r="239" spans="1:14" hidden="1" x14ac:dyDescent="0.2">
      <c r="A239" s="237"/>
      <c r="B239" s="249" t="s">
        <v>556</v>
      </c>
      <c r="C239" s="277"/>
      <c r="D239" s="277"/>
      <c r="E239" s="359"/>
      <c r="F239" s="381"/>
      <c r="G239" s="277"/>
      <c r="H239" s="382"/>
      <c r="I239" s="370"/>
      <c r="J239" s="277"/>
      <c r="K239" s="277"/>
      <c r="L239" s="277"/>
      <c r="M239" s="277"/>
      <c r="N239" s="263"/>
    </row>
    <row r="240" spans="1:14" hidden="1" x14ac:dyDescent="0.2">
      <c r="A240" s="237"/>
      <c r="B240" s="249" t="s">
        <v>557</v>
      </c>
      <c r="C240" s="277"/>
      <c r="D240" s="277"/>
      <c r="E240" s="359"/>
      <c r="F240" s="381"/>
      <c r="G240" s="277"/>
      <c r="H240" s="382"/>
      <c r="I240" s="370"/>
      <c r="J240" s="277"/>
      <c r="K240" s="277"/>
      <c r="L240" s="277"/>
      <c r="M240" s="277"/>
      <c r="N240" s="263"/>
    </row>
    <row r="241" spans="1:14" hidden="1" x14ac:dyDescent="0.2">
      <c r="A241" s="234" t="s">
        <v>558</v>
      </c>
      <c r="B241" s="248" t="s">
        <v>559</v>
      </c>
      <c r="C241" s="278">
        <f t="shared" ref="C241:H241" si="64">SUM(C242:C243)</f>
        <v>0</v>
      </c>
      <c r="D241" s="278">
        <f t="shared" si="64"/>
        <v>0</v>
      </c>
      <c r="E241" s="358">
        <f t="shared" si="64"/>
        <v>1</v>
      </c>
      <c r="F241" s="377">
        <f t="shared" si="64"/>
        <v>0</v>
      </c>
      <c r="G241" s="278">
        <f t="shared" si="64"/>
        <v>0</v>
      </c>
      <c r="H241" s="378">
        <f t="shared" si="64"/>
        <v>0</v>
      </c>
      <c r="I241" s="368">
        <f>D241+G241</f>
        <v>0</v>
      </c>
      <c r="J241" s="278">
        <f>SUM(J242:J243)</f>
        <v>0</v>
      </c>
      <c r="K241" s="278">
        <f t="shared" ref="K241:M241" si="65">SUM(K242:K243)</f>
        <v>0</v>
      </c>
      <c r="L241" s="278">
        <f t="shared" si="65"/>
        <v>0</v>
      </c>
      <c r="M241" s="278">
        <f t="shared" si="65"/>
        <v>0</v>
      </c>
      <c r="N241" s="173"/>
    </row>
    <row r="242" spans="1:14" hidden="1" x14ac:dyDescent="0.2">
      <c r="A242" s="236"/>
      <c r="B242" s="249" t="s">
        <v>560</v>
      </c>
      <c r="C242" s="277"/>
      <c r="D242" s="277"/>
      <c r="E242" s="359"/>
      <c r="F242" s="381"/>
      <c r="G242" s="277"/>
      <c r="H242" s="382"/>
      <c r="I242" s="370"/>
      <c r="J242" s="277"/>
      <c r="K242" s="277"/>
      <c r="L242" s="277"/>
      <c r="M242" s="277"/>
      <c r="N242" s="263"/>
    </row>
    <row r="243" spans="1:14" ht="20.399999999999999" hidden="1" x14ac:dyDescent="0.2">
      <c r="A243" s="236"/>
      <c r="B243" s="249" t="s">
        <v>145</v>
      </c>
      <c r="C243" s="277"/>
      <c r="D243" s="277">
        <v>0</v>
      </c>
      <c r="E243" s="359">
        <v>1</v>
      </c>
      <c r="F243" s="381">
        <v>0</v>
      </c>
      <c r="G243" s="277">
        <v>0</v>
      </c>
      <c r="H243" s="382">
        <v>0</v>
      </c>
      <c r="I243" s="370"/>
      <c r="J243" s="277">
        <v>0</v>
      </c>
      <c r="K243" s="277">
        <v>0</v>
      </c>
      <c r="L243" s="277">
        <v>0</v>
      </c>
      <c r="M243" s="277">
        <v>0</v>
      </c>
      <c r="N243" s="263"/>
    </row>
    <row r="244" spans="1:14" ht="20.399999999999999" hidden="1" x14ac:dyDescent="0.2">
      <c r="A244" s="234" t="s">
        <v>561</v>
      </c>
      <c r="B244" s="248" t="s">
        <v>562</v>
      </c>
      <c r="C244" s="278">
        <f t="shared" ref="C244:L244" si="66">SUM(C245:C246)</f>
        <v>0</v>
      </c>
      <c r="D244" s="278">
        <f t="shared" si="66"/>
        <v>0</v>
      </c>
      <c r="E244" s="358">
        <f t="shared" si="66"/>
        <v>0</v>
      </c>
      <c r="F244" s="377">
        <f t="shared" si="66"/>
        <v>0</v>
      </c>
      <c r="G244" s="278">
        <f t="shared" si="66"/>
        <v>0</v>
      </c>
      <c r="H244" s="378">
        <f t="shared" si="66"/>
        <v>0</v>
      </c>
      <c r="I244" s="368">
        <f t="shared" si="66"/>
        <v>0</v>
      </c>
      <c r="J244" s="278">
        <f t="shared" si="66"/>
        <v>0</v>
      </c>
      <c r="K244" s="278"/>
      <c r="L244" s="278">
        <f t="shared" si="66"/>
        <v>0</v>
      </c>
      <c r="M244" s="278"/>
      <c r="N244" s="173"/>
    </row>
    <row r="245" spans="1:14" hidden="1" x14ac:dyDescent="0.2">
      <c r="A245" s="237"/>
      <c r="B245" s="249" t="s">
        <v>563</v>
      </c>
      <c r="C245" s="277"/>
      <c r="D245" s="277"/>
      <c r="E245" s="359"/>
      <c r="F245" s="381"/>
      <c r="G245" s="277"/>
      <c r="H245" s="382"/>
      <c r="I245" s="370"/>
      <c r="J245" s="277"/>
      <c r="K245" s="277"/>
      <c r="L245" s="277"/>
      <c r="M245" s="277"/>
      <c r="N245" s="263"/>
    </row>
    <row r="246" spans="1:14" hidden="1" x14ac:dyDescent="0.2">
      <c r="A246" s="237"/>
      <c r="B246" s="249" t="s">
        <v>564</v>
      </c>
      <c r="C246" s="277"/>
      <c r="D246" s="277"/>
      <c r="E246" s="359"/>
      <c r="F246" s="381"/>
      <c r="G246" s="277"/>
      <c r="H246" s="382"/>
      <c r="I246" s="370"/>
      <c r="J246" s="277"/>
      <c r="K246" s="277"/>
      <c r="L246" s="277"/>
      <c r="M246" s="277"/>
      <c r="N246" s="263"/>
    </row>
    <row r="247" spans="1:14" ht="26.4" customHeight="1" x14ac:dyDescent="0.2">
      <c r="A247" s="240" t="s">
        <v>29</v>
      </c>
      <c r="B247" s="251" t="s">
        <v>565</v>
      </c>
      <c r="C247" s="282">
        <f>C248+C253+C265+C280</f>
        <v>0</v>
      </c>
      <c r="D247" s="282">
        <f>D248+D253+D265+D280</f>
        <v>18136000</v>
      </c>
      <c r="E247" s="357">
        <f>E248+E253+E265+E280</f>
        <v>2</v>
      </c>
      <c r="F247" s="386">
        <f>F248+F253+F265+F280</f>
        <v>360669505</v>
      </c>
      <c r="G247" s="282">
        <f>G248+G253+G265+G280</f>
        <v>-11991659.859999999</v>
      </c>
      <c r="H247" s="387">
        <f>G247/F247</f>
        <v>-3.3248333151980787E-2</v>
      </c>
      <c r="I247" s="367">
        <f>D247+G247</f>
        <v>6144340.1400000006</v>
      </c>
      <c r="J247" s="282">
        <f>J248+J253+J265+J280</f>
        <v>0</v>
      </c>
      <c r="K247" s="282">
        <f>K248+K253+K265+K280</f>
        <v>6500000</v>
      </c>
      <c r="L247" s="282">
        <f>L248+L253+L265+L280</f>
        <v>0</v>
      </c>
      <c r="M247" s="282">
        <f>M248+M253+M265+M280</f>
        <v>0</v>
      </c>
      <c r="N247" s="267"/>
    </row>
    <row r="248" spans="1:14" ht="36.6" customHeight="1" x14ac:dyDescent="0.25">
      <c r="A248" s="238" t="s">
        <v>31</v>
      </c>
      <c r="B248" s="252" t="s">
        <v>566</v>
      </c>
      <c r="C248" s="279">
        <f t="shared" ref="C248:L248" si="67">SUM(C249:C252)</f>
        <v>0</v>
      </c>
      <c r="D248" s="279">
        <f t="shared" si="67"/>
        <v>0</v>
      </c>
      <c r="E248" s="361">
        <f t="shared" si="67"/>
        <v>0</v>
      </c>
      <c r="F248" s="383">
        <f t="shared" si="67"/>
        <v>150000</v>
      </c>
      <c r="G248" s="279">
        <f t="shared" si="67"/>
        <v>150000</v>
      </c>
      <c r="H248" s="384">
        <f>G248/F248</f>
        <v>1</v>
      </c>
      <c r="I248" s="371">
        <f t="shared" si="67"/>
        <v>150000</v>
      </c>
      <c r="J248" s="279">
        <f t="shared" si="67"/>
        <v>0</v>
      </c>
      <c r="K248" s="279">
        <f>K249</f>
        <v>0</v>
      </c>
      <c r="L248" s="279">
        <f t="shared" si="67"/>
        <v>0</v>
      </c>
      <c r="M248" s="279">
        <f>M2490</f>
        <v>0</v>
      </c>
      <c r="N248" s="265"/>
    </row>
    <row r="249" spans="1:14" ht="20.399999999999999" x14ac:dyDescent="0.2">
      <c r="A249" s="234" t="s">
        <v>567</v>
      </c>
      <c r="B249" s="247" t="s">
        <v>225</v>
      </c>
      <c r="C249" s="278"/>
      <c r="D249" s="278"/>
      <c r="E249" s="358"/>
      <c r="F249" s="377">
        <v>150000</v>
      </c>
      <c r="G249" s="278">
        <v>150000</v>
      </c>
      <c r="H249" s="378">
        <f>G249/F249</f>
        <v>1</v>
      </c>
      <c r="I249" s="368">
        <f>G249</f>
        <v>150000</v>
      </c>
      <c r="J249" s="278">
        <v>0</v>
      </c>
      <c r="K249" s="278">
        <v>0</v>
      </c>
      <c r="L249" s="278">
        <v>0</v>
      </c>
      <c r="M249" s="278">
        <v>0</v>
      </c>
      <c r="N249" s="173" t="s">
        <v>960</v>
      </c>
    </row>
    <row r="250" spans="1:14" ht="20.399999999999999" hidden="1" x14ac:dyDescent="0.2">
      <c r="A250" s="234" t="s">
        <v>568</v>
      </c>
      <c r="B250" s="247" t="s">
        <v>569</v>
      </c>
      <c r="C250" s="278"/>
      <c r="D250" s="278"/>
      <c r="E250" s="358"/>
      <c r="F250" s="377"/>
      <c r="G250" s="278"/>
      <c r="H250" s="378"/>
      <c r="I250" s="368"/>
      <c r="J250" s="278"/>
      <c r="K250" s="278"/>
      <c r="L250" s="278"/>
      <c r="M250" s="278"/>
      <c r="N250" s="173"/>
    </row>
    <row r="251" spans="1:14" ht="20.399999999999999" hidden="1" x14ac:dyDescent="0.2">
      <c r="A251" s="234" t="s">
        <v>570</v>
      </c>
      <c r="B251" s="247" t="s">
        <v>571</v>
      </c>
      <c r="C251" s="278"/>
      <c r="D251" s="278"/>
      <c r="E251" s="358"/>
      <c r="F251" s="377"/>
      <c r="G251" s="278"/>
      <c r="H251" s="378"/>
      <c r="I251" s="368"/>
      <c r="J251" s="278"/>
      <c r="K251" s="278"/>
      <c r="L251" s="278"/>
      <c r="M251" s="278"/>
      <c r="N251" s="173"/>
    </row>
    <row r="252" spans="1:14" ht="15" hidden="1" customHeight="1" x14ac:dyDescent="0.2">
      <c r="A252" s="234" t="s">
        <v>572</v>
      </c>
      <c r="B252" s="247" t="s">
        <v>573</v>
      </c>
      <c r="C252" s="278">
        <v>0</v>
      </c>
      <c r="D252" s="278">
        <v>0</v>
      </c>
      <c r="E252" s="358">
        <v>0</v>
      </c>
      <c r="F252" s="377">
        <v>0</v>
      </c>
      <c r="G252" s="278">
        <v>0</v>
      </c>
      <c r="H252" s="378"/>
      <c r="I252" s="368"/>
      <c r="J252" s="278">
        <v>0</v>
      </c>
      <c r="K252" s="278"/>
      <c r="L252" s="278">
        <v>0</v>
      </c>
      <c r="M252" s="278"/>
      <c r="N252" s="173"/>
    </row>
    <row r="253" spans="1:14" ht="23.4" customHeight="1" x14ac:dyDescent="0.25">
      <c r="A253" s="238" t="s">
        <v>33</v>
      </c>
      <c r="B253" s="252" t="s">
        <v>574</v>
      </c>
      <c r="C253" s="279">
        <f t="shared" ref="C253:L253" si="68">C254+C257</f>
        <v>0</v>
      </c>
      <c r="D253" s="279">
        <f t="shared" si="68"/>
        <v>0</v>
      </c>
      <c r="E253" s="361">
        <f t="shared" si="68"/>
        <v>0</v>
      </c>
      <c r="F253" s="383">
        <f t="shared" si="68"/>
        <v>1000000</v>
      </c>
      <c r="G253" s="279">
        <f t="shared" si="68"/>
        <v>-1000000</v>
      </c>
      <c r="H253" s="384">
        <f t="shared" si="68"/>
        <v>-1</v>
      </c>
      <c r="I253" s="371">
        <f t="shared" si="68"/>
        <v>-1000000</v>
      </c>
      <c r="J253" s="279">
        <f t="shared" si="68"/>
        <v>0</v>
      </c>
      <c r="K253" s="279">
        <f>K257</f>
        <v>0</v>
      </c>
      <c r="L253" s="279">
        <f t="shared" si="68"/>
        <v>0</v>
      </c>
      <c r="M253" s="279">
        <f>M257</f>
        <v>0</v>
      </c>
      <c r="N253" s="265"/>
    </row>
    <row r="254" spans="1:14" ht="20.399999999999999" hidden="1" x14ac:dyDescent="0.2">
      <c r="A254" s="234" t="s">
        <v>575</v>
      </c>
      <c r="B254" s="248" t="s">
        <v>576</v>
      </c>
      <c r="C254" s="278">
        <f t="shared" ref="C254:I254" si="69">C255+C256</f>
        <v>0</v>
      </c>
      <c r="D254" s="278">
        <f t="shared" si="69"/>
        <v>0</v>
      </c>
      <c r="E254" s="358">
        <f t="shared" si="69"/>
        <v>0</v>
      </c>
      <c r="F254" s="377">
        <f t="shared" si="69"/>
        <v>0</v>
      </c>
      <c r="G254" s="278">
        <f t="shared" si="69"/>
        <v>0</v>
      </c>
      <c r="H254" s="378">
        <f t="shared" si="69"/>
        <v>0</v>
      </c>
      <c r="I254" s="368">
        <f t="shared" si="69"/>
        <v>0</v>
      </c>
      <c r="J254" s="278">
        <f>J255+J256</f>
        <v>0</v>
      </c>
      <c r="K254" s="278">
        <f t="shared" ref="K254:M254" si="70">K255+K256</f>
        <v>0</v>
      </c>
      <c r="L254" s="278">
        <f t="shared" si="70"/>
        <v>0</v>
      </c>
      <c r="M254" s="278">
        <f t="shared" si="70"/>
        <v>0</v>
      </c>
      <c r="N254" s="173"/>
    </row>
    <row r="255" spans="1:14" hidden="1" x14ac:dyDescent="0.2">
      <c r="A255" s="236"/>
      <c r="B255" s="249" t="s">
        <v>923</v>
      </c>
      <c r="C255" s="277">
        <v>0</v>
      </c>
      <c r="D255" s="277">
        <v>0</v>
      </c>
      <c r="E255" s="359">
        <v>0</v>
      </c>
      <c r="F255" s="381">
        <v>0</v>
      </c>
      <c r="G255" s="277">
        <v>0</v>
      </c>
      <c r="H255" s="382">
        <v>0</v>
      </c>
      <c r="I255" s="370">
        <v>0</v>
      </c>
      <c r="J255" s="277">
        <v>0</v>
      </c>
      <c r="K255" s="277">
        <v>0</v>
      </c>
      <c r="L255" s="277">
        <v>0</v>
      </c>
      <c r="M255" s="277">
        <v>0</v>
      </c>
      <c r="N255" s="172"/>
    </row>
    <row r="256" spans="1:14" hidden="1" x14ac:dyDescent="0.2">
      <c r="A256" s="236"/>
      <c r="B256" s="249" t="s">
        <v>577</v>
      </c>
      <c r="C256" s="277"/>
      <c r="D256" s="277"/>
      <c r="E256" s="359"/>
      <c r="F256" s="381"/>
      <c r="G256" s="277"/>
      <c r="H256" s="382"/>
      <c r="I256" s="370"/>
      <c r="J256" s="277"/>
      <c r="K256" s="277"/>
      <c r="L256" s="277"/>
      <c r="M256" s="277"/>
      <c r="N256" s="172"/>
    </row>
    <row r="257" spans="1:14" ht="20.399999999999999" x14ac:dyDescent="0.2">
      <c r="A257" s="234" t="s">
        <v>578</v>
      </c>
      <c r="B257" s="248" t="s">
        <v>579</v>
      </c>
      <c r="C257" s="278">
        <f t="shared" ref="C257:L257" si="71">SUM(C258:C264)</f>
        <v>0</v>
      </c>
      <c r="D257" s="278">
        <f t="shared" si="71"/>
        <v>0</v>
      </c>
      <c r="E257" s="358">
        <f t="shared" si="71"/>
        <v>0</v>
      </c>
      <c r="F257" s="377">
        <f t="shared" si="71"/>
        <v>1000000</v>
      </c>
      <c r="G257" s="278">
        <f t="shared" si="71"/>
        <v>-1000000</v>
      </c>
      <c r="H257" s="378">
        <f t="shared" si="71"/>
        <v>-1</v>
      </c>
      <c r="I257" s="368">
        <f t="shared" si="71"/>
        <v>-1000000</v>
      </c>
      <c r="J257" s="278">
        <f t="shared" si="71"/>
        <v>0</v>
      </c>
      <c r="K257" s="278"/>
      <c r="L257" s="278">
        <f t="shared" si="71"/>
        <v>0</v>
      </c>
      <c r="M257" s="278">
        <v>0</v>
      </c>
      <c r="N257" s="173"/>
    </row>
    <row r="258" spans="1:14" hidden="1" x14ac:dyDescent="0.2">
      <c r="A258" s="236"/>
      <c r="B258" s="249" t="s">
        <v>580</v>
      </c>
      <c r="C258" s="277"/>
      <c r="D258" s="277"/>
      <c r="E258" s="359"/>
      <c r="F258" s="381"/>
      <c r="G258" s="277"/>
      <c r="H258" s="382"/>
      <c r="I258" s="370"/>
      <c r="J258" s="277"/>
      <c r="K258" s="277"/>
      <c r="L258" s="277"/>
      <c r="M258" s="277"/>
      <c r="N258" s="263"/>
    </row>
    <row r="259" spans="1:14" hidden="1" x14ac:dyDescent="0.2">
      <c r="A259" s="236"/>
      <c r="B259" s="249" t="s">
        <v>581</v>
      </c>
      <c r="C259" s="277"/>
      <c r="D259" s="277"/>
      <c r="E259" s="359"/>
      <c r="F259" s="381"/>
      <c r="G259" s="277"/>
      <c r="H259" s="382"/>
      <c r="I259" s="370"/>
      <c r="J259" s="277"/>
      <c r="K259" s="277"/>
      <c r="L259" s="277"/>
      <c r="M259" s="277"/>
      <c r="N259" s="263" t="s">
        <v>951</v>
      </c>
    </row>
    <row r="260" spans="1:14" hidden="1" x14ac:dyDescent="0.2">
      <c r="A260" s="236"/>
      <c r="B260" s="249" t="s">
        <v>582</v>
      </c>
      <c r="C260" s="277"/>
      <c r="D260" s="277"/>
      <c r="E260" s="359"/>
      <c r="F260" s="381"/>
      <c r="G260" s="277"/>
      <c r="H260" s="382"/>
      <c r="I260" s="370"/>
      <c r="J260" s="277"/>
      <c r="K260" s="277"/>
      <c r="L260" s="277"/>
      <c r="M260" s="277"/>
      <c r="N260" s="263"/>
    </row>
    <row r="261" spans="1:14" hidden="1" x14ac:dyDescent="0.2">
      <c r="A261" s="237"/>
      <c r="B261" s="249" t="s">
        <v>583</v>
      </c>
      <c r="C261" s="277"/>
      <c r="D261" s="277"/>
      <c r="E261" s="359"/>
      <c r="F261" s="381"/>
      <c r="G261" s="277"/>
      <c r="H261" s="382"/>
      <c r="I261" s="370"/>
      <c r="J261" s="277"/>
      <c r="K261" s="277"/>
      <c r="L261" s="277"/>
      <c r="M261" s="277"/>
      <c r="N261" s="263"/>
    </row>
    <row r="262" spans="1:14" hidden="1" x14ac:dyDescent="0.2">
      <c r="A262" s="237"/>
      <c r="B262" s="249" t="s">
        <v>584</v>
      </c>
      <c r="C262" s="277"/>
      <c r="D262" s="277"/>
      <c r="E262" s="359"/>
      <c r="F262" s="381"/>
      <c r="G262" s="277"/>
      <c r="H262" s="382"/>
      <c r="I262" s="370"/>
      <c r="J262" s="277"/>
      <c r="K262" s="277"/>
      <c r="L262" s="277"/>
      <c r="M262" s="277"/>
      <c r="N262" s="263"/>
    </row>
    <row r="263" spans="1:14" x14ac:dyDescent="0.2">
      <c r="A263" s="237"/>
      <c r="B263" s="249" t="s">
        <v>585</v>
      </c>
      <c r="C263" s="277"/>
      <c r="D263" s="277"/>
      <c r="E263" s="359"/>
      <c r="F263" s="381">
        <v>1000000</v>
      </c>
      <c r="G263" s="277">
        <v>-1000000</v>
      </c>
      <c r="H263" s="382">
        <v>-1</v>
      </c>
      <c r="I263" s="370">
        <f>G263</f>
        <v>-1000000</v>
      </c>
      <c r="J263" s="277">
        <v>0</v>
      </c>
      <c r="K263" s="277">
        <v>0</v>
      </c>
      <c r="L263" s="277">
        <v>0</v>
      </c>
      <c r="M263" s="277">
        <v>0</v>
      </c>
      <c r="N263" s="263" t="s">
        <v>924</v>
      </c>
    </row>
    <row r="264" spans="1:14" hidden="1" x14ac:dyDescent="0.2">
      <c r="A264" s="237"/>
      <c r="B264" s="249" t="s">
        <v>586</v>
      </c>
      <c r="C264" s="277"/>
      <c r="D264" s="277"/>
      <c r="E264" s="359"/>
      <c r="F264" s="381"/>
      <c r="G264" s="277"/>
      <c r="H264" s="382"/>
      <c r="I264" s="370"/>
      <c r="J264" s="277"/>
      <c r="K264" s="277"/>
      <c r="L264" s="277"/>
      <c r="M264" s="277"/>
      <c r="N264" s="263"/>
    </row>
    <row r="265" spans="1:14" ht="21.6" x14ac:dyDescent="0.25">
      <c r="A265" s="238" t="s">
        <v>35</v>
      </c>
      <c r="B265" s="252" t="s">
        <v>587</v>
      </c>
      <c r="C265" s="279">
        <f>C266+C275</f>
        <v>0</v>
      </c>
      <c r="D265" s="279">
        <f>D266+D275</f>
        <v>9700000</v>
      </c>
      <c r="E265" s="361">
        <v>1</v>
      </c>
      <c r="F265" s="401">
        <f>SUM(F266:F272)</f>
        <v>314477372</v>
      </c>
      <c r="G265" s="279">
        <f>G266+G275</f>
        <v>-2705659.86</v>
      </c>
      <c r="H265" s="384">
        <f>G265/F265</f>
        <v>-8.6036710456865555E-3</v>
      </c>
      <c r="I265" s="371">
        <f>D265+G265</f>
        <v>6994340.1400000006</v>
      </c>
      <c r="J265" s="279">
        <f>J266+J275</f>
        <v>0</v>
      </c>
      <c r="K265" s="279">
        <f>K266+K275</f>
        <v>6500000</v>
      </c>
      <c r="L265" s="279">
        <f>L266+L275</f>
        <v>0</v>
      </c>
      <c r="M265" s="279">
        <f>M266+M275</f>
        <v>0</v>
      </c>
      <c r="N265" s="265"/>
    </row>
    <row r="266" spans="1:14" ht="20.399999999999999" x14ac:dyDescent="0.2">
      <c r="A266" s="234" t="s">
        <v>588</v>
      </c>
      <c r="B266" s="247" t="s">
        <v>589</v>
      </c>
      <c r="C266" s="278">
        <f>SUM(C267:C269)</f>
        <v>0</v>
      </c>
      <c r="D266" s="278">
        <f>SUM(D267:D273)</f>
        <v>450000</v>
      </c>
      <c r="E266" s="358">
        <v>0.1</v>
      </c>
      <c r="F266" s="377">
        <f>SUM(F267:F273)</f>
        <v>157238686</v>
      </c>
      <c r="G266" s="278">
        <f>SUM(G267:G274)</f>
        <v>-982159</v>
      </c>
      <c r="H266" s="378">
        <f>G266/F266</f>
        <v>-6.2462936125019511E-3</v>
      </c>
      <c r="I266" s="368">
        <f>SUM(I267:I273)</f>
        <v>-532159</v>
      </c>
      <c r="J266" s="278">
        <f>SUM(J267:J273)</f>
        <v>0</v>
      </c>
      <c r="K266" s="278">
        <f>SUM(K267:K273)</f>
        <v>0</v>
      </c>
      <c r="L266" s="278">
        <f>SUM(L267:L273)</f>
        <v>0</v>
      </c>
      <c r="M266" s="278">
        <f>SUM(M267:M273)</f>
        <v>0</v>
      </c>
      <c r="N266" s="173"/>
    </row>
    <row r="267" spans="1:14" ht="30.6" x14ac:dyDescent="0.2">
      <c r="A267" s="236"/>
      <c r="B267" s="249" t="s">
        <v>925</v>
      </c>
      <c r="C267" s="277">
        <v>0</v>
      </c>
      <c r="D267" s="277"/>
      <c r="E267" s="359">
        <v>0</v>
      </c>
      <c r="F267" s="381">
        <v>156940650</v>
      </c>
      <c r="G267" s="277">
        <f>-750000-1700000-960000+1700000+960000-400000+400000+26759</f>
        <v>-723241</v>
      </c>
      <c r="H267" s="382">
        <f>G267/F267</f>
        <v>-4.6083726555229635E-3</v>
      </c>
      <c r="I267" s="370">
        <f>D267+G267</f>
        <v>-723241</v>
      </c>
      <c r="J267" s="277">
        <v>0</v>
      </c>
      <c r="K267" s="277">
        <v>0</v>
      </c>
      <c r="L267" s="277">
        <v>0</v>
      </c>
      <c r="M267" s="277">
        <v>0</v>
      </c>
      <c r="N267" s="172" t="s">
        <v>1001</v>
      </c>
    </row>
    <row r="268" spans="1:14" ht="19.2" customHeight="1" x14ac:dyDescent="0.2">
      <c r="A268" s="236"/>
      <c r="B268" s="249" t="s">
        <v>948</v>
      </c>
      <c r="C268" s="277">
        <v>0</v>
      </c>
      <c r="D268" s="277">
        <v>0</v>
      </c>
      <c r="E268" s="359">
        <v>0</v>
      </c>
      <c r="F268" s="381">
        <v>298036</v>
      </c>
      <c r="G268" s="277">
        <f>-162985-20000-10000-65933</f>
        <v>-258918</v>
      </c>
      <c r="H268" s="382">
        <f t="shared" ref="H268:H270" si="72">G268/F268</f>
        <v>-0.86874739964299619</v>
      </c>
      <c r="I268" s="370">
        <f t="shared" ref="I268:I274" si="73">D268+G268</f>
        <v>-258918</v>
      </c>
      <c r="J268" s="277">
        <v>0</v>
      </c>
      <c r="K268" s="277">
        <v>0</v>
      </c>
      <c r="L268" s="277">
        <v>0</v>
      </c>
      <c r="M268" s="277">
        <v>0</v>
      </c>
      <c r="N268" s="172" t="s">
        <v>949</v>
      </c>
    </row>
    <row r="269" spans="1:14" hidden="1" x14ac:dyDescent="0.2">
      <c r="A269" s="236"/>
      <c r="B269" s="249"/>
      <c r="C269" s="277"/>
      <c r="D269" s="277"/>
      <c r="E269" s="359"/>
      <c r="F269" s="381"/>
      <c r="G269" s="406"/>
      <c r="H269" s="382" t="e">
        <f t="shared" si="72"/>
        <v>#DIV/0!</v>
      </c>
      <c r="I269" s="370">
        <f t="shared" si="73"/>
        <v>0</v>
      </c>
      <c r="J269" s="277">
        <v>0</v>
      </c>
      <c r="K269" s="277">
        <v>0</v>
      </c>
      <c r="L269" s="277">
        <v>0</v>
      </c>
      <c r="M269" s="277">
        <v>0</v>
      </c>
      <c r="N269" s="172"/>
    </row>
    <row r="270" spans="1:14" ht="20.399999999999999" hidden="1" x14ac:dyDescent="0.2">
      <c r="A270" s="236"/>
      <c r="B270" s="249" t="s">
        <v>822</v>
      </c>
      <c r="C270" s="277">
        <v>0</v>
      </c>
      <c r="D270" s="277">
        <v>0</v>
      </c>
      <c r="E270" s="359">
        <v>0</v>
      </c>
      <c r="F270" s="381">
        <v>0</v>
      </c>
      <c r="G270" s="406">
        <v>0</v>
      </c>
      <c r="H270" s="382" t="e">
        <f t="shared" si="72"/>
        <v>#DIV/0!</v>
      </c>
      <c r="I270" s="370">
        <f t="shared" si="73"/>
        <v>0</v>
      </c>
      <c r="J270" s="277">
        <v>0</v>
      </c>
      <c r="K270" s="277">
        <v>0</v>
      </c>
      <c r="L270" s="277">
        <v>0</v>
      </c>
      <c r="M270" s="277">
        <v>0</v>
      </c>
      <c r="N270" s="263"/>
    </row>
    <row r="271" spans="1:14" ht="20.399999999999999" hidden="1" x14ac:dyDescent="0.2">
      <c r="A271" s="236"/>
      <c r="B271" s="249" t="s">
        <v>821</v>
      </c>
      <c r="C271" s="277">
        <v>0</v>
      </c>
      <c r="D271" s="277"/>
      <c r="E271" s="359">
        <v>0</v>
      </c>
      <c r="F271" s="381">
        <v>0</v>
      </c>
      <c r="G271" s="406">
        <v>0</v>
      </c>
      <c r="H271" s="382">
        <v>0</v>
      </c>
      <c r="I271" s="370">
        <f t="shared" si="73"/>
        <v>0</v>
      </c>
      <c r="J271" s="277">
        <v>0</v>
      </c>
      <c r="K271" s="277">
        <v>0</v>
      </c>
      <c r="L271" s="277">
        <v>0</v>
      </c>
      <c r="M271" s="277">
        <v>0</v>
      </c>
      <c r="N271" s="263"/>
    </row>
    <row r="272" spans="1:14" ht="20.399999999999999" hidden="1" x14ac:dyDescent="0.2">
      <c r="A272" s="236"/>
      <c r="B272" s="249" t="s">
        <v>820</v>
      </c>
      <c r="C272" s="277">
        <v>0</v>
      </c>
      <c r="D272" s="277">
        <v>0</v>
      </c>
      <c r="E272" s="359">
        <v>0</v>
      </c>
      <c r="F272" s="381">
        <v>0</v>
      </c>
      <c r="G272" s="406">
        <v>0</v>
      </c>
      <c r="H272" s="382">
        <v>0</v>
      </c>
      <c r="I272" s="370">
        <f t="shared" si="73"/>
        <v>0</v>
      </c>
      <c r="J272" s="277">
        <v>0</v>
      </c>
      <c r="K272" s="277">
        <v>0</v>
      </c>
      <c r="L272" s="277">
        <v>0</v>
      </c>
      <c r="M272" s="277">
        <v>0</v>
      </c>
      <c r="N272" s="263"/>
    </row>
    <row r="273" spans="1:14" ht="21" customHeight="1" x14ac:dyDescent="0.2">
      <c r="A273" s="236"/>
      <c r="B273" s="249" t="s">
        <v>830</v>
      </c>
      <c r="C273" s="277">
        <v>0</v>
      </c>
      <c r="D273" s="277">
        <f>300000+150000</f>
        <v>450000</v>
      </c>
      <c r="E273" s="359">
        <v>1</v>
      </c>
      <c r="F273" s="381">
        <v>0</v>
      </c>
      <c r="G273" s="277">
        <v>0</v>
      </c>
      <c r="H273" s="382">
        <v>0</v>
      </c>
      <c r="I273" s="370">
        <f t="shared" si="73"/>
        <v>450000</v>
      </c>
      <c r="J273" s="277">
        <v>0</v>
      </c>
      <c r="K273" s="277">
        <v>0</v>
      </c>
      <c r="L273" s="277">
        <v>0</v>
      </c>
      <c r="M273" s="277">
        <v>0</v>
      </c>
      <c r="N273" s="263" t="s">
        <v>976</v>
      </c>
    </row>
    <row r="274" spans="1:14" ht="18" hidden="1" customHeight="1" x14ac:dyDescent="0.2">
      <c r="A274" s="236"/>
      <c r="B274" s="249" t="s">
        <v>823</v>
      </c>
      <c r="C274" s="277">
        <v>0</v>
      </c>
      <c r="D274" s="277">
        <v>0</v>
      </c>
      <c r="E274" s="359">
        <v>0</v>
      </c>
      <c r="F274" s="381">
        <v>0</v>
      </c>
      <c r="G274" s="406">
        <v>0</v>
      </c>
      <c r="H274" s="382">
        <v>0</v>
      </c>
      <c r="I274" s="370">
        <f t="shared" si="73"/>
        <v>0</v>
      </c>
      <c r="J274" s="277">
        <v>0</v>
      </c>
      <c r="K274" s="277">
        <v>0</v>
      </c>
      <c r="L274" s="277">
        <v>0</v>
      </c>
      <c r="M274" s="277">
        <v>0</v>
      </c>
      <c r="N274" s="263"/>
    </row>
    <row r="275" spans="1:14" ht="20.399999999999999" x14ac:dyDescent="0.2">
      <c r="A275" s="234" t="s">
        <v>590</v>
      </c>
      <c r="B275" s="248" t="s">
        <v>591</v>
      </c>
      <c r="C275" s="278">
        <f t="shared" ref="C275:E275" si="74">SUM(C276:C278)</f>
        <v>0</v>
      </c>
      <c r="D275" s="278">
        <f>SUM(D276:D279)</f>
        <v>9250000</v>
      </c>
      <c r="E275" s="358">
        <f t="shared" si="74"/>
        <v>1</v>
      </c>
      <c r="F275" s="377">
        <f>SUM(F276:F279)</f>
        <v>3440300</v>
      </c>
      <c r="G275" s="278">
        <f t="shared" ref="G275" si="75">SUM(G276:G279)</f>
        <v>-1723500.8599999999</v>
      </c>
      <c r="H275" s="378">
        <f>G275/F275</f>
        <v>-0.50097400226724409</v>
      </c>
      <c r="I275" s="368">
        <f>D275+G275</f>
        <v>7526499.1400000006</v>
      </c>
      <c r="J275" s="278">
        <f>SUM(J276:J279)</f>
        <v>0</v>
      </c>
      <c r="K275" s="278">
        <f t="shared" ref="K275:M275" si="76">SUM(K276:K279)</f>
        <v>6500000</v>
      </c>
      <c r="L275" s="278">
        <f t="shared" si="76"/>
        <v>0</v>
      </c>
      <c r="M275" s="278">
        <f t="shared" si="76"/>
        <v>0</v>
      </c>
      <c r="N275" s="173"/>
    </row>
    <row r="276" spans="1:14" hidden="1" x14ac:dyDescent="0.2">
      <c r="A276" s="237"/>
      <c r="B276" s="249"/>
      <c r="C276" s="277"/>
      <c r="D276" s="277"/>
      <c r="E276" s="360"/>
      <c r="F276" s="379"/>
      <c r="G276" s="277"/>
      <c r="H276" s="382"/>
      <c r="I276" s="370"/>
      <c r="J276" s="277"/>
      <c r="K276" s="277"/>
      <c r="L276" s="277"/>
      <c r="M276" s="277"/>
      <c r="N276" s="172"/>
    </row>
    <row r="277" spans="1:14" hidden="1" x14ac:dyDescent="0.2">
      <c r="A277" s="237"/>
      <c r="B277" s="249"/>
      <c r="C277" s="277"/>
      <c r="D277" s="277"/>
      <c r="E277" s="359"/>
      <c r="F277" s="381"/>
      <c r="G277" s="277"/>
      <c r="H277" s="382"/>
      <c r="I277" s="370"/>
      <c r="J277" s="277"/>
      <c r="K277" s="277"/>
      <c r="L277" s="277"/>
      <c r="M277" s="277"/>
      <c r="N277" s="172"/>
    </row>
    <row r="278" spans="1:14" ht="22.95" customHeight="1" x14ac:dyDescent="0.2">
      <c r="A278" s="236"/>
      <c r="B278" s="249" t="s">
        <v>824</v>
      </c>
      <c r="C278" s="277">
        <v>0</v>
      </c>
      <c r="D278" s="277">
        <f>3250000+6000000</f>
        <v>9250000</v>
      </c>
      <c r="E278" s="359">
        <v>1</v>
      </c>
      <c r="F278" s="381">
        <v>0</v>
      </c>
      <c r="G278" s="277">
        <v>0</v>
      </c>
      <c r="H278" s="382">
        <v>0</v>
      </c>
      <c r="I278" s="369">
        <f t="shared" ref="I278:I279" si="77">D278+G278</f>
        <v>9250000</v>
      </c>
      <c r="J278" s="277">
        <v>0</v>
      </c>
      <c r="K278" s="277">
        <v>6500000</v>
      </c>
      <c r="L278" s="277">
        <v>0</v>
      </c>
      <c r="M278" s="277">
        <v>0</v>
      </c>
      <c r="N278" s="263" t="s">
        <v>992</v>
      </c>
    </row>
    <row r="279" spans="1:14" ht="30.6" x14ac:dyDescent="0.2">
      <c r="A279" s="236"/>
      <c r="B279" s="249" t="s">
        <v>825</v>
      </c>
      <c r="C279" s="277">
        <v>0</v>
      </c>
      <c r="D279" s="277">
        <v>0</v>
      </c>
      <c r="E279" s="359">
        <v>0</v>
      </c>
      <c r="F279" s="381">
        <v>3440300</v>
      </c>
      <c r="G279" s="277">
        <f>-1663904+93604-6558.94-1917.4-632600+498950-971.1-10103.42</f>
        <v>-1723500.8599999999</v>
      </c>
      <c r="H279" s="382">
        <f>G279/F279</f>
        <v>-0.50097400226724409</v>
      </c>
      <c r="I279" s="369">
        <f t="shared" si="77"/>
        <v>-1723500.8599999999</v>
      </c>
      <c r="J279" s="277">
        <v>0</v>
      </c>
      <c r="K279" s="277">
        <v>0</v>
      </c>
      <c r="L279" s="277">
        <v>0</v>
      </c>
      <c r="M279" s="277">
        <v>0</v>
      </c>
      <c r="N279" s="263" t="s">
        <v>1006</v>
      </c>
    </row>
    <row r="280" spans="1:14" ht="21.6" x14ac:dyDescent="0.25">
      <c r="A280" s="238" t="s">
        <v>37</v>
      </c>
      <c r="B280" s="252" t="s">
        <v>592</v>
      </c>
      <c r="C280" s="279">
        <f t="shared" ref="C280:M280" si="78">C281+C284</f>
        <v>0</v>
      </c>
      <c r="D280" s="279">
        <f>D281+D287</f>
        <v>8436000</v>
      </c>
      <c r="E280" s="361">
        <v>1</v>
      </c>
      <c r="F280" s="383">
        <f t="shared" si="78"/>
        <v>45042133</v>
      </c>
      <c r="G280" s="279">
        <f t="shared" si="78"/>
        <v>-8436000</v>
      </c>
      <c r="H280" s="384">
        <f>G280/F280*100%</f>
        <v>-0.18729130789609807</v>
      </c>
      <c r="I280" s="371">
        <f t="shared" si="78"/>
        <v>0</v>
      </c>
      <c r="J280" s="279">
        <f t="shared" si="78"/>
        <v>0</v>
      </c>
      <c r="K280" s="279">
        <f t="shared" si="78"/>
        <v>0</v>
      </c>
      <c r="L280" s="279">
        <f t="shared" si="78"/>
        <v>0</v>
      </c>
      <c r="M280" s="279">
        <f t="shared" si="78"/>
        <v>0</v>
      </c>
      <c r="N280" s="265"/>
    </row>
    <row r="281" spans="1:14" hidden="1" x14ac:dyDescent="0.2">
      <c r="A281" s="234" t="s">
        <v>593</v>
      </c>
      <c r="B281" s="248" t="s">
        <v>594</v>
      </c>
      <c r="C281" s="278">
        <f t="shared" ref="C281:L281" si="79">SUM(C282:C283)</f>
        <v>0</v>
      </c>
      <c r="D281" s="278">
        <f t="shared" si="79"/>
        <v>0</v>
      </c>
      <c r="E281" s="358">
        <f t="shared" si="79"/>
        <v>0</v>
      </c>
      <c r="F281" s="377">
        <f t="shared" si="79"/>
        <v>0</v>
      </c>
      <c r="G281" s="278">
        <f t="shared" si="79"/>
        <v>0</v>
      </c>
      <c r="H281" s="378" t="e">
        <f t="shared" ref="H281:H286" si="80">G281/F281*100%</f>
        <v>#DIV/0!</v>
      </c>
      <c r="I281" s="368">
        <f t="shared" si="79"/>
        <v>0</v>
      </c>
      <c r="J281" s="278">
        <f t="shared" si="79"/>
        <v>0</v>
      </c>
      <c r="K281" s="278"/>
      <c r="L281" s="278">
        <f t="shared" si="79"/>
        <v>0</v>
      </c>
      <c r="M281" s="278"/>
      <c r="N281" s="173"/>
    </row>
    <row r="282" spans="1:14" hidden="1" x14ac:dyDescent="0.2">
      <c r="A282" s="237"/>
      <c r="B282" s="249" t="s">
        <v>595</v>
      </c>
      <c r="C282" s="277"/>
      <c r="D282" s="277"/>
      <c r="E282" s="359"/>
      <c r="F282" s="381"/>
      <c r="G282" s="277">
        <f>-678000+678000</f>
        <v>0</v>
      </c>
      <c r="H282" s="382" t="e">
        <f t="shared" si="80"/>
        <v>#DIV/0!</v>
      </c>
      <c r="I282" s="370"/>
      <c r="J282" s="277"/>
      <c r="K282" s="277"/>
      <c r="L282" s="277"/>
      <c r="M282" s="277"/>
      <c r="N282" s="172" t="s">
        <v>993</v>
      </c>
    </row>
    <row r="283" spans="1:14" hidden="1" x14ac:dyDescent="0.2">
      <c r="A283" s="237"/>
      <c r="B283" s="249" t="s">
        <v>596</v>
      </c>
      <c r="C283" s="277"/>
      <c r="D283" s="277"/>
      <c r="E283" s="359"/>
      <c r="F283" s="381"/>
      <c r="G283" s="277"/>
      <c r="H283" s="382" t="e">
        <f t="shared" si="80"/>
        <v>#DIV/0!</v>
      </c>
      <c r="I283" s="370"/>
      <c r="J283" s="277"/>
      <c r="K283" s="277"/>
      <c r="L283" s="277"/>
      <c r="M283" s="277"/>
      <c r="N283" s="172"/>
    </row>
    <row r="284" spans="1:14" ht="21.6" customHeight="1" x14ac:dyDescent="0.2">
      <c r="A284" s="234" t="s">
        <v>597</v>
      </c>
      <c r="B284" s="248" t="s">
        <v>598</v>
      </c>
      <c r="C284" s="278">
        <f>SUM(C285:C287)</f>
        <v>0</v>
      </c>
      <c r="D284" s="278">
        <f t="shared" ref="D284:M284" si="81">SUM(D285:D287)</f>
        <v>8436000</v>
      </c>
      <c r="E284" s="358">
        <v>1</v>
      </c>
      <c r="F284" s="377">
        <f t="shared" si="81"/>
        <v>45042133</v>
      </c>
      <c r="G284" s="278">
        <f t="shared" si="81"/>
        <v>-8436000</v>
      </c>
      <c r="H284" s="378">
        <f t="shared" si="80"/>
        <v>-0.18729130789609807</v>
      </c>
      <c r="I284" s="368">
        <f>D284+G284</f>
        <v>0</v>
      </c>
      <c r="J284" s="278">
        <f t="shared" si="81"/>
        <v>0</v>
      </c>
      <c r="K284" s="278">
        <f t="shared" si="81"/>
        <v>0</v>
      </c>
      <c r="L284" s="278">
        <f t="shared" si="81"/>
        <v>0</v>
      </c>
      <c r="M284" s="278">
        <f t="shared" si="81"/>
        <v>0</v>
      </c>
      <c r="N284" s="173"/>
    </row>
    <row r="285" spans="1:14" hidden="1" x14ac:dyDescent="0.2">
      <c r="A285" s="237"/>
      <c r="B285" s="249" t="s">
        <v>599</v>
      </c>
      <c r="C285" s="277"/>
      <c r="D285" s="277"/>
      <c r="E285" s="359"/>
      <c r="F285" s="381"/>
      <c r="G285" s="277"/>
      <c r="H285" s="382" t="e">
        <f t="shared" si="80"/>
        <v>#DIV/0!</v>
      </c>
      <c r="I285" s="370"/>
      <c r="J285" s="277"/>
      <c r="K285" s="277"/>
      <c r="L285" s="277"/>
      <c r="M285" s="277"/>
      <c r="N285" s="172"/>
    </row>
    <row r="286" spans="1:14" ht="22.2" hidden="1" customHeight="1" x14ac:dyDescent="0.2">
      <c r="A286" s="237"/>
      <c r="B286" s="249" t="s">
        <v>600</v>
      </c>
      <c r="C286" s="277"/>
      <c r="D286" s="277"/>
      <c r="E286" s="359"/>
      <c r="F286" s="381"/>
      <c r="G286" s="277"/>
      <c r="H286" s="382" t="e">
        <f t="shared" si="80"/>
        <v>#DIV/0!</v>
      </c>
      <c r="I286" s="370"/>
      <c r="J286" s="277"/>
      <c r="K286" s="277"/>
      <c r="L286" s="277"/>
      <c r="M286" s="277"/>
      <c r="N286" s="172"/>
    </row>
    <row r="287" spans="1:14" ht="37.799999999999997" customHeight="1" x14ac:dyDescent="0.2">
      <c r="A287" s="237"/>
      <c r="B287" s="249" t="s">
        <v>825</v>
      </c>
      <c r="C287" s="277">
        <v>0</v>
      </c>
      <c r="D287" s="277">
        <v>8436000</v>
      </c>
      <c r="E287" s="359">
        <v>1</v>
      </c>
      <c r="F287" s="381">
        <v>45042133</v>
      </c>
      <c r="G287" s="277">
        <v>-8436000</v>
      </c>
      <c r="H287" s="382">
        <f>G287/F287*100%</f>
        <v>-0.18729130789609807</v>
      </c>
      <c r="I287" s="370">
        <f>D287+G287</f>
        <v>0</v>
      </c>
      <c r="J287" s="277">
        <v>0</v>
      </c>
      <c r="K287" s="277">
        <v>0</v>
      </c>
      <c r="L287" s="277">
        <v>0</v>
      </c>
      <c r="M287" s="277">
        <v>0</v>
      </c>
      <c r="N287" s="172" t="s">
        <v>982</v>
      </c>
    </row>
    <row r="288" spans="1:14" ht="27" customHeight="1" x14ac:dyDescent="0.2">
      <c r="A288" s="240" t="s">
        <v>39</v>
      </c>
      <c r="B288" s="251" t="s">
        <v>601</v>
      </c>
      <c r="C288" s="282">
        <f>C289+C296</f>
        <v>20604178</v>
      </c>
      <c r="D288" s="282">
        <f>D289+D296</f>
        <v>1720413</v>
      </c>
      <c r="E288" s="357">
        <v>1</v>
      </c>
      <c r="F288" s="386">
        <f t="shared" ref="F288:M288" si="82">F289+F296</f>
        <v>0</v>
      </c>
      <c r="G288" s="282">
        <f>G289+G296</f>
        <v>1000000</v>
      </c>
      <c r="H288" s="387">
        <f>H289+H296</f>
        <v>1</v>
      </c>
      <c r="I288" s="367">
        <f t="shared" si="82"/>
        <v>2720413</v>
      </c>
      <c r="J288" s="282">
        <f t="shared" si="82"/>
        <v>0</v>
      </c>
      <c r="K288" s="282">
        <f t="shared" si="82"/>
        <v>0</v>
      </c>
      <c r="L288" s="282">
        <f t="shared" si="82"/>
        <v>0</v>
      </c>
      <c r="M288" s="282">
        <f t="shared" si="82"/>
        <v>0</v>
      </c>
      <c r="N288" s="267"/>
    </row>
    <row r="289" spans="1:14" ht="21.6" x14ac:dyDescent="0.25">
      <c r="A289" s="238" t="s">
        <v>41</v>
      </c>
      <c r="B289" s="252" t="s">
        <v>602</v>
      </c>
      <c r="C289" s="279">
        <f t="shared" ref="C289:M289" si="83">C290+C293</f>
        <v>20604178</v>
      </c>
      <c r="D289" s="279">
        <f t="shared" si="83"/>
        <v>1720413</v>
      </c>
      <c r="E289" s="361">
        <f t="shared" si="83"/>
        <v>8.3498259430684396E-2</v>
      </c>
      <c r="F289" s="383">
        <f t="shared" si="83"/>
        <v>0</v>
      </c>
      <c r="G289" s="279">
        <f t="shared" si="83"/>
        <v>0</v>
      </c>
      <c r="H289" s="384">
        <f t="shared" si="83"/>
        <v>0</v>
      </c>
      <c r="I289" s="371">
        <f t="shared" si="83"/>
        <v>1720413</v>
      </c>
      <c r="J289" s="279">
        <f t="shared" si="83"/>
        <v>0</v>
      </c>
      <c r="K289" s="279">
        <f t="shared" si="83"/>
        <v>0</v>
      </c>
      <c r="L289" s="279">
        <f t="shared" si="83"/>
        <v>0</v>
      </c>
      <c r="M289" s="279">
        <f t="shared" si="83"/>
        <v>0</v>
      </c>
      <c r="N289" s="265"/>
    </row>
    <row r="290" spans="1:14" ht="20.399999999999999" hidden="1" x14ac:dyDescent="0.2">
      <c r="A290" s="234" t="s">
        <v>603</v>
      </c>
      <c r="B290" s="248" t="s">
        <v>604</v>
      </c>
      <c r="C290" s="278">
        <f>C291+C292</f>
        <v>0</v>
      </c>
      <c r="D290" s="278">
        <f t="shared" ref="D290:L290" si="84">D291+D292</f>
        <v>0</v>
      </c>
      <c r="E290" s="358">
        <f t="shared" si="84"/>
        <v>0</v>
      </c>
      <c r="F290" s="377">
        <f t="shared" si="84"/>
        <v>0</v>
      </c>
      <c r="G290" s="278">
        <f t="shared" si="84"/>
        <v>0</v>
      </c>
      <c r="H290" s="378">
        <f t="shared" si="84"/>
        <v>0</v>
      </c>
      <c r="I290" s="368">
        <f t="shared" si="84"/>
        <v>0</v>
      </c>
      <c r="J290" s="278">
        <f t="shared" si="84"/>
        <v>0</v>
      </c>
      <c r="K290" s="278"/>
      <c r="L290" s="278">
        <f t="shared" si="84"/>
        <v>0</v>
      </c>
      <c r="M290" s="278"/>
      <c r="N290" s="173"/>
    </row>
    <row r="291" spans="1:14" ht="10.95" hidden="1" customHeight="1" x14ac:dyDescent="0.2">
      <c r="A291" s="236"/>
      <c r="B291" s="249" t="s">
        <v>605</v>
      </c>
      <c r="C291" s="277"/>
      <c r="D291" s="277"/>
      <c r="E291" s="359"/>
      <c r="F291" s="381"/>
      <c r="G291" s="277"/>
      <c r="H291" s="382"/>
      <c r="I291" s="370"/>
      <c r="J291" s="277"/>
      <c r="K291" s="277"/>
      <c r="L291" s="277"/>
      <c r="M291" s="277"/>
      <c r="N291" s="263"/>
    </row>
    <row r="292" spans="1:14" hidden="1" x14ac:dyDescent="0.2">
      <c r="A292" s="236"/>
      <c r="B292" s="249" t="s">
        <v>606</v>
      </c>
      <c r="C292" s="277"/>
      <c r="D292" s="277"/>
      <c r="E292" s="359"/>
      <c r="F292" s="381"/>
      <c r="G292" s="277">
        <f>-1000000+1000000</f>
        <v>0</v>
      </c>
      <c r="H292" s="382"/>
      <c r="I292" s="370"/>
      <c r="J292" s="277"/>
      <c r="K292" s="277"/>
      <c r="L292" s="277"/>
      <c r="M292" s="277"/>
      <c r="N292" s="263"/>
    </row>
    <row r="293" spans="1:14" x14ac:dyDescent="0.2">
      <c r="A293" s="234" t="s">
        <v>607</v>
      </c>
      <c r="B293" s="248" t="s">
        <v>868</v>
      </c>
      <c r="C293" s="278">
        <f>C294+C295</f>
        <v>20604178</v>
      </c>
      <c r="D293" s="278">
        <f t="shared" ref="D293:M293" si="85">D294+D295</f>
        <v>1720413</v>
      </c>
      <c r="E293" s="358">
        <f t="shared" si="85"/>
        <v>8.3498259430684396E-2</v>
      </c>
      <c r="F293" s="377">
        <f t="shared" si="85"/>
        <v>0</v>
      </c>
      <c r="G293" s="278">
        <f t="shared" si="85"/>
        <v>0</v>
      </c>
      <c r="H293" s="378">
        <f t="shared" si="85"/>
        <v>0</v>
      </c>
      <c r="I293" s="368">
        <f>D293+G293</f>
        <v>1720413</v>
      </c>
      <c r="J293" s="278">
        <f t="shared" si="85"/>
        <v>0</v>
      </c>
      <c r="K293" s="278">
        <f t="shared" si="85"/>
        <v>0</v>
      </c>
      <c r="L293" s="278">
        <f t="shared" si="85"/>
        <v>0</v>
      </c>
      <c r="M293" s="278">
        <f t="shared" si="85"/>
        <v>0</v>
      </c>
      <c r="N293" s="173"/>
    </row>
    <row r="294" spans="1:14" hidden="1" x14ac:dyDescent="0.2">
      <c r="A294" s="237"/>
      <c r="B294" s="249" t="s">
        <v>605</v>
      </c>
      <c r="C294" s="277"/>
      <c r="D294" s="277"/>
      <c r="E294" s="359"/>
      <c r="F294" s="381"/>
      <c r="G294" s="277"/>
      <c r="H294" s="382"/>
      <c r="I294" s="370"/>
      <c r="J294" s="277"/>
      <c r="K294" s="277"/>
      <c r="L294" s="277"/>
      <c r="M294" s="277"/>
      <c r="N294" s="172"/>
    </row>
    <row r="295" spans="1:14" ht="20.399999999999999" x14ac:dyDescent="0.2">
      <c r="A295" s="237"/>
      <c r="B295" s="249" t="s">
        <v>869</v>
      </c>
      <c r="C295" s="277">
        <v>20604178</v>
      </c>
      <c r="D295" s="277">
        <v>1720413</v>
      </c>
      <c r="E295" s="359">
        <f>D295/C295</f>
        <v>8.3498259430684396E-2</v>
      </c>
      <c r="F295" s="381">
        <v>0</v>
      </c>
      <c r="G295" s="277">
        <v>0</v>
      </c>
      <c r="H295" s="382">
        <v>0</v>
      </c>
      <c r="I295" s="370">
        <f>D295+G295</f>
        <v>1720413</v>
      </c>
      <c r="J295" s="277">
        <v>0</v>
      </c>
      <c r="K295" s="277">
        <v>0</v>
      </c>
      <c r="L295" s="277">
        <v>0</v>
      </c>
      <c r="M295" s="277">
        <v>0</v>
      </c>
      <c r="N295" s="263" t="s">
        <v>950</v>
      </c>
    </row>
    <row r="296" spans="1:14" ht="21.6" x14ac:dyDescent="0.25">
      <c r="A296" s="238" t="s">
        <v>43</v>
      </c>
      <c r="B296" s="252" t="s">
        <v>608</v>
      </c>
      <c r="C296" s="279">
        <f t="shared" ref="C296:L296" si="86">C297</f>
        <v>0</v>
      </c>
      <c r="D296" s="279">
        <f t="shared" si="86"/>
        <v>0</v>
      </c>
      <c r="E296" s="361">
        <f t="shared" si="86"/>
        <v>0</v>
      </c>
      <c r="F296" s="383">
        <f t="shared" si="86"/>
        <v>0</v>
      </c>
      <c r="G296" s="279">
        <f t="shared" si="86"/>
        <v>1000000</v>
      </c>
      <c r="H296" s="384">
        <f t="shared" si="86"/>
        <v>1</v>
      </c>
      <c r="I296" s="371">
        <f>D296+G296</f>
        <v>1000000</v>
      </c>
      <c r="J296" s="279">
        <f t="shared" si="86"/>
        <v>0</v>
      </c>
      <c r="K296" s="279">
        <v>0</v>
      </c>
      <c r="L296" s="279">
        <f t="shared" si="86"/>
        <v>0</v>
      </c>
      <c r="M296" s="279">
        <v>0</v>
      </c>
      <c r="N296" s="265"/>
    </row>
    <row r="297" spans="1:14" ht="20.399999999999999" x14ac:dyDescent="0.2">
      <c r="A297" s="234" t="s">
        <v>609</v>
      </c>
      <c r="B297" s="248" t="s">
        <v>610</v>
      </c>
      <c r="C297" s="278">
        <v>0</v>
      </c>
      <c r="D297" s="278">
        <v>0</v>
      </c>
      <c r="E297" s="358">
        <v>0</v>
      </c>
      <c r="F297" s="377">
        <v>0</v>
      </c>
      <c r="G297" s="278">
        <v>1000000</v>
      </c>
      <c r="H297" s="378">
        <v>1</v>
      </c>
      <c r="I297" s="368">
        <f>D297+G297</f>
        <v>1000000</v>
      </c>
      <c r="J297" s="278"/>
      <c r="K297" s="278">
        <v>0</v>
      </c>
      <c r="L297" s="278"/>
      <c r="M297" s="278">
        <v>0</v>
      </c>
      <c r="N297" s="173" t="s">
        <v>994</v>
      </c>
    </row>
    <row r="298" spans="1:14" ht="26.4" customHeight="1" x14ac:dyDescent="0.2">
      <c r="A298" s="240" t="s">
        <v>45</v>
      </c>
      <c r="B298" s="251" t="s">
        <v>611</v>
      </c>
      <c r="C298" s="282">
        <f>C299+C307+C316</f>
        <v>356000</v>
      </c>
      <c r="D298" s="282">
        <f t="shared" ref="D298:M298" si="87">D299+D307+D316</f>
        <v>-54000</v>
      </c>
      <c r="E298" s="357">
        <f>D298/C298</f>
        <v>-0.15168539325842698</v>
      </c>
      <c r="F298" s="386">
        <f t="shared" si="87"/>
        <v>833000</v>
      </c>
      <c r="G298" s="282">
        <f t="shared" si="87"/>
        <v>952000</v>
      </c>
      <c r="H298" s="387">
        <f>G298/F298</f>
        <v>1.1428571428571428</v>
      </c>
      <c r="I298" s="367">
        <f>I299+I307+I316</f>
        <v>898000</v>
      </c>
      <c r="J298" s="282">
        <f t="shared" si="87"/>
        <v>-54000</v>
      </c>
      <c r="K298" s="282">
        <f t="shared" si="87"/>
        <v>2000000</v>
      </c>
      <c r="L298" s="282">
        <f t="shared" si="87"/>
        <v>-54000</v>
      </c>
      <c r="M298" s="282">
        <f t="shared" si="87"/>
        <v>0</v>
      </c>
      <c r="N298" s="270"/>
    </row>
    <row r="299" spans="1:14" ht="42" customHeight="1" x14ac:dyDescent="0.25">
      <c r="A299" s="238" t="s">
        <v>47</v>
      </c>
      <c r="B299" s="252" t="s">
        <v>612</v>
      </c>
      <c r="C299" s="279">
        <f t="shared" ref="C299:M299" si="88">C300+C303+C305</f>
        <v>0</v>
      </c>
      <c r="D299" s="279">
        <f t="shared" si="88"/>
        <v>0</v>
      </c>
      <c r="E299" s="361">
        <v>0</v>
      </c>
      <c r="F299" s="383">
        <f t="shared" si="88"/>
        <v>433000</v>
      </c>
      <c r="G299" s="279">
        <f>G300+G303+G305</f>
        <v>1050000</v>
      </c>
      <c r="H299" s="384">
        <f t="shared" si="88"/>
        <v>2.4249422632794455</v>
      </c>
      <c r="I299" s="371">
        <f t="shared" si="88"/>
        <v>1050000</v>
      </c>
      <c r="J299" s="279">
        <f t="shared" si="88"/>
        <v>0</v>
      </c>
      <c r="K299" s="279">
        <f t="shared" si="88"/>
        <v>2000000</v>
      </c>
      <c r="L299" s="279">
        <f t="shared" si="88"/>
        <v>0</v>
      </c>
      <c r="M299" s="279">
        <f t="shared" si="88"/>
        <v>0</v>
      </c>
      <c r="N299" s="265"/>
    </row>
    <row r="300" spans="1:14" ht="30.6" x14ac:dyDescent="0.2">
      <c r="A300" s="234" t="s">
        <v>613</v>
      </c>
      <c r="B300" s="248" t="s">
        <v>614</v>
      </c>
      <c r="C300" s="278">
        <f t="shared" ref="C300:L300" si="89">SUM(C301:C302)</f>
        <v>0</v>
      </c>
      <c r="D300" s="278">
        <f t="shared" si="89"/>
        <v>0</v>
      </c>
      <c r="E300" s="358">
        <f t="shared" si="89"/>
        <v>0</v>
      </c>
      <c r="F300" s="377">
        <f t="shared" si="89"/>
        <v>433000</v>
      </c>
      <c r="G300" s="278">
        <f t="shared" si="89"/>
        <v>1050000</v>
      </c>
      <c r="H300" s="378">
        <f t="shared" si="89"/>
        <v>2.4249422632794455</v>
      </c>
      <c r="I300" s="368">
        <f t="shared" si="89"/>
        <v>1050000</v>
      </c>
      <c r="J300" s="278">
        <v>0</v>
      </c>
      <c r="K300" s="278"/>
      <c r="L300" s="278">
        <f t="shared" si="89"/>
        <v>0</v>
      </c>
      <c r="M300" s="278"/>
      <c r="N300" s="173"/>
    </row>
    <row r="301" spans="1:14" x14ac:dyDescent="0.2">
      <c r="A301" s="236"/>
      <c r="B301" s="249" t="s">
        <v>615</v>
      </c>
      <c r="C301" s="277">
        <v>0</v>
      </c>
      <c r="D301" s="277">
        <v>0</v>
      </c>
      <c r="E301" s="359">
        <v>0</v>
      </c>
      <c r="F301" s="381">
        <v>433000</v>
      </c>
      <c r="G301" s="277">
        <v>1050000</v>
      </c>
      <c r="H301" s="382">
        <f>G301/F301</f>
        <v>2.4249422632794455</v>
      </c>
      <c r="I301" s="370">
        <f>G301+D301</f>
        <v>1050000</v>
      </c>
      <c r="J301" s="277">
        <v>0</v>
      </c>
      <c r="K301" s="277">
        <v>0</v>
      </c>
      <c r="L301" s="277">
        <v>0</v>
      </c>
      <c r="M301" s="277">
        <v>0</v>
      </c>
      <c r="N301" s="263" t="s">
        <v>956</v>
      </c>
    </row>
    <row r="302" spans="1:14" hidden="1" x14ac:dyDescent="0.2">
      <c r="A302" s="236"/>
      <c r="B302" s="249" t="s">
        <v>870</v>
      </c>
      <c r="C302" s="277">
        <v>0</v>
      </c>
      <c r="D302" s="277">
        <v>0</v>
      </c>
      <c r="E302" s="359">
        <v>0</v>
      </c>
      <c r="F302" s="381">
        <v>0</v>
      </c>
      <c r="G302" s="277">
        <v>0</v>
      </c>
      <c r="H302" s="382">
        <v>0</v>
      </c>
      <c r="I302" s="370">
        <f>G302+D302</f>
        <v>0</v>
      </c>
      <c r="J302" s="277">
        <v>0</v>
      </c>
      <c r="K302" s="277">
        <v>0</v>
      </c>
      <c r="L302" s="277">
        <v>0</v>
      </c>
      <c r="M302" s="277">
        <v>0</v>
      </c>
      <c r="N302" s="263" t="s">
        <v>947</v>
      </c>
    </row>
    <row r="303" spans="1:14" ht="30.6" hidden="1" x14ac:dyDescent="0.2">
      <c r="A303" s="234" t="s">
        <v>616</v>
      </c>
      <c r="B303" s="248" t="s">
        <v>617</v>
      </c>
      <c r="C303" s="278">
        <f t="shared" ref="C303:L303" si="90">SUM(C304:C304)</f>
        <v>0</v>
      </c>
      <c r="D303" s="278">
        <f t="shared" si="90"/>
        <v>0</v>
      </c>
      <c r="E303" s="358">
        <f t="shared" si="90"/>
        <v>0</v>
      </c>
      <c r="F303" s="377">
        <f t="shared" si="90"/>
        <v>0</v>
      </c>
      <c r="G303" s="278">
        <f t="shared" si="90"/>
        <v>0</v>
      </c>
      <c r="H303" s="378">
        <f t="shared" si="90"/>
        <v>0</v>
      </c>
      <c r="I303" s="368">
        <f t="shared" si="90"/>
        <v>0</v>
      </c>
      <c r="J303" s="278">
        <f t="shared" si="90"/>
        <v>0</v>
      </c>
      <c r="K303" s="278"/>
      <c r="L303" s="278">
        <f t="shared" si="90"/>
        <v>0</v>
      </c>
      <c r="M303" s="278"/>
      <c r="N303" s="173"/>
    </row>
    <row r="304" spans="1:14" hidden="1" x14ac:dyDescent="0.2">
      <c r="A304" s="235"/>
      <c r="B304" s="246" t="s">
        <v>871</v>
      </c>
      <c r="C304" s="224"/>
      <c r="D304" s="224">
        <v>0</v>
      </c>
      <c r="E304" s="360">
        <v>0</v>
      </c>
      <c r="F304" s="379">
        <v>0</v>
      </c>
      <c r="G304" s="224">
        <v>0</v>
      </c>
      <c r="H304" s="380"/>
      <c r="I304" s="369">
        <v>0</v>
      </c>
      <c r="J304" s="224">
        <v>0</v>
      </c>
      <c r="K304" s="224"/>
      <c r="L304" s="224">
        <v>0</v>
      </c>
      <c r="M304" s="224"/>
      <c r="N304" s="264"/>
    </row>
    <row r="305" spans="1:14" ht="41.4" customHeight="1" x14ac:dyDescent="0.2">
      <c r="A305" s="234" t="s">
        <v>618</v>
      </c>
      <c r="B305" s="248" t="s">
        <v>619</v>
      </c>
      <c r="C305" s="278">
        <f>C306</f>
        <v>0</v>
      </c>
      <c r="D305" s="278">
        <f t="shared" ref="D305:M305" si="91">D306</f>
        <v>0</v>
      </c>
      <c r="E305" s="358">
        <v>0</v>
      </c>
      <c r="F305" s="377">
        <f t="shared" si="91"/>
        <v>0</v>
      </c>
      <c r="G305" s="278">
        <f t="shared" si="91"/>
        <v>0</v>
      </c>
      <c r="H305" s="378">
        <f t="shared" si="91"/>
        <v>0</v>
      </c>
      <c r="I305" s="368">
        <f>D305+G305</f>
        <v>0</v>
      </c>
      <c r="J305" s="278">
        <f t="shared" si="91"/>
        <v>0</v>
      </c>
      <c r="K305" s="278">
        <f t="shared" si="91"/>
        <v>2000000</v>
      </c>
      <c r="L305" s="278">
        <f t="shared" si="91"/>
        <v>0</v>
      </c>
      <c r="M305" s="278">
        <f t="shared" si="91"/>
        <v>0</v>
      </c>
      <c r="N305" s="173"/>
    </row>
    <row r="306" spans="1:14" x14ac:dyDescent="0.2">
      <c r="A306" s="235"/>
      <c r="B306" s="246" t="s">
        <v>954</v>
      </c>
      <c r="C306" s="224">
        <v>0</v>
      </c>
      <c r="D306" s="224">
        <v>0</v>
      </c>
      <c r="E306" s="360">
        <v>0</v>
      </c>
      <c r="F306" s="379">
        <v>0</v>
      </c>
      <c r="G306" s="224">
        <v>0</v>
      </c>
      <c r="H306" s="380">
        <v>0</v>
      </c>
      <c r="I306" s="369">
        <v>0</v>
      </c>
      <c r="J306" s="224">
        <v>0</v>
      </c>
      <c r="K306" s="224">
        <v>2000000</v>
      </c>
      <c r="L306" s="224">
        <v>0</v>
      </c>
      <c r="M306" s="224">
        <v>0</v>
      </c>
      <c r="N306" s="264" t="s">
        <v>955</v>
      </c>
    </row>
    <row r="307" spans="1:14" ht="32.4" hidden="1" x14ac:dyDescent="0.25">
      <c r="A307" s="238" t="s">
        <v>49</v>
      </c>
      <c r="B307" s="252" t="s">
        <v>620</v>
      </c>
      <c r="C307" s="279">
        <f t="shared" ref="C307:I307" si="92">C308+C309+C313</f>
        <v>0</v>
      </c>
      <c r="D307" s="279">
        <f t="shared" si="92"/>
        <v>0</v>
      </c>
      <c r="E307" s="361">
        <f t="shared" si="92"/>
        <v>0</v>
      </c>
      <c r="F307" s="383">
        <f t="shared" si="92"/>
        <v>0</v>
      </c>
      <c r="G307" s="279">
        <f t="shared" si="92"/>
        <v>0</v>
      </c>
      <c r="H307" s="384" t="e">
        <f t="shared" si="92"/>
        <v>#DIV/0!</v>
      </c>
      <c r="I307" s="371">
        <f t="shared" si="92"/>
        <v>0</v>
      </c>
      <c r="J307" s="279">
        <f>J308+J309+J313</f>
        <v>0</v>
      </c>
      <c r="K307" s="279">
        <f t="shared" ref="K307:M307" si="93">K308+K309+K313</f>
        <v>0</v>
      </c>
      <c r="L307" s="279">
        <f t="shared" si="93"/>
        <v>0</v>
      </c>
      <c r="M307" s="279">
        <f t="shared" si="93"/>
        <v>0</v>
      </c>
      <c r="N307" s="265"/>
    </row>
    <row r="308" spans="1:14" ht="20.399999999999999" hidden="1" x14ac:dyDescent="0.2">
      <c r="A308" s="234" t="s">
        <v>621</v>
      </c>
      <c r="B308" s="248" t="s">
        <v>622</v>
      </c>
      <c r="C308" s="278">
        <v>0</v>
      </c>
      <c r="D308" s="278">
        <v>0</v>
      </c>
      <c r="E308" s="358">
        <v>0</v>
      </c>
      <c r="F308" s="377">
        <v>0</v>
      </c>
      <c r="G308" s="278">
        <v>0</v>
      </c>
      <c r="H308" s="378"/>
      <c r="I308" s="368">
        <v>0</v>
      </c>
      <c r="J308" s="278">
        <v>0</v>
      </c>
      <c r="K308" s="278"/>
      <c r="L308" s="278">
        <v>0</v>
      </c>
      <c r="M308" s="278"/>
      <c r="N308" s="173"/>
    </row>
    <row r="309" spans="1:14" ht="20.399999999999999" hidden="1" x14ac:dyDescent="0.2">
      <c r="A309" s="234" t="s">
        <v>623</v>
      </c>
      <c r="B309" s="248" t="s">
        <v>624</v>
      </c>
      <c r="C309" s="278">
        <f t="shared" ref="C309:L309" si="94">SUM(C310:C312)</f>
        <v>0</v>
      </c>
      <c r="D309" s="278">
        <f t="shared" si="94"/>
        <v>0</v>
      </c>
      <c r="E309" s="358">
        <f t="shared" si="94"/>
        <v>0</v>
      </c>
      <c r="F309" s="377">
        <f t="shared" si="94"/>
        <v>0</v>
      </c>
      <c r="G309" s="278">
        <f t="shared" si="94"/>
        <v>0</v>
      </c>
      <c r="H309" s="378">
        <f t="shared" si="94"/>
        <v>0</v>
      </c>
      <c r="I309" s="368">
        <f t="shared" si="94"/>
        <v>0</v>
      </c>
      <c r="J309" s="278">
        <f t="shared" si="94"/>
        <v>0</v>
      </c>
      <c r="K309" s="278"/>
      <c r="L309" s="278">
        <f t="shared" si="94"/>
        <v>0</v>
      </c>
      <c r="M309" s="278"/>
      <c r="N309" s="173"/>
    </row>
    <row r="310" spans="1:14" ht="72" hidden="1" customHeight="1" x14ac:dyDescent="0.2">
      <c r="A310" s="235"/>
      <c r="B310" s="246" t="s">
        <v>625</v>
      </c>
      <c r="C310" s="224"/>
      <c r="D310" s="224"/>
      <c r="E310" s="360"/>
      <c r="F310" s="379"/>
      <c r="G310" s="224"/>
      <c r="H310" s="380"/>
      <c r="I310" s="369"/>
      <c r="J310" s="224"/>
      <c r="K310" s="224"/>
      <c r="L310" s="224"/>
      <c r="M310" s="224"/>
      <c r="N310" s="264"/>
    </row>
    <row r="311" spans="1:14" hidden="1" x14ac:dyDescent="0.2">
      <c r="A311" s="235"/>
      <c r="B311" s="246" t="s">
        <v>626</v>
      </c>
      <c r="C311" s="224"/>
      <c r="D311" s="224"/>
      <c r="E311" s="360"/>
      <c r="F311" s="379"/>
      <c r="G311" s="224"/>
      <c r="H311" s="380"/>
      <c r="I311" s="369"/>
      <c r="J311" s="224"/>
      <c r="K311" s="224"/>
      <c r="L311" s="224"/>
      <c r="M311" s="224"/>
      <c r="N311" s="264"/>
    </row>
    <row r="312" spans="1:14" hidden="1" x14ac:dyDescent="0.2">
      <c r="A312" s="235"/>
      <c r="B312" s="246" t="s">
        <v>627</v>
      </c>
      <c r="C312" s="224"/>
      <c r="D312" s="224"/>
      <c r="E312" s="360"/>
      <c r="F312" s="379"/>
      <c r="G312" s="224"/>
      <c r="H312" s="380"/>
      <c r="I312" s="369"/>
      <c r="J312" s="224"/>
      <c r="K312" s="224"/>
      <c r="L312" s="224"/>
      <c r="M312" s="224"/>
      <c r="N312" s="264"/>
    </row>
    <row r="313" spans="1:14" ht="30.6" hidden="1" x14ac:dyDescent="0.2">
      <c r="A313" s="234" t="s">
        <v>628</v>
      </c>
      <c r="B313" s="248" t="s">
        <v>629</v>
      </c>
      <c r="C313" s="278">
        <f t="shared" ref="C313:M313" si="95">SUM(C314:C314)</f>
        <v>0</v>
      </c>
      <c r="D313" s="278">
        <f>SUM(D314:D315)</f>
        <v>0</v>
      </c>
      <c r="E313" s="358">
        <f t="shared" si="95"/>
        <v>0</v>
      </c>
      <c r="F313" s="377">
        <f t="shared" si="95"/>
        <v>0</v>
      </c>
      <c r="G313" s="278">
        <f t="shared" si="95"/>
        <v>0</v>
      </c>
      <c r="H313" s="378" t="e">
        <f>G313/F313</f>
        <v>#DIV/0!</v>
      </c>
      <c r="I313" s="368">
        <f>D313+G313</f>
        <v>0</v>
      </c>
      <c r="J313" s="278">
        <f t="shared" si="95"/>
        <v>0</v>
      </c>
      <c r="K313" s="278">
        <f t="shared" si="95"/>
        <v>0</v>
      </c>
      <c r="L313" s="278">
        <f t="shared" si="95"/>
        <v>0</v>
      </c>
      <c r="M313" s="278">
        <f t="shared" si="95"/>
        <v>0</v>
      </c>
      <c r="N313" s="173"/>
    </row>
    <row r="314" spans="1:14" ht="20.399999999999999" hidden="1" x14ac:dyDescent="0.2">
      <c r="A314" s="235"/>
      <c r="B314" s="246" t="s">
        <v>847</v>
      </c>
      <c r="C314" s="224">
        <v>0</v>
      </c>
      <c r="D314" s="224">
        <v>0</v>
      </c>
      <c r="E314" s="360">
        <v>0</v>
      </c>
      <c r="F314" s="379"/>
      <c r="G314" s="224"/>
      <c r="H314" s="382" t="e">
        <f t="shared" ref="H314:H315" si="96">G314/F314</f>
        <v>#DIV/0!</v>
      </c>
      <c r="I314" s="369"/>
      <c r="J314" s="224">
        <v>0</v>
      </c>
      <c r="K314" s="224">
        <f>10000-10000</f>
        <v>0</v>
      </c>
      <c r="L314" s="224">
        <v>0</v>
      </c>
      <c r="M314" s="224">
        <f>10000-10000</f>
        <v>0</v>
      </c>
      <c r="N314" s="264" t="s">
        <v>945</v>
      </c>
    </row>
    <row r="315" spans="1:14" ht="42.6" hidden="1" customHeight="1" x14ac:dyDescent="0.2">
      <c r="A315" s="235"/>
      <c r="B315" s="246" t="s">
        <v>736</v>
      </c>
      <c r="C315" s="224"/>
      <c r="D315" s="224">
        <v>0</v>
      </c>
      <c r="E315" s="360"/>
      <c r="F315" s="379"/>
      <c r="G315" s="224"/>
      <c r="H315" s="378" t="e">
        <f t="shared" si="96"/>
        <v>#DIV/0!</v>
      </c>
      <c r="I315" s="369"/>
      <c r="J315" s="224"/>
      <c r="K315" s="224"/>
      <c r="L315" s="224"/>
      <c r="M315" s="224"/>
      <c r="N315" s="264"/>
    </row>
    <row r="316" spans="1:14" ht="21.6" x14ac:dyDescent="0.25">
      <c r="A316" s="238" t="s">
        <v>630</v>
      </c>
      <c r="B316" s="253" t="s">
        <v>631</v>
      </c>
      <c r="C316" s="279">
        <f t="shared" ref="C316:L316" si="97">C317+C318</f>
        <v>356000</v>
      </c>
      <c r="D316" s="279">
        <f t="shared" si="97"/>
        <v>-54000</v>
      </c>
      <c r="E316" s="361">
        <f t="shared" si="97"/>
        <v>-0.15168539325842698</v>
      </c>
      <c r="F316" s="383">
        <f t="shared" si="97"/>
        <v>400000</v>
      </c>
      <c r="G316" s="279">
        <f t="shared" si="97"/>
        <v>-98000</v>
      </c>
      <c r="H316" s="384">
        <f t="shared" si="97"/>
        <v>-0.245</v>
      </c>
      <c r="I316" s="371">
        <f t="shared" si="97"/>
        <v>-152000</v>
      </c>
      <c r="J316" s="279">
        <f>J317+J318</f>
        <v>-54000</v>
      </c>
      <c r="K316" s="279">
        <v>0</v>
      </c>
      <c r="L316" s="279">
        <f t="shared" si="97"/>
        <v>-54000</v>
      </c>
      <c r="M316" s="279">
        <v>0</v>
      </c>
      <c r="N316" s="265"/>
    </row>
    <row r="317" spans="1:14" ht="20.399999999999999" x14ac:dyDescent="0.2">
      <c r="A317" s="234" t="s">
        <v>632</v>
      </c>
      <c r="B317" s="248" t="s">
        <v>633</v>
      </c>
      <c r="C317" s="278">
        <v>356000</v>
      </c>
      <c r="D317" s="278">
        <v>-54000</v>
      </c>
      <c r="E317" s="358">
        <f>D317/C317</f>
        <v>-0.15168539325842698</v>
      </c>
      <c r="F317" s="377">
        <v>400000</v>
      </c>
      <c r="G317" s="278">
        <f>-44000-54000</f>
        <v>-98000</v>
      </c>
      <c r="H317" s="378">
        <f>G317/F317</f>
        <v>-0.245</v>
      </c>
      <c r="I317" s="368">
        <f>D317+G317</f>
        <v>-152000</v>
      </c>
      <c r="J317" s="278">
        <v>-54000</v>
      </c>
      <c r="K317" s="278">
        <v>0</v>
      </c>
      <c r="L317" s="278">
        <v>-54000</v>
      </c>
      <c r="M317" s="278">
        <v>0</v>
      </c>
      <c r="N317" s="173" t="s">
        <v>995</v>
      </c>
    </row>
    <row r="318" spans="1:14" hidden="1" x14ac:dyDescent="0.2">
      <c r="A318" s="234" t="s">
        <v>634</v>
      </c>
      <c r="B318" s="248" t="s">
        <v>239</v>
      </c>
      <c r="C318" s="278">
        <v>0</v>
      </c>
      <c r="D318" s="278">
        <v>0</v>
      </c>
      <c r="E318" s="358">
        <v>0</v>
      </c>
      <c r="F318" s="377">
        <v>0</v>
      </c>
      <c r="G318" s="278">
        <v>0</v>
      </c>
      <c r="H318" s="378"/>
      <c r="I318" s="368"/>
      <c r="J318" s="278">
        <v>0</v>
      </c>
      <c r="K318" s="278"/>
      <c r="L318" s="278">
        <v>0</v>
      </c>
      <c r="M318" s="278"/>
      <c r="N318" s="173"/>
    </row>
    <row r="319" spans="1:14" ht="20.399999999999999" x14ac:dyDescent="0.2">
      <c r="A319" s="233" t="s">
        <v>51</v>
      </c>
      <c r="B319" s="257" t="s">
        <v>635</v>
      </c>
      <c r="C319" s="282">
        <f t="shared" ref="C319:M319" si="98">C320+C338</f>
        <v>0</v>
      </c>
      <c r="D319" s="282">
        <f t="shared" si="98"/>
        <v>0</v>
      </c>
      <c r="E319" s="357">
        <f t="shared" si="98"/>
        <v>0</v>
      </c>
      <c r="F319" s="386">
        <f t="shared" si="98"/>
        <v>3000000</v>
      </c>
      <c r="G319" s="282">
        <f t="shared" si="98"/>
        <v>473468</v>
      </c>
      <c r="H319" s="387">
        <f t="shared" si="98"/>
        <v>-2.1928000000000003E-2</v>
      </c>
      <c r="I319" s="367">
        <f>I320+I338</f>
        <v>473468</v>
      </c>
      <c r="J319" s="282">
        <f t="shared" si="98"/>
        <v>0</v>
      </c>
      <c r="K319" s="282">
        <f t="shared" si="98"/>
        <v>0</v>
      </c>
      <c r="L319" s="282">
        <f t="shared" si="98"/>
        <v>0</v>
      </c>
      <c r="M319" s="282">
        <f t="shared" si="98"/>
        <v>0</v>
      </c>
      <c r="N319" s="269"/>
    </row>
    <row r="320" spans="1:14" ht="21.6" x14ac:dyDescent="0.25">
      <c r="A320" s="238" t="s">
        <v>53</v>
      </c>
      <c r="B320" s="252" t="s">
        <v>636</v>
      </c>
      <c r="C320" s="279">
        <f t="shared" ref="C320:M320" si="99">C321+C331</f>
        <v>0</v>
      </c>
      <c r="D320" s="279">
        <f t="shared" si="99"/>
        <v>0</v>
      </c>
      <c r="E320" s="361">
        <f t="shared" si="99"/>
        <v>0</v>
      </c>
      <c r="F320" s="383">
        <f t="shared" si="99"/>
        <v>2500000</v>
      </c>
      <c r="G320" s="279">
        <f>G321+G331</f>
        <v>605540</v>
      </c>
      <c r="H320" s="384">
        <f>G320/F320</f>
        <v>0.24221599999999999</v>
      </c>
      <c r="I320" s="371">
        <f>I321+I331</f>
        <v>605540</v>
      </c>
      <c r="J320" s="279">
        <f t="shared" si="99"/>
        <v>0</v>
      </c>
      <c r="K320" s="279">
        <f t="shared" si="99"/>
        <v>0</v>
      </c>
      <c r="L320" s="279">
        <f t="shared" si="99"/>
        <v>0</v>
      </c>
      <c r="M320" s="279">
        <f t="shared" si="99"/>
        <v>0</v>
      </c>
      <c r="N320" s="265"/>
    </row>
    <row r="321" spans="1:14" ht="20.399999999999999" x14ac:dyDescent="0.2">
      <c r="A321" s="234" t="s">
        <v>637</v>
      </c>
      <c r="B321" s="248" t="s">
        <v>638</v>
      </c>
      <c r="C321" s="278">
        <f t="shared" ref="C321:M321" si="100">SUM(C322:C328)</f>
        <v>0</v>
      </c>
      <c r="D321" s="278">
        <f>SUM(D322:D330)</f>
        <v>0</v>
      </c>
      <c r="E321" s="358">
        <v>0</v>
      </c>
      <c r="F321" s="377">
        <f t="shared" si="100"/>
        <v>0</v>
      </c>
      <c r="G321" s="278">
        <f t="shared" si="100"/>
        <v>255000</v>
      </c>
      <c r="H321" s="378">
        <v>0</v>
      </c>
      <c r="I321" s="368">
        <f>D321+G321</f>
        <v>255000</v>
      </c>
      <c r="J321" s="278">
        <f t="shared" si="100"/>
        <v>0</v>
      </c>
      <c r="K321" s="278">
        <f t="shared" si="100"/>
        <v>0</v>
      </c>
      <c r="L321" s="278">
        <f t="shared" si="100"/>
        <v>0</v>
      </c>
      <c r="M321" s="278">
        <f t="shared" si="100"/>
        <v>0</v>
      </c>
      <c r="N321" s="173"/>
    </row>
    <row r="322" spans="1:14" ht="20.399999999999999" hidden="1" x14ac:dyDescent="0.2">
      <c r="A322" s="231"/>
      <c r="B322" s="258" t="s">
        <v>872</v>
      </c>
      <c r="C322" s="224">
        <v>0</v>
      </c>
      <c r="D322" s="277">
        <v>0</v>
      </c>
      <c r="E322" s="360">
        <v>0</v>
      </c>
      <c r="F322" s="379"/>
      <c r="G322" s="224">
        <v>0</v>
      </c>
      <c r="H322" s="380">
        <v>0</v>
      </c>
      <c r="I322" s="369"/>
      <c r="J322" s="224">
        <v>0</v>
      </c>
      <c r="K322" s="224">
        <v>0</v>
      </c>
      <c r="L322" s="224">
        <v>0</v>
      </c>
      <c r="M322" s="224">
        <v>0</v>
      </c>
      <c r="N322" s="264"/>
    </row>
    <row r="323" spans="1:14" ht="23.4" customHeight="1" x14ac:dyDescent="0.2">
      <c r="A323" s="231"/>
      <c r="B323" s="259" t="s">
        <v>848</v>
      </c>
      <c r="C323" s="224">
        <v>0</v>
      </c>
      <c r="D323" s="224">
        <v>0</v>
      </c>
      <c r="E323" s="360">
        <v>0</v>
      </c>
      <c r="F323" s="379">
        <v>0</v>
      </c>
      <c r="G323" s="224">
        <v>255000</v>
      </c>
      <c r="H323" s="380">
        <v>0</v>
      </c>
      <c r="I323" s="369">
        <f>G323+D323</f>
        <v>255000</v>
      </c>
      <c r="J323" s="224">
        <v>0</v>
      </c>
      <c r="K323" s="224">
        <v>0</v>
      </c>
      <c r="L323" s="224">
        <v>0</v>
      </c>
      <c r="M323" s="224">
        <v>0</v>
      </c>
      <c r="N323" s="264" t="s">
        <v>958</v>
      </c>
    </row>
    <row r="324" spans="1:14" hidden="1" x14ac:dyDescent="0.2">
      <c r="A324" s="231"/>
      <c r="B324" s="259" t="s">
        <v>639</v>
      </c>
      <c r="C324" s="224"/>
      <c r="D324" s="224"/>
      <c r="E324" s="360"/>
      <c r="F324" s="379"/>
      <c r="G324" s="224"/>
      <c r="H324" s="380"/>
      <c r="I324" s="369"/>
      <c r="J324" s="224"/>
      <c r="K324" s="224"/>
      <c r="L324" s="224"/>
      <c r="M324" s="224"/>
      <c r="N324" s="264"/>
    </row>
    <row r="325" spans="1:14" hidden="1" x14ac:dyDescent="0.2">
      <c r="A325" s="231"/>
      <c r="B325" s="290" t="s">
        <v>640</v>
      </c>
      <c r="C325" s="224"/>
      <c r="D325" s="224"/>
      <c r="E325" s="360"/>
      <c r="F325" s="379">
        <v>0</v>
      </c>
      <c r="G325" s="224"/>
      <c r="H325" s="380"/>
      <c r="I325" s="369"/>
      <c r="J325" s="224"/>
      <c r="K325" s="224"/>
      <c r="L325" s="224"/>
      <c r="M325" s="224"/>
      <c r="N325" s="264"/>
    </row>
    <row r="326" spans="1:14" hidden="1" x14ac:dyDescent="0.2">
      <c r="A326" s="231"/>
      <c r="B326" s="290" t="s">
        <v>873</v>
      </c>
      <c r="C326" s="224"/>
      <c r="D326" s="224"/>
      <c r="E326" s="360"/>
      <c r="F326" s="379"/>
      <c r="G326" s="224"/>
      <c r="H326" s="380"/>
      <c r="I326" s="369"/>
      <c r="J326" s="224"/>
      <c r="K326" s="224"/>
      <c r="L326" s="224"/>
      <c r="M326" s="224"/>
      <c r="N326" s="264"/>
    </row>
    <row r="327" spans="1:14" hidden="1" x14ac:dyDescent="0.2">
      <c r="A327" s="231"/>
      <c r="B327" s="290" t="s">
        <v>874</v>
      </c>
      <c r="C327" s="224"/>
      <c r="D327" s="224"/>
      <c r="E327" s="360"/>
      <c r="F327" s="379"/>
      <c r="G327" s="405"/>
      <c r="H327" s="380"/>
      <c r="I327" s="369"/>
      <c r="J327" s="224"/>
      <c r="K327" s="224"/>
      <c r="L327" s="224"/>
      <c r="M327" s="224"/>
      <c r="N327" s="264"/>
    </row>
    <row r="328" spans="1:14" hidden="1" x14ac:dyDescent="0.2">
      <c r="A328" s="231"/>
      <c r="B328" s="290" t="s">
        <v>641</v>
      </c>
      <c r="C328" s="277"/>
      <c r="D328" s="224"/>
      <c r="E328" s="360"/>
      <c r="F328" s="379"/>
      <c r="G328" s="405"/>
      <c r="H328" s="380"/>
      <c r="I328" s="369"/>
      <c r="J328" s="224"/>
      <c r="K328" s="224"/>
      <c r="L328" s="224"/>
      <c r="M328" s="224"/>
      <c r="N328" s="264"/>
    </row>
    <row r="329" spans="1:14" hidden="1" x14ac:dyDescent="0.2">
      <c r="A329" s="231"/>
      <c r="B329" s="290" t="s">
        <v>738</v>
      </c>
      <c r="C329" s="277"/>
      <c r="D329" s="224">
        <v>0</v>
      </c>
      <c r="E329" s="360"/>
      <c r="F329" s="379"/>
      <c r="G329" s="405"/>
      <c r="H329" s="380"/>
      <c r="I329" s="369"/>
      <c r="J329" s="224"/>
      <c r="K329" s="224"/>
      <c r="L329" s="224"/>
      <c r="M329" s="224"/>
      <c r="N329" s="264"/>
    </row>
    <row r="330" spans="1:14" hidden="1" x14ac:dyDescent="0.2">
      <c r="A330" s="231"/>
      <c r="B330" s="290" t="s">
        <v>736</v>
      </c>
      <c r="C330" s="277"/>
      <c r="D330" s="224"/>
      <c r="E330" s="360"/>
      <c r="F330" s="379"/>
      <c r="G330" s="405"/>
      <c r="H330" s="380"/>
      <c r="I330" s="369"/>
      <c r="J330" s="224"/>
      <c r="K330" s="224"/>
      <c r="L330" s="224"/>
      <c r="M330" s="224"/>
      <c r="N330" s="264"/>
    </row>
    <row r="331" spans="1:14" x14ac:dyDescent="0.2">
      <c r="A331" s="234" t="s">
        <v>642</v>
      </c>
      <c r="B331" s="248" t="s">
        <v>643</v>
      </c>
      <c r="C331" s="278">
        <f t="shared" ref="C331:M331" si="101">SUM(C332:C336)</f>
        <v>0</v>
      </c>
      <c r="D331" s="278">
        <f>SUM(D332:D337)</f>
        <v>0</v>
      </c>
      <c r="E331" s="358">
        <f>SUM(E332:E336)</f>
        <v>0</v>
      </c>
      <c r="F331" s="377">
        <f t="shared" si="101"/>
        <v>2500000</v>
      </c>
      <c r="G331" s="278">
        <f t="shared" si="101"/>
        <v>350540</v>
      </c>
      <c r="H331" s="378">
        <f t="shared" si="101"/>
        <v>0.14021600000000001</v>
      </c>
      <c r="I331" s="368">
        <f>D331+G331</f>
        <v>350540</v>
      </c>
      <c r="J331" s="278">
        <f t="shared" si="101"/>
        <v>0</v>
      </c>
      <c r="K331" s="278">
        <f t="shared" si="101"/>
        <v>0</v>
      </c>
      <c r="L331" s="278">
        <f t="shared" si="101"/>
        <v>0</v>
      </c>
      <c r="M331" s="278">
        <f t="shared" si="101"/>
        <v>0</v>
      </c>
      <c r="N331" s="173"/>
    </row>
    <row r="332" spans="1:14" hidden="1" x14ac:dyDescent="0.2">
      <c r="A332" s="231"/>
      <c r="B332" s="246" t="s">
        <v>644</v>
      </c>
      <c r="C332" s="224"/>
      <c r="D332" s="224"/>
      <c r="E332" s="360"/>
      <c r="F332" s="379"/>
      <c r="G332" s="224"/>
      <c r="H332" s="380"/>
      <c r="I332" s="369"/>
      <c r="J332" s="224"/>
      <c r="K332" s="224"/>
      <c r="L332" s="224"/>
      <c r="M332" s="224"/>
      <c r="N332" s="264"/>
    </row>
    <row r="333" spans="1:14" ht="27.6" customHeight="1" x14ac:dyDescent="0.2">
      <c r="A333" s="231"/>
      <c r="B333" s="246" t="s">
        <v>849</v>
      </c>
      <c r="C333" s="224">
        <v>0</v>
      </c>
      <c r="D333" s="224">
        <v>0</v>
      </c>
      <c r="E333" s="360">
        <v>0</v>
      </c>
      <c r="F333" s="379">
        <v>2500000</v>
      </c>
      <c r="G333" s="224">
        <v>350540</v>
      </c>
      <c r="H333" s="380">
        <f>G333/F333</f>
        <v>0.14021600000000001</v>
      </c>
      <c r="I333" s="369">
        <f>G333+D333</f>
        <v>350540</v>
      </c>
      <c r="J333" s="224">
        <v>0</v>
      </c>
      <c r="K333" s="224">
        <v>0</v>
      </c>
      <c r="L333" s="224">
        <v>0</v>
      </c>
      <c r="M333" s="224">
        <v>0</v>
      </c>
      <c r="N333" s="264" t="s">
        <v>946</v>
      </c>
    </row>
    <row r="334" spans="1:14" hidden="1" x14ac:dyDescent="0.2">
      <c r="A334" s="231"/>
      <c r="B334" s="246" t="s">
        <v>875</v>
      </c>
      <c r="C334" s="224"/>
      <c r="D334" s="224"/>
      <c r="E334" s="360"/>
      <c r="F334" s="379"/>
      <c r="G334" s="405"/>
      <c r="H334" s="380"/>
      <c r="I334" s="369"/>
      <c r="J334" s="224"/>
      <c r="K334" s="224"/>
      <c r="L334" s="224"/>
      <c r="M334" s="224"/>
      <c r="N334" s="264"/>
    </row>
    <row r="335" spans="1:14" hidden="1" x14ac:dyDescent="0.2">
      <c r="A335" s="231"/>
      <c r="B335" s="246" t="s">
        <v>645</v>
      </c>
      <c r="C335" s="224"/>
      <c r="D335" s="224"/>
      <c r="E335" s="360"/>
      <c r="F335" s="379"/>
      <c r="G335" s="405"/>
      <c r="H335" s="380"/>
      <c r="I335" s="369"/>
      <c r="J335" s="224"/>
      <c r="K335" s="224"/>
      <c r="L335" s="224"/>
      <c r="M335" s="224"/>
      <c r="N335" s="264"/>
    </row>
    <row r="336" spans="1:14" hidden="1" x14ac:dyDescent="0.2">
      <c r="A336" s="231"/>
      <c r="B336" s="246" t="s">
        <v>646</v>
      </c>
      <c r="C336" s="224"/>
      <c r="D336" s="224"/>
      <c r="E336" s="360"/>
      <c r="F336" s="379"/>
      <c r="G336" s="405"/>
      <c r="H336" s="380"/>
      <c r="I336" s="369"/>
      <c r="J336" s="224"/>
      <c r="K336" s="224"/>
      <c r="L336" s="224"/>
      <c r="M336" s="224"/>
      <c r="N336" s="264"/>
    </row>
    <row r="337" spans="1:14" hidden="1" x14ac:dyDescent="0.2">
      <c r="A337" s="231"/>
      <c r="B337" s="246"/>
      <c r="C337" s="224"/>
      <c r="D337" s="224">
        <v>0</v>
      </c>
      <c r="E337" s="360"/>
      <c r="F337" s="379"/>
      <c r="G337" s="405"/>
      <c r="H337" s="380"/>
      <c r="I337" s="369"/>
      <c r="J337" s="224"/>
      <c r="K337" s="224"/>
      <c r="L337" s="224"/>
      <c r="M337" s="224"/>
      <c r="N337" s="264"/>
    </row>
    <row r="338" spans="1:14" ht="25.95" customHeight="1" x14ac:dyDescent="0.25">
      <c r="A338" s="238" t="s">
        <v>54</v>
      </c>
      <c r="B338" s="252" t="s">
        <v>647</v>
      </c>
      <c r="C338" s="279">
        <f t="shared" ref="C338:L338" si="102">C339</f>
        <v>0</v>
      </c>
      <c r="D338" s="279">
        <f t="shared" si="102"/>
        <v>0</v>
      </c>
      <c r="E338" s="361">
        <f t="shared" si="102"/>
        <v>0</v>
      </c>
      <c r="F338" s="383">
        <f t="shared" si="102"/>
        <v>500000</v>
      </c>
      <c r="G338" s="279">
        <f t="shared" si="102"/>
        <v>-132072</v>
      </c>
      <c r="H338" s="384">
        <f t="shared" si="102"/>
        <v>-0.26414399999999999</v>
      </c>
      <c r="I338" s="371">
        <f t="shared" si="102"/>
        <v>-132072</v>
      </c>
      <c r="J338" s="279">
        <f t="shared" si="102"/>
        <v>0</v>
      </c>
      <c r="K338" s="279">
        <f>K339</f>
        <v>0</v>
      </c>
      <c r="L338" s="279">
        <f t="shared" si="102"/>
        <v>0</v>
      </c>
      <c r="M338" s="279">
        <f>M339</f>
        <v>0</v>
      </c>
      <c r="N338" s="265"/>
    </row>
    <row r="339" spans="1:14" ht="30.6" x14ac:dyDescent="0.2">
      <c r="A339" s="234" t="s">
        <v>648</v>
      </c>
      <c r="B339" s="248" t="s">
        <v>649</v>
      </c>
      <c r="C339" s="280">
        <f t="shared" ref="C339:M339" si="103">SUM(C340:C341)</f>
        <v>0</v>
      </c>
      <c r="D339" s="280">
        <f t="shared" si="103"/>
        <v>0</v>
      </c>
      <c r="E339" s="365">
        <f t="shared" si="103"/>
        <v>0</v>
      </c>
      <c r="F339" s="389">
        <f t="shared" si="103"/>
        <v>500000</v>
      </c>
      <c r="G339" s="280">
        <f t="shared" si="103"/>
        <v>-132072</v>
      </c>
      <c r="H339" s="390">
        <f t="shared" si="103"/>
        <v>-0.26414399999999999</v>
      </c>
      <c r="I339" s="373">
        <f t="shared" si="103"/>
        <v>-132072</v>
      </c>
      <c r="J339" s="280">
        <f t="shared" si="103"/>
        <v>0</v>
      </c>
      <c r="K339" s="280">
        <f t="shared" si="103"/>
        <v>0</v>
      </c>
      <c r="L339" s="280">
        <f t="shared" si="103"/>
        <v>0</v>
      </c>
      <c r="M339" s="280">
        <f t="shared" si="103"/>
        <v>0</v>
      </c>
      <c r="N339" s="173"/>
    </row>
    <row r="340" spans="1:14" ht="33.6" hidden="1" customHeight="1" x14ac:dyDescent="0.2">
      <c r="A340" s="231"/>
      <c r="B340" s="246" t="s">
        <v>876</v>
      </c>
      <c r="C340" s="224"/>
      <c r="D340" s="224"/>
      <c r="E340" s="360"/>
      <c r="F340" s="379"/>
      <c r="G340" s="224"/>
      <c r="H340" s="380"/>
      <c r="I340" s="369"/>
      <c r="J340" s="224"/>
      <c r="K340" s="224"/>
      <c r="L340" s="224"/>
      <c r="M340" s="224"/>
      <c r="N340" s="264"/>
    </row>
    <row r="341" spans="1:14" x14ac:dyDescent="0.2">
      <c r="A341" s="231"/>
      <c r="B341" s="246" t="s">
        <v>650</v>
      </c>
      <c r="C341" s="224">
        <v>0</v>
      </c>
      <c r="D341" s="224">
        <v>0</v>
      </c>
      <c r="E341" s="360">
        <v>0</v>
      </c>
      <c r="F341" s="379">
        <v>500000</v>
      </c>
      <c r="G341" s="224">
        <v>-132072</v>
      </c>
      <c r="H341" s="380">
        <f>G341/F341</f>
        <v>-0.26414399999999999</v>
      </c>
      <c r="I341" s="369">
        <f>G341+D341</f>
        <v>-132072</v>
      </c>
      <c r="J341" s="224">
        <v>0</v>
      </c>
      <c r="K341" s="224">
        <v>0</v>
      </c>
      <c r="L341" s="224">
        <v>0</v>
      </c>
      <c r="M341" s="224">
        <v>0</v>
      </c>
      <c r="N341" s="264" t="s">
        <v>926</v>
      </c>
    </row>
    <row r="342" spans="1:14" ht="31.95" customHeight="1" x14ac:dyDescent="0.2">
      <c r="A342" s="240" t="s">
        <v>56</v>
      </c>
      <c r="B342" s="251" t="s">
        <v>651</v>
      </c>
      <c r="C342" s="282">
        <f t="shared" ref="C342:L342" si="104">C343+C348+C352+C354</f>
        <v>2434815</v>
      </c>
      <c r="D342" s="282">
        <f t="shared" si="104"/>
        <v>667633</v>
      </c>
      <c r="E342" s="357">
        <v>1</v>
      </c>
      <c r="F342" s="386">
        <f t="shared" si="104"/>
        <v>19506511</v>
      </c>
      <c r="G342" s="282">
        <f>G343+G348+G352+G354</f>
        <v>-18350031</v>
      </c>
      <c r="H342" s="387">
        <f>G342/F342</f>
        <v>-0.94071312906752003</v>
      </c>
      <c r="I342" s="367">
        <f>D342+G342</f>
        <v>-17682398</v>
      </c>
      <c r="J342" s="282">
        <f t="shared" si="104"/>
        <v>0</v>
      </c>
      <c r="K342" s="282">
        <f>K343</f>
        <v>15834433</v>
      </c>
      <c r="L342" s="282">
        <f t="shared" si="104"/>
        <v>0</v>
      </c>
      <c r="M342" s="282"/>
      <c r="N342" s="270"/>
    </row>
    <row r="343" spans="1:14" ht="21.6" x14ac:dyDescent="0.25">
      <c r="A343" s="238" t="s">
        <v>58</v>
      </c>
      <c r="B343" s="253" t="s">
        <v>652</v>
      </c>
      <c r="C343" s="279">
        <f t="shared" ref="C343:L343" si="105">SUM(C344:C346)</f>
        <v>0</v>
      </c>
      <c r="D343" s="279">
        <f>SUM(D344:D347)</f>
        <v>0</v>
      </c>
      <c r="E343" s="361">
        <v>0</v>
      </c>
      <c r="F343" s="383">
        <f>F347</f>
        <v>18006511</v>
      </c>
      <c r="G343" s="383">
        <f>G347</f>
        <v>-18006511</v>
      </c>
      <c r="H343" s="384">
        <f>G343/F343</f>
        <v>-1</v>
      </c>
      <c r="I343" s="371">
        <f>G343+D343</f>
        <v>-18006511</v>
      </c>
      <c r="J343" s="279">
        <f t="shared" si="105"/>
        <v>0</v>
      </c>
      <c r="K343" s="279">
        <f>K347</f>
        <v>15834433</v>
      </c>
      <c r="L343" s="279">
        <f t="shared" si="105"/>
        <v>0</v>
      </c>
      <c r="M343" s="279">
        <v>0</v>
      </c>
      <c r="N343" s="265"/>
    </row>
    <row r="344" spans="1:14" ht="30.6" hidden="1" x14ac:dyDescent="0.2">
      <c r="A344" s="234" t="s">
        <v>653</v>
      </c>
      <c r="B344" s="254" t="s">
        <v>654</v>
      </c>
      <c r="C344" s="278"/>
      <c r="D344" s="278"/>
      <c r="E344" s="358"/>
      <c r="F344" s="377"/>
      <c r="G344" s="404"/>
      <c r="H344" s="378"/>
      <c r="I344" s="368"/>
      <c r="J344" s="278"/>
      <c r="K344" s="278"/>
      <c r="L344" s="278"/>
      <c r="M344" s="278"/>
      <c r="N344" s="173"/>
    </row>
    <row r="345" spans="1:14" hidden="1" x14ac:dyDescent="0.2">
      <c r="A345" s="234" t="s">
        <v>655</v>
      </c>
      <c r="B345" s="254" t="s">
        <v>656</v>
      </c>
      <c r="C345" s="278"/>
      <c r="D345" s="278"/>
      <c r="E345" s="358"/>
      <c r="F345" s="377"/>
      <c r="G345" s="404"/>
      <c r="H345" s="378"/>
      <c r="I345" s="368"/>
      <c r="J345" s="278"/>
      <c r="K345" s="278"/>
      <c r="L345" s="278"/>
      <c r="M345" s="278"/>
      <c r="N345" s="173"/>
    </row>
    <row r="346" spans="1:14" hidden="1" x14ac:dyDescent="0.2">
      <c r="A346" s="234" t="s">
        <v>657</v>
      </c>
      <c r="B346" s="248" t="s">
        <v>658</v>
      </c>
      <c r="C346" s="278"/>
      <c r="D346" s="278"/>
      <c r="E346" s="358"/>
      <c r="F346" s="377"/>
      <c r="G346" s="404"/>
      <c r="H346" s="378"/>
      <c r="I346" s="368"/>
      <c r="J346" s="278"/>
      <c r="K346" s="278"/>
      <c r="L346" s="278"/>
      <c r="M346" s="278"/>
      <c r="N346" s="173"/>
    </row>
    <row r="347" spans="1:14" ht="20.399999999999999" x14ac:dyDescent="0.2">
      <c r="A347" s="234" t="s">
        <v>731</v>
      </c>
      <c r="B347" s="248" t="s">
        <v>861</v>
      </c>
      <c r="C347" s="278">
        <v>0</v>
      </c>
      <c r="D347" s="278">
        <v>0</v>
      </c>
      <c r="E347" s="358">
        <v>0</v>
      </c>
      <c r="F347" s="377">
        <f>18006511</f>
        <v>18006511</v>
      </c>
      <c r="G347" s="278">
        <f>-3828789-14177722</f>
        <v>-18006511</v>
      </c>
      <c r="H347" s="378">
        <f>G347/F347</f>
        <v>-1</v>
      </c>
      <c r="I347" s="368">
        <f>D347+G347</f>
        <v>-18006511</v>
      </c>
      <c r="J347" s="278">
        <v>0</v>
      </c>
      <c r="K347" s="278">
        <v>15834433</v>
      </c>
      <c r="L347" s="278">
        <v>0</v>
      </c>
      <c r="M347" s="278">
        <v>0</v>
      </c>
      <c r="N347" s="173" t="s">
        <v>974</v>
      </c>
    </row>
    <row r="348" spans="1:14" s="176" customFormat="1" ht="32.4" hidden="1" x14ac:dyDescent="0.25">
      <c r="A348" s="238" t="s">
        <v>59</v>
      </c>
      <c r="B348" s="252" t="s">
        <v>659</v>
      </c>
      <c r="C348" s="279">
        <f t="shared" ref="C348:L348" si="106">SUM(C349:C351)</f>
        <v>0</v>
      </c>
      <c r="D348" s="279">
        <f t="shared" si="106"/>
        <v>0</v>
      </c>
      <c r="E348" s="361">
        <f t="shared" si="106"/>
        <v>0</v>
      </c>
      <c r="F348" s="383">
        <f t="shared" si="106"/>
        <v>0</v>
      </c>
      <c r="G348" s="407">
        <f t="shared" si="106"/>
        <v>0</v>
      </c>
      <c r="H348" s="384">
        <f t="shared" si="106"/>
        <v>0</v>
      </c>
      <c r="I348" s="371">
        <f t="shared" si="106"/>
        <v>0</v>
      </c>
      <c r="J348" s="279">
        <f t="shared" si="106"/>
        <v>0</v>
      </c>
      <c r="K348" s="279"/>
      <c r="L348" s="279">
        <f t="shared" si="106"/>
        <v>0</v>
      </c>
      <c r="M348" s="279"/>
      <c r="N348" s="265"/>
    </row>
    <row r="349" spans="1:14" ht="30.6" hidden="1" x14ac:dyDescent="0.2">
      <c r="A349" s="234" t="s">
        <v>660</v>
      </c>
      <c r="B349" s="254" t="s">
        <v>661</v>
      </c>
      <c r="C349" s="278"/>
      <c r="D349" s="278"/>
      <c r="E349" s="358"/>
      <c r="F349" s="377"/>
      <c r="G349" s="404"/>
      <c r="H349" s="378"/>
      <c r="I349" s="368"/>
      <c r="J349" s="278"/>
      <c r="K349" s="278"/>
      <c r="L349" s="278"/>
      <c r="M349" s="278"/>
      <c r="N349" s="173"/>
    </row>
    <row r="350" spans="1:14" ht="20.399999999999999" hidden="1" x14ac:dyDescent="0.2">
      <c r="A350" s="234" t="s">
        <v>662</v>
      </c>
      <c r="B350" s="254" t="s">
        <v>663</v>
      </c>
      <c r="C350" s="278"/>
      <c r="D350" s="278"/>
      <c r="E350" s="358"/>
      <c r="F350" s="377"/>
      <c r="G350" s="404"/>
      <c r="H350" s="378"/>
      <c r="I350" s="368"/>
      <c r="J350" s="278"/>
      <c r="K350" s="278"/>
      <c r="L350" s="278"/>
      <c r="M350" s="278"/>
      <c r="N350" s="173"/>
    </row>
    <row r="351" spans="1:14" hidden="1" x14ac:dyDescent="0.2">
      <c r="A351" s="234" t="s">
        <v>664</v>
      </c>
      <c r="B351" s="248" t="s">
        <v>665</v>
      </c>
      <c r="C351" s="278"/>
      <c r="D351" s="278"/>
      <c r="E351" s="358"/>
      <c r="F351" s="377"/>
      <c r="G351" s="404"/>
      <c r="H351" s="378"/>
      <c r="I351" s="368"/>
      <c r="J351" s="278"/>
      <c r="K351" s="278"/>
      <c r="L351" s="278"/>
      <c r="M351" s="278"/>
      <c r="N351" s="173"/>
    </row>
    <row r="352" spans="1:14" ht="21.6" x14ac:dyDescent="0.25">
      <c r="A352" s="238" t="s">
        <v>727</v>
      </c>
      <c r="B352" s="252" t="s">
        <v>666</v>
      </c>
      <c r="C352" s="279">
        <f t="shared" ref="C352:L352" si="107">C353</f>
        <v>0</v>
      </c>
      <c r="D352" s="279">
        <f t="shared" si="107"/>
        <v>0</v>
      </c>
      <c r="E352" s="361">
        <f t="shared" si="107"/>
        <v>0</v>
      </c>
      <c r="F352" s="383">
        <f t="shared" si="107"/>
        <v>1500000</v>
      </c>
      <c r="G352" s="279">
        <f t="shared" si="107"/>
        <v>-343520</v>
      </c>
      <c r="H352" s="384">
        <v>1</v>
      </c>
      <c r="I352" s="371">
        <f>D352+G352</f>
        <v>-343520</v>
      </c>
      <c r="J352" s="279">
        <f t="shared" si="107"/>
        <v>0</v>
      </c>
      <c r="K352" s="279">
        <v>0</v>
      </c>
      <c r="L352" s="279">
        <f t="shared" si="107"/>
        <v>0</v>
      </c>
      <c r="M352" s="279">
        <v>0</v>
      </c>
      <c r="N352" s="265"/>
    </row>
    <row r="353" spans="1:14" ht="30.6" x14ac:dyDescent="0.2">
      <c r="A353" s="234" t="s">
        <v>667</v>
      </c>
      <c r="B353" s="248" t="s">
        <v>668</v>
      </c>
      <c r="C353" s="278">
        <v>0</v>
      </c>
      <c r="D353" s="278">
        <v>0</v>
      </c>
      <c r="E353" s="358">
        <v>0</v>
      </c>
      <c r="F353" s="377">
        <v>1500000</v>
      </c>
      <c r="G353" s="278">
        <v>-343520</v>
      </c>
      <c r="H353" s="378">
        <f>G353/F353</f>
        <v>-0.22901333333333335</v>
      </c>
      <c r="I353" s="368">
        <f>D353+G353</f>
        <v>-343520</v>
      </c>
      <c r="J353" s="278">
        <v>0</v>
      </c>
      <c r="K353" s="278">
        <v>0</v>
      </c>
      <c r="L353" s="278">
        <v>0</v>
      </c>
      <c r="M353" s="278">
        <v>0</v>
      </c>
      <c r="N353" s="173" t="s">
        <v>927</v>
      </c>
    </row>
    <row r="354" spans="1:14" ht="32.4" x14ac:dyDescent="0.25">
      <c r="A354" s="238" t="s">
        <v>728</v>
      </c>
      <c r="B354" s="252" t="s">
        <v>669</v>
      </c>
      <c r="C354" s="279">
        <f>C355</f>
        <v>2434815</v>
      </c>
      <c r="D354" s="279">
        <f>D355+D357</f>
        <v>667633</v>
      </c>
      <c r="E354" s="361">
        <f t="shared" ref="E354:L354" si="108">E355</f>
        <v>0.27420276283824441</v>
      </c>
      <c r="F354" s="383">
        <f t="shared" si="108"/>
        <v>0</v>
      </c>
      <c r="G354" s="279">
        <f t="shared" si="108"/>
        <v>0</v>
      </c>
      <c r="H354" s="384">
        <f t="shared" si="108"/>
        <v>0</v>
      </c>
      <c r="I354" s="371">
        <f>D354+G354</f>
        <v>667633</v>
      </c>
      <c r="J354" s="279">
        <f t="shared" si="108"/>
        <v>0</v>
      </c>
      <c r="K354" s="279">
        <v>0</v>
      </c>
      <c r="L354" s="279">
        <f t="shared" si="108"/>
        <v>0</v>
      </c>
      <c r="M354" s="279">
        <v>0</v>
      </c>
      <c r="N354" s="291"/>
    </row>
    <row r="355" spans="1:14" ht="20.399999999999999" x14ac:dyDescent="0.2">
      <c r="A355" s="234" t="s">
        <v>670</v>
      </c>
      <c r="B355" s="248" t="s">
        <v>862</v>
      </c>
      <c r="C355" s="278">
        <v>2434815</v>
      </c>
      <c r="D355" s="278">
        <v>667633</v>
      </c>
      <c r="E355" s="358">
        <f>D355/C355</f>
        <v>0.27420276283824441</v>
      </c>
      <c r="F355" s="377">
        <v>0</v>
      </c>
      <c r="G355" s="278">
        <v>0</v>
      </c>
      <c r="H355" s="378">
        <v>0</v>
      </c>
      <c r="I355" s="368">
        <f>D355+G355</f>
        <v>667633</v>
      </c>
      <c r="J355" s="278">
        <v>0</v>
      </c>
      <c r="K355" s="278">
        <v>0</v>
      </c>
      <c r="L355" s="278">
        <v>0</v>
      </c>
      <c r="M355" s="278">
        <v>0</v>
      </c>
      <c r="N355" s="173" t="s">
        <v>961</v>
      </c>
    </row>
    <row r="356" spans="1:14" hidden="1" x14ac:dyDescent="0.2">
      <c r="A356" s="234"/>
      <c r="B356" s="248"/>
      <c r="C356" s="278"/>
      <c r="D356" s="278"/>
      <c r="E356" s="358"/>
      <c r="F356" s="377"/>
      <c r="G356" s="278"/>
      <c r="H356" s="378"/>
      <c r="I356" s="368"/>
      <c r="J356" s="278"/>
      <c r="K356" s="278"/>
      <c r="L356" s="278"/>
      <c r="M356" s="278"/>
      <c r="N356" s="173"/>
    </row>
    <row r="357" spans="1:14" hidden="1" x14ac:dyDescent="0.2">
      <c r="A357" s="234"/>
      <c r="B357" s="248"/>
      <c r="C357" s="278"/>
      <c r="D357" s="278"/>
      <c r="E357" s="358"/>
      <c r="F357" s="377"/>
      <c r="G357" s="278"/>
      <c r="H357" s="378"/>
      <c r="I357" s="368"/>
      <c r="J357" s="278"/>
      <c r="K357" s="278"/>
      <c r="L357" s="278"/>
      <c r="M357" s="278"/>
      <c r="N357" s="173"/>
    </row>
    <row r="358" spans="1:14" ht="21.6" hidden="1" customHeight="1" x14ac:dyDescent="0.2">
      <c r="A358" s="240" t="s">
        <v>62</v>
      </c>
      <c r="B358" s="251" t="s">
        <v>671</v>
      </c>
      <c r="C358" s="282">
        <f>C359+C364</f>
        <v>0</v>
      </c>
      <c r="D358" s="282">
        <f>D359+D364</f>
        <v>0</v>
      </c>
      <c r="E358" s="357">
        <f t="shared" ref="E358:L358" si="109">E359+E364</f>
        <v>0</v>
      </c>
      <c r="F358" s="386">
        <f t="shared" si="109"/>
        <v>0</v>
      </c>
      <c r="G358" s="282">
        <f t="shared" si="109"/>
        <v>0</v>
      </c>
      <c r="H358" s="387">
        <f t="shared" si="109"/>
        <v>0</v>
      </c>
      <c r="I358" s="367">
        <f t="shared" si="109"/>
        <v>0</v>
      </c>
      <c r="J358" s="282">
        <f t="shared" si="109"/>
        <v>0</v>
      </c>
      <c r="K358" s="282"/>
      <c r="L358" s="282">
        <f t="shared" si="109"/>
        <v>0</v>
      </c>
      <c r="M358" s="282"/>
      <c r="N358" s="270"/>
    </row>
    <row r="359" spans="1:14" ht="21.6" hidden="1" x14ac:dyDescent="0.25">
      <c r="A359" s="238" t="s">
        <v>64</v>
      </c>
      <c r="B359" s="252" t="s">
        <v>672</v>
      </c>
      <c r="C359" s="279">
        <f>SUM(C360:C363)</f>
        <v>0</v>
      </c>
      <c r="D359" s="279">
        <f t="shared" ref="D359" si="110">SUM(D360:D363)</f>
        <v>0</v>
      </c>
      <c r="E359" s="361">
        <f>SUM(E360:E363)</f>
        <v>0</v>
      </c>
      <c r="F359" s="383">
        <f t="shared" ref="F359:L359" si="111">SUM(F360:F363)</f>
        <v>0</v>
      </c>
      <c r="G359" s="279">
        <f t="shared" si="111"/>
        <v>0</v>
      </c>
      <c r="H359" s="384">
        <f t="shared" si="111"/>
        <v>0</v>
      </c>
      <c r="I359" s="371">
        <f t="shared" si="111"/>
        <v>0</v>
      </c>
      <c r="J359" s="279">
        <f t="shared" si="111"/>
        <v>0</v>
      </c>
      <c r="K359" s="279"/>
      <c r="L359" s="279">
        <f t="shared" si="111"/>
        <v>0</v>
      </c>
      <c r="M359" s="279"/>
      <c r="N359" s="265"/>
    </row>
    <row r="360" spans="1:14" hidden="1" x14ac:dyDescent="0.2">
      <c r="A360" s="234" t="s">
        <v>673</v>
      </c>
      <c r="B360" s="247" t="s">
        <v>674</v>
      </c>
      <c r="C360" s="278">
        <v>0</v>
      </c>
      <c r="D360" s="278">
        <v>0</v>
      </c>
      <c r="E360" s="358"/>
      <c r="F360" s="377"/>
      <c r="G360" s="278"/>
      <c r="H360" s="378"/>
      <c r="I360" s="368"/>
      <c r="J360" s="278">
        <v>0</v>
      </c>
      <c r="K360" s="278"/>
      <c r="L360" s="278">
        <v>0</v>
      </c>
      <c r="M360" s="278"/>
      <c r="N360" s="173"/>
    </row>
    <row r="361" spans="1:14" hidden="1" x14ac:dyDescent="0.2">
      <c r="A361" s="234" t="s">
        <v>675</v>
      </c>
      <c r="B361" s="247" t="s">
        <v>676</v>
      </c>
      <c r="C361" s="278">
        <v>0</v>
      </c>
      <c r="D361" s="278">
        <v>0</v>
      </c>
      <c r="E361" s="358"/>
      <c r="F361" s="377"/>
      <c r="G361" s="278"/>
      <c r="H361" s="378"/>
      <c r="I361" s="368"/>
      <c r="J361" s="278">
        <v>0</v>
      </c>
      <c r="K361" s="278"/>
      <c r="L361" s="278">
        <v>0</v>
      </c>
      <c r="M361" s="278"/>
      <c r="N361" s="173"/>
    </row>
    <row r="362" spans="1:14" hidden="1" x14ac:dyDescent="0.2">
      <c r="A362" s="234" t="s">
        <v>677</v>
      </c>
      <c r="B362" s="247" t="s">
        <v>678</v>
      </c>
      <c r="C362" s="278">
        <v>0</v>
      </c>
      <c r="D362" s="278">
        <v>0</v>
      </c>
      <c r="E362" s="358"/>
      <c r="F362" s="377"/>
      <c r="G362" s="278"/>
      <c r="H362" s="378"/>
      <c r="I362" s="368"/>
      <c r="J362" s="278">
        <v>0</v>
      </c>
      <c r="K362" s="278"/>
      <c r="L362" s="278">
        <v>0</v>
      </c>
      <c r="M362" s="278"/>
      <c r="N362" s="173"/>
    </row>
    <row r="363" spans="1:14" ht="20.399999999999999" hidden="1" x14ac:dyDescent="0.2">
      <c r="A363" s="234" t="s">
        <v>679</v>
      </c>
      <c r="B363" s="247" t="s">
        <v>680</v>
      </c>
      <c r="C363" s="278">
        <v>0</v>
      </c>
      <c r="D363" s="278">
        <v>0</v>
      </c>
      <c r="E363" s="358">
        <v>0</v>
      </c>
      <c r="F363" s="377">
        <v>0</v>
      </c>
      <c r="G363" s="278">
        <v>0</v>
      </c>
      <c r="H363" s="378"/>
      <c r="I363" s="368"/>
      <c r="J363" s="278">
        <v>0</v>
      </c>
      <c r="K363" s="278"/>
      <c r="L363" s="278">
        <v>0</v>
      </c>
      <c r="M363" s="278"/>
      <c r="N363" s="173"/>
    </row>
    <row r="364" spans="1:14" ht="32.4" hidden="1" x14ac:dyDescent="0.25">
      <c r="A364" s="238" t="s">
        <v>65</v>
      </c>
      <c r="B364" s="252" t="s">
        <v>681</v>
      </c>
      <c r="C364" s="279">
        <f t="shared" ref="C364:L364" si="112">C365</f>
        <v>0</v>
      </c>
      <c r="D364" s="279">
        <f t="shared" si="112"/>
        <v>0</v>
      </c>
      <c r="E364" s="361">
        <f t="shared" si="112"/>
        <v>0</v>
      </c>
      <c r="F364" s="383">
        <f t="shared" si="112"/>
        <v>0</v>
      </c>
      <c r="G364" s="279">
        <f t="shared" si="112"/>
        <v>0</v>
      </c>
      <c r="H364" s="384">
        <f t="shared" si="112"/>
        <v>0</v>
      </c>
      <c r="I364" s="371">
        <f t="shared" si="112"/>
        <v>0</v>
      </c>
      <c r="J364" s="279">
        <f t="shared" si="112"/>
        <v>0</v>
      </c>
      <c r="K364" s="279"/>
      <c r="L364" s="279">
        <f t="shared" si="112"/>
        <v>0</v>
      </c>
      <c r="M364" s="279"/>
      <c r="N364" s="292"/>
    </row>
    <row r="365" spans="1:14" ht="20.399999999999999" hidden="1" x14ac:dyDescent="0.2">
      <c r="A365" s="234" t="s">
        <v>682</v>
      </c>
      <c r="B365" s="247" t="s">
        <v>683</v>
      </c>
      <c r="C365" s="278">
        <v>0</v>
      </c>
      <c r="D365" s="278">
        <v>0</v>
      </c>
      <c r="E365" s="358"/>
      <c r="F365" s="377"/>
      <c r="G365" s="278"/>
      <c r="H365" s="378"/>
      <c r="I365" s="368"/>
      <c r="J365" s="278">
        <v>0</v>
      </c>
      <c r="K365" s="278"/>
      <c r="L365" s="278">
        <v>0</v>
      </c>
      <c r="M365" s="278"/>
      <c r="N365" s="173"/>
    </row>
    <row r="366" spans="1:14" ht="28.95" hidden="1" customHeight="1" x14ac:dyDescent="0.2">
      <c r="A366" s="240" t="s">
        <v>67</v>
      </c>
      <c r="B366" s="251" t="s">
        <v>684</v>
      </c>
      <c r="C366" s="282">
        <f t="shared" ref="C366:L366" si="113">C367+C372</f>
        <v>0</v>
      </c>
      <c r="D366" s="282">
        <f t="shared" si="113"/>
        <v>0</v>
      </c>
      <c r="E366" s="357">
        <f t="shared" si="113"/>
        <v>0</v>
      </c>
      <c r="F366" s="386">
        <f t="shared" si="113"/>
        <v>0</v>
      </c>
      <c r="G366" s="282">
        <f t="shared" si="113"/>
        <v>0</v>
      </c>
      <c r="H366" s="387">
        <f t="shared" si="113"/>
        <v>0</v>
      </c>
      <c r="I366" s="367">
        <f t="shared" si="113"/>
        <v>0</v>
      </c>
      <c r="J366" s="282">
        <f t="shared" si="113"/>
        <v>0</v>
      </c>
      <c r="K366" s="282"/>
      <c r="L366" s="282">
        <f t="shared" si="113"/>
        <v>0</v>
      </c>
      <c r="M366" s="282"/>
      <c r="N366" s="270"/>
    </row>
    <row r="367" spans="1:14" ht="25.95" hidden="1" customHeight="1" x14ac:dyDescent="0.25">
      <c r="A367" s="238" t="s">
        <v>69</v>
      </c>
      <c r="B367" s="252" t="s">
        <v>685</v>
      </c>
      <c r="C367" s="279">
        <f t="shared" ref="C367:L367" si="114">C368+C369+C370+C371</f>
        <v>0</v>
      </c>
      <c r="D367" s="279">
        <f t="shared" si="114"/>
        <v>0</v>
      </c>
      <c r="E367" s="361">
        <f t="shared" si="114"/>
        <v>0</v>
      </c>
      <c r="F367" s="383">
        <f t="shared" si="114"/>
        <v>0</v>
      </c>
      <c r="G367" s="279">
        <f t="shared" si="114"/>
        <v>0</v>
      </c>
      <c r="H367" s="384">
        <f t="shared" si="114"/>
        <v>0</v>
      </c>
      <c r="I367" s="371">
        <f t="shared" si="114"/>
        <v>0</v>
      </c>
      <c r="J367" s="279">
        <f t="shared" si="114"/>
        <v>0</v>
      </c>
      <c r="K367" s="279"/>
      <c r="L367" s="279">
        <f t="shared" si="114"/>
        <v>0</v>
      </c>
      <c r="M367" s="279"/>
      <c r="N367" s="265"/>
    </row>
    <row r="368" spans="1:14" ht="20.399999999999999" hidden="1" x14ac:dyDescent="0.2">
      <c r="A368" s="234" t="s">
        <v>686</v>
      </c>
      <c r="B368" s="248" t="s">
        <v>687</v>
      </c>
      <c r="C368" s="278"/>
      <c r="D368" s="278"/>
      <c r="E368" s="358"/>
      <c r="F368" s="377"/>
      <c r="G368" s="278"/>
      <c r="H368" s="378"/>
      <c r="I368" s="368"/>
      <c r="J368" s="278"/>
      <c r="K368" s="278"/>
      <c r="L368" s="278"/>
      <c r="M368" s="278"/>
      <c r="N368" s="173"/>
    </row>
    <row r="369" spans="1:14" hidden="1" x14ac:dyDescent="0.2">
      <c r="A369" s="234" t="s">
        <v>688</v>
      </c>
      <c r="B369" s="248" t="s">
        <v>689</v>
      </c>
      <c r="C369" s="278"/>
      <c r="D369" s="278"/>
      <c r="E369" s="358">
        <v>0</v>
      </c>
      <c r="F369" s="377">
        <v>0</v>
      </c>
      <c r="G369" s="278">
        <v>0</v>
      </c>
      <c r="H369" s="378"/>
      <c r="I369" s="368">
        <v>0</v>
      </c>
      <c r="J369" s="278">
        <v>0</v>
      </c>
      <c r="K369" s="278"/>
      <c r="L369" s="278">
        <v>0</v>
      </c>
      <c r="M369" s="278"/>
      <c r="N369" s="173"/>
    </row>
    <row r="370" spans="1:14" ht="30.6" hidden="1" x14ac:dyDescent="0.2">
      <c r="A370" s="234" t="s">
        <v>690</v>
      </c>
      <c r="B370" s="248" t="s">
        <v>691</v>
      </c>
      <c r="C370" s="278"/>
      <c r="D370" s="278"/>
      <c r="E370" s="358"/>
      <c r="F370" s="377"/>
      <c r="G370" s="278"/>
      <c r="H370" s="378"/>
      <c r="I370" s="368"/>
      <c r="J370" s="278"/>
      <c r="K370" s="278"/>
      <c r="L370" s="278"/>
      <c r="M370" s="278"/>
      <c r="N370" s="173"/>
    </row>
    <row r="371" spans="1:14" ht="20.399999999999999" hidden="1" x14ac:dyDescent="0.2">
      <c r="A371" s="234" t="s">
        <v>692</v>
      </c>
      <c r="B371" s="248" t="s">
        <v>693</v>
      </c>
      <c r="C371" s="278"/>
      <c r="D371" s="278"/>
      <c r="E371" s="358"/>
      <c r="F371" s="377"/>
      <c r="G371" s="278"/>
      <c r="H371" s="378"/>
      <c r="I371" s="368"/>
      <c r="J371" s="278"/>
      <c r="K371" s="278"/>
      <c r="L371" s="278"/>
      <c r="M371" s="278"/>
      <c r="N371" s="173"/>
    </row>
    <row r="372" spans="1:14" ht="24" hidden="1" customHeight="1" x14ac:dyDescent="0.25">
      <c r="A372" s="238" t="s">
        <v>71</v>
      </c>
      <c r="B372" s="252" t="s">
        <v>694</v>
      </c>
      <c r="C372" s="279">
        <f t="shared" ref="C372:L372" si="115">C373</f>
        <v>0</v>
      </c>
      <c r="D372" s="279">
        <f t="shared" si="115"/>
        <v>0</v>
      </c>
      <c r="E372" s="361">
        <f t="shared" si="115"/>
        <v>0</v>
      </c>
      <c r="F372" s="383">
        <f t="shared" si="115"/>
        <v>0</v>
      </c>
      <c r="G372" s="279">
        <f t="shared" si="115"/>
        <v>0</v>
      </c>
      <c r="H372" s="384">
        <f t="shared" si="115"/>
        <v>0</v>
      </c>
      <c r="I372" s="371">
        <f t="shared" si="115"/>
        <v>0</v>
      </c>
      <c r="J372" s="279">
        <f t="shared" si="115"/>
        <v>0</v>
      </c>
      <c r="K372" s="279"/>
      <c r="L372" s="279">
        <f t="shared" si="115"/>
        <v>0</v>
      </c>
      <c r="M372" s="279"/>
      <c r="N372" s="265"/>
    </row>
    <row r="373" spans="1:14" ht="20.399999999999999" hidden="1" x14ac:dyDescent="0.2">
      <c r="A373" s="234" t="s">
        <v>695</v>
      </c>
      <c r="B373" s="248" t="s">
        <v>696</v>
      </c>
      <c r="C373" s="278"/>
      <c r="D373" s="278"/>
      <c r="E373" s="358"/>
      <c r="F373" s="377"/>
      <c r="G373" s="278"/>
      <c r="H373" s="378"/>
      <c r="I373" s="368"/>
      <c r="J373" s="278"/>
      <c r="K373" s="278"/>
      <c r="L373" s="278"/>
      <c r="M373" s="278"/>
      <c r="N373" s="173"/>
    </row>
    <row r="374" spans="1:14" ht="10.8" thickBot="1" x14ac:dyDescent="0.25">
      <c r="A374" s="452" t="s">
        <v>697</v>
      </c>
      <c r="B374" s="452"/>
      <c r="C374" s="283">
        <f>C8+C124+C166+C247+C288+C298+C319+C342+C358+C366</f>
        <v>1064101637</v>
      </c>
      <c r="D374" s="283">
        <f>D8+D124+D166+D247+D288+D298+D319+D342</f>
        <v>111821165</v>
      </c>
      <c r="E374" s="366">
        <v>1</v>
      </c>
      <c r="F374" s="391">
        <f>F8+F124+F166+F247+F288+F298+F319+F342</f>
        <v>592156246</v>
      </c>
      <c r="G374" s="392">
        <f>G8+G124+G166+G247+G288+G298+G319+G342</f>
        <v>29437164.200000003</v>
      </c>
      <c r="H374" s="393">
        <f>G374/F374</f>
        <v>4.9711819133627787E-2</v>
      </c>
      <c r="I374" s="374">
        <f>I8+I124+I166+I247+I288+I298+I319+I342</f>
        <v>141258329.19999999</v>
      </c>
      <c r="J374" s="283">
        <f>J8+J124+J166+J247+J288+J298+J319+J342</f>
        <v>30570230</v>
      </c>
      <c r="K374" s="283">
        <f>K8+K124+K166+K247+K288+K298+K319+K342</f>
        <v>31134433</v>
      </c>
      <c r="L374" s="283">
        <f>L8+L124+L166+L247+L288+L298+L319+L342</f>
        <v>-1879603</v>
      </c>
      <c r="M374" s="283">
        <f>M8+M124+M166+M247+M288+M298+M319+M342</f>
        <v>0</v>
      </c>
      <c r="N374" s="271"/>
    </row>
    <row r="375" spans="1:14" x14ac:dyDescent="0.2">
      <c r="A375" s="444" t="s">
        <v>864</v>
      </c>
      <c r="B375" s="445"/>
      <c r="C375" s="445"/>
      <c r="D375" s="445"/>
      <c r="E375" s="445"/>
      <c r="F375" s="455"/>
      <c r="G375" s="455"/>
      <c r="H375" s="455"/>
      <c r="I375" s="445"/>
      <c r="J375" s="445"/>
      <c r="K375" s="445"/>
      <c r="L375" s="445"/>
      <c r="M375" s="447"/>
      <c r="N375" s="293"/>
    </row>
    <row r="376" spans="1:14" hidden="1" x14ac:dyDescent="0.2">
      <c r="A376" s="241" t="s">
        <v>698</v>
      </c>
      <c r="B376" s="260" t="s">
        <v>699</v>
      </c>
      <c r="C376" s="224"/>
      <c r="D376" s="224"/>
      <c r="E376" s="239"/>
      <c r="F376" s="224"/>
      <c r="G376" s="405"/>
      <c r="H376" s="243" t="e">
        <f t="shared" ref="H376:H389" si="116">G376/F376*100%</f>
        <v>#DIV/0!</v>
      </c>
      <c r="I376" s="224"/>
      <c r="J376" s="224"/>
      <c r="K376" s="224"/>
      <c r="L376" s="224"/>
      <c r="M376" s="224"/>
      <c r="N376" s="264"/>
    </row>
    <row r="377" spans="1:14" hidden="1" x14ac:dyDescent="0.2">
      <c r="A377" s="241" t="s">
        <v>700</v>
      </c>
      <c r="B377" s="260" t="s">
        <v>701</v>
      </c>
      <c r="C377" s="224"/>
      <c r="D377" s="224"/>
      <c r="E377" s="239"/>
      <c r="F377" s="396"/>
      <c r="G377" s="408"/>
      <c r="H377" s="397" t="e">
        <f t="shared" si="116"/>
        <v>#DIV/0!</v>
      </c>
      <c r="I377" s="224"/>
      <c r="J377" s="224"/>
      <c r="K377" s="224"/>
      <c r="L377" s="224"/>
      <c r="M377" s="224"/>
      <c r="N377" s="264"/>
    </row>
    <row r="378" spans="1:14" ht="20.399999999999999" x14ac:dyDescent="0.2">
      <c r="A378" s="241" t="s">
        <v>702</v>
      </c>
      <c r="B378" s="260" t="s">
        <v>850</v>
      </c>
      <c r="C378" s="224">
        <v>10000000</v>
      </c>
      <c r="D378" s="224">
        <f>-10000000</f>
        <v>-10000000</v>
      </c>
      <c r="E378" s="360">
        <f>D378/C378</f>
        <v>-1</v>
      </c>
      <c r="F378" s="224">
        <v>3800000</v>
      </c>
      <c r="G378" s="224">
        <f>45000000-3800000</f>
        <v>41200000</v>
      </c>
      <c r="H378" s="413">
        <f>G378/F378</f>
        <v>10.842105263157896</v>
      </c>
      <c r="I378" s="370">
        <f>D378+G378</f>
        <v>31200000</v>
      </c>
      <c r="J378" s="224">
        <v>0</v>
      </c>
      <c r="K378" s="224">
        <v>0</v>
      </c>
      <c r="L378" s="224">
        <v>0</v>
      </c>
      <c r="M378" s="224">
        <v>0</v>
      </c>
      <c r="N378" s="264" t="s">
        <v>1007</v>
      </c>
    </row>
    <row r="379" spans="1:14" ht="20.399999999999999" customHeight="1" x14ac:dyDescent="0.2">
      <c r="A379" s="453" t="s">
        <v>703</v>
      </c>
      <c r="B379" s="290" t="s">
        <v>704</v>
      </c>
      <c r="C379" s="224">
        <v>0</v>
      </c>
      <c r="D379" s="224">
        <v>0</v>
      </c>
      <c r="E379" s="360">
        <v>0</v>
      </c>
      <c r="F379" s="224">
        <v>532662</v>
      </c>
      <c r="G379" s="224">
        <v>-500000</v>
      </c>
      <c r="H379" s="413">
        <f t="shared" ref="H379" si="117">G379/F379*100%</f>
        <v>-0.93868156542047299</v>
      </c>
      <c r="I379" s="369">
        <f t="shared" ref="I379" si="118">D379+G379</f>
        <v>-500000</v>
      </c>
      <c r="J379" s="224">
        <v>0</v>
      </c>
      <c r="K379" s="224">
        <v>0</v>
      </c>
      <c r="L379" s="224">
        <v>0</v>
      </c>
      <c r="M379" s="224">
        <v>0</v>
      </c>
      <c r="N379" s="264" t="s">
        <v>928</v>
      </c>
    </row>
    <row r="380" spans="1:14" ht="30.6" x14ac:dyDescent="0.2">
      <c r="A380" s="453"/>
      <c r="B380" s="290" t="s">
        <v>843</v>
      </c>
      <c r="C380" s="224">
        <v>0</v>
      </c>
      <c r="D380" s="224">
        <v>0</v>
      </c>
      <c r="E380" s="360">
        <v>0</v>
      </c>
      <c r="F380" s="224">
        <v>4237249</v>
      </c>
      <c r="G380" s="224">
        <f>6000+1000000+6314155.41-3599687.61-180000</f>
        <v>3540467.8000000003</v>
      </c>
      <c r="H380" s="413">
        <f>G380/F380</f>
        <v>0.83555811801477808</v>
      </c>
      <c r="I380" s="369">
        <f t="shared" ref="I380:I390" si="119">D380+G380</f>
        <v>3540467.8000000003</v>
      </c>
      <c r="J380" s="224">
        <v>0</v>
      </c>
      <c r="K380" s="224">
        <v>0</v>
      </c>
      <c r="L380" s="224">
        <v>0</v>
      </c>
      <c r="M380" s="224">
        <v>0</v>
      </c>
      <c r="N380" s="264" t="s">
        <v>1010</v>
      </c>
    </row>
    <row r="381" spans="1:14" x14ac:dyDescent="0.2">
      <c r="A381" s="453"/>
      <c r="B381" s="290" t="s">
        <v>877</v>
      </c>
      <c r="C381" s="224">
        <v>0</v>
      </c>
      <c r="D381" s="224">
        <v>0</v>
      </c>
      <c r="E381" s="360">
        <v>0</v>
      </c>
      <c r="F381" s="224">
        <v>216000</v>
      </c>
      <c r="G381" s="224">
        <v>-108000</v>
      </c>
      <c r="H381" s="413">
        <f t="shared" ref="H381" si="120">G381/F381*100%</f>
        <v>-0.5</v>
      </c>
      <c r="I381" s="369">
        <f t="shared" ref="I381" si="121">D381+G381</f>
        <v>-108000</v>
      </c>
      <c r="J381" s="224">
        <v>0</v>
      </c>
      <c r="K381" s="224">
        <v>0</v>
      </c>
      <c r="L381" s="224">
        <v>0</v>
      </c>
      <c r="M381" s="224">
        <v>0</v>
      </c>
      <c r="N381" s="264" t="s">
        <v>929</v>
      </c>
    </row>
    <row r="382" spans="1:14" hidden="1" x14ac:dyDescent="0.2">
      <c r="A382" s="453"/>
      <c r="B382" s="290" t="s">
        <v>705</v>
      </c>
      <c r="C382" s="224">
        <v>0</v>
      </c>
      <c r="D382" s="224">
        <v>0</v>
      </c>
      <c r="E382" s="360">
        <v>0</v>
      </c>
      <c r="F382" s="224">
        <v>0</v>
      </c>
      <c r="G382" s="224">
        <v>0</v>
      </c>
      <c r="H382" s="413">
        <v>0</v>
      </c>
      <c r="I382" s="369">
        <f t="shared" si="119"/>
        <v>0</v>
      </c>
      <c r="J382" s="224">
        <v>0</v>
      </c>
      <c r="K382" s="224">
        <v>0</v>
      </c>
      <c r="L382" s="224">
        <v>0</v>
      </c>
      <c r="M382" s="224">
        <v>0</v>
      </c>
      <c r="N382" s="264"/>
    </row>
    <row r="383" spans="1:14" x14ac:dyDescent="0.2">
      <c r="A383" s="453"/>
      <c r="B383" s="290" t="s">
        <v>706</v>
      </c>
      <c r="C383" s="224">
        <v>0</v>
      </c>
      <c r="D383" s="224">
        <v>0</v>
      </c>
      <c r="E383" s="360">
        <v>0</v>
      </c>
      <c r="F383" s="224">
        <v>0</v>
      </c>
      <c r="G383" s="224">
        <v>144000</v>
      </c>
      <c r="H383" s="413">
        <v>1</v>
      </c>
      <c r="I383" s="369">
        <f t="shared" si="119"/>
        <v>144000</v>
      </c>
      <c r="J383" s="224">
        <v>0</v>
      </c>
      <c r="K383" s="224">
        <v>0</v>
      </c>
      <c r="L383" s="224">
        <v>0</v>
      </c>
      <c r="M383" s="224">
        <v>0</v>
      </c>
      <c r="N383" s="264" t="s">
        <v>953</v>
      </c>
    </row>
    <row r="384" spans="1:14" hidden="1" x14ac:dyDescent="0.2">
      <c r="A384" s="453"/>
      <c r="B384" s="290" t="s">
        <v>707</v>
      </c>
      <c r="C384" s="224">
        <v>0</v>
      </c>
      <c r="D384" s="224">
        <v>0</v>
      </c>
      <c r="E384" s="360">
        <v>0</v>
      </c>
      <c r="F384" s="224">
        <v>0</v>
      </c>
      <c r="G384" s="405">
        <v>0</v>
      </c>
      <c r="H384" s="413" t="e">
        <f t="shared" si="116"/>
        <v>#DIV/0!</v>
      </c>
      <c r="I384" s="369">
        <f t="shared" si="119"/>
        <v>0</v>
      </c>
      <c r="J384" s="224">
        <v>0</v>
      </c>
      <c r="K384" s="224">
        <v>0</v>
      </c>
      <c r="L384" s="224">
        <v>0</v>
      </c>
      <c r="M384" s="224">
        <v>0</v>
      </c>
      <c r="N384" s="264"/>
    </row>
    <row r="385" spans="1:14" ht="20.399999999999999" hidden="1" x14ac:dyDescent="0.2">
      <c r="A385" s="241" t="s">
        <v>733</v>
      </c>
      <c r="B385" s="290" t="s">
        <v>851</v>
      </c>
      <c r="C385" s="224">
        <v>0</v>
      </c>
      <c r="D385" s="224">
        <v>0</v>
      </c>
      <c r="E385" s="360">
        <v>0</v>
      </c>
      <c r="F385" s="224">
        <v>0</v>
      </c>
      <c r="G385" s="405">
        <v>0</v>
      </c>
      <c r="H385" s="413">
        <v>0</v>
      </c>
      <c r="I385" s="369">
        <f t="shared" si="119"/>
        <v>0</v>
      </c>
      <c r="J385" s="224">
        <v>0</v>
      </c>
      <c r="K385" s="224">
        <v>0</v>
      </c>
      <c r="L385" s="224">
        <v>0</v>
      </c>
      <c r="M385" s="224">
        <v>0</v>
      </c>
      <c r="N385" s="264"/>
    </row>
    <row r="386" spans="1:14" hidden="1" x14ac:dyDescent="0.2">
      <c r="A386" s="241" t="s">
        <v>708</v>
      </c>
      <c r="B386" s="261" t="s">
        <v>709</v>
      </c>
      <c r="C386" s="224">
        <v>0</v>
      </c>
      <c r="D386" s="224">
        <v>0</v>
      </c>
      <c r="E386" s="360">
        <v>0</v>
      </c>
      <c r="F386" s="224">
        <v>0</v>
      </c>
      <c r="G386" s="405">
        <v>0</v>
      </c>
      <c r="H386" s="413" t="e">
        <f t="shared" si="116"/>
        <v>#DIV/0!</v>
      </c>
      <c r="I386" s="369">
        <f t="shared" si="119"/>
        <v>0</v>
      </c>
      <c r="J386" s="224">
        <v>0</v>
      </c>
      <c r="K386" s="224">
        <v>0</v>
      </c>
      <c r="L386" s="224">
        <v>0</v>
      </c>
      <c r="M386" s="224">
        <v>0</v>
      </c>
      <c r="N386" s="264"/>
    </row>
    <row r="387" spans="1:14" hidden="1" x14ac:dyDescent="0.2">
      <c r="A387" s="241" t="s">
        <v>710</v>
      </c>
      <c r="B387" s="261" t="s">
        <v>711</v>
      </c>
      <c r="C387" s="224">
        <v>0</v>
      </c>
      <c r="D387" s="224">
        <v>0</v>
      </c>
      <c r="E387" s="360">
        <v>0</v>
      </c>
      <c r="F387" s="224">
        <v>0</v>
      </c>
      <c r="G387" s="405">
        <v>0</v>
      </c>
      <c r="H387" s="413" t="e">
        <f t="shared" si="116"/>
        <v>#DIV/0!</v>
      </c>
      <c r="I387" s="369">
        <f t="shared" si="119"/>
        <v>0</v>
      </c>
      <c r="J387" s="224">
        <v>0</v>
      </c>
      <c r="K387" s="224">
        <v>0</v>
      </c>
      <c r="L387" s="224">
        <v>0</v>
      </c>
      <c r="M387" s="224">
        <v>0</v>
      </c>
      <c r="N387" s="264"/>
    </row>
    <row r="388" spans="1:14" hidden="1" x14ac:dyDescent="0.2">
      <c r="A388" s="241" t="s">
        <v>804</v>
      </c>
      <c r="B388" s="261" t="s">
        <v>805</v>
      </c>
      <c r="C388" s="224">
        <v>0</v>
      </c>
      <c r="D388" s="224">
        <v>0</v>
      </c>
      <c r="E388" s="360">
        <v>0</v>
      </c>
      <c r="F388" s="224">
        <v>0</v>
      </c>
      <c r="G388" s="405">
        <v>0</v>
      </c>
      <c r="H388" s="413" t="e">
        <f t="shared" si="116"/>
        <v>#DIV/0!</v>
      </c>
      <c r="I388" s="369">
        <f t="shared" si="119"/>
        <v>0</v>
      </c>
      <c r="J388" s="224">
        <v>0</v>
      </c>
      <c r="K388" s="224">
        <v>0</v>
      </c>
      <c r="L388" s="224">
        <v>0</v>
      </c>
      <c r="M388" s="224">
        <v>0</v>
      </c>
      <c r="N388" s="264"/>
    </row>
    <row r="389" spans="1:14" hidden="1" x14ac:dyDescent="0.2">
      <c r="A389" s="241" t="s">
        <v>806</v>
      </c>
      <c r="B389" s="261" t="s">
        <v>807</v>
      </c>
      <c r="C389" s="224">
        <v>0</v>
      </c>
      <c r="D389" s="224">
        <v>0</v>
      </c>
      <c r="E389" s="360">
        <v>0</v>
      </c>
      <c r="F389" s="224">
        <v>0</v>
      </c>
      <c r="G389" s="405">
        <v>0</v>
      </c>
      <c r="H389" s="413" t="e">
        <f t="shared" si="116"/>
        <v>#DIV/0!</v>
      </c>
      <c r="I389" s="369">
        <f t="shared" si="119"/>
        <v>0</v>
      </c>
      <c r="J389" s="224">
        <v>0</v>
      </c>
      <c r="K389" s="224">
        <v>0</v>
      </c>
      <c r="L389" s="224">
        <v>0</v>
      </c>
      <c r="M389" s="224">
        <v>0</v>
      </c>
      <c r="N389" s="264"/>
    </row>
    <row r="390" spans="1:14" hidden="1" x14ac:dyDescent="0.2">
      <c r="A390" s="241" t="s">
        <v>808</v>
      </c>
      <c r="B390" s="261" t="s">
        <v>878</v>
      </c>
      <c r="C390" s="224">
        <v>0</v>
      </c>
      <c r="D390" s="224">
        <v>0</v>
      </c>
      <c r="E390" s="360">
        <v>0</v>
      </c>
      <c r="F390" s="224">
        <v>0</v>
      </c>
      <c r="H390" s="413" t="e">
        <f>H220/F390*100%</f>
        <v>#DIV/0!</v>
      </c>
      <c r="I390" s="369">
        <f t="shared" si="119"/>
        <v>0</v>
      </c>
      <c r="J390" s="224">
        <v>0</v>
      </c>
      <c r="K390" s="224">
        <v>0</v>
      </c>
      <c r="L390" s="224">
        <v>0</v>
      </c>
      <c r="M390" s="224">
        <v>0</v>
      </c>
      <c r="N390" s="264"/>
    </row>
    <row r="391" spans="1:14" x14ac:dyDescent="0.2">
      <c r="A391" s="432" t="s">
        <v>964</v>
      </c>
      <c r="B391" s="432"/>
      <c r="C391" s="283">
        <f>SUM(C376:C387)</f>
        <v>10000000</v>
      </c>
      <c r="D391" s="283">
        <f>SUM(D376:D390)</f>
        <v>-10000000</v>
      </c>
      <c r="E391" s="366">
        <v>1</v>
      </c>
      <c r="F391" s="283">
        <f>SUM(F376:F390)</f>
        <v>8785911</v>
      </c>
      <c r="G391" s="283">
        <f>SUM(G376:G390)</f>
        <v>44276467.799999997</v>
      </c>
      <c r="H391" s="243">
        <f>G391/F391</f>
        <v>5.0394851256745028</v>
      </c>
      <c r="I391" s="374">
        <f>D391+G391</f>
        <v>34276467.799999997</v>
      </c>
      <c r="J391" s="283">
        <f>SUM(J376:J390)</f>
        <v>0</v>
      </c>
      <c r="K391" s="283">
        <f>SUM(K376:K390)</f>
        <v>0</v>
      </c>
      <c r="L391" s="283">
        <f>SUM(L376:L390)</f>
        <v>0</v>
      </c>
      <c r="M391" s="283">
        <f>SUM(M376:M390)</f>
        <v>0</v>
      </c>
      <c r="N391" s="271"/>
    </row>
    <row r="392" spans="1:14" x14ac:dyDescent="0.2">
      <c r="A392" s="433" t="s">
        <v>865</v>
      </c>
      <c r="B392" s="433"/>
      <c r="C392" s="284">
        <f>C374+C391</f>
        <v>1074101637</v>
      </c>
      <c r="D392" s="284">
        <f>D374+D391</f>
        <v>101821165</v>
      </c>
      <c r="E392" s="394">
        <f>D392/C392</f>
        <v>9.4796583016472952E-2</v>
      </c>
      <c r="F392" s="284">
        <f>F374+F391</f>
        <v>600942157</v>
      </c>
      <c r="G392" s="284">
        <f>G374+G391</f>
        <v>73713632</v>
      </c>
      <c r="H392" s="414">
        <f>G392/F392</f>
        <v>0.12266343963617117</v>
      </c>
      <c r="I392" s="395">
        <f>I374+I391</f>
        <v>175534797</v>
      </c>
      <c r="J392" s="284">
        <f>J374+J391</f>
        <v>30570230</v>
      </c>
      <c r="K392" s="284">
        <f>K374+K391</f>
        <v>31134433</v>
      </c>
      <c r="L392" s="284">
        <f>L374+L391</f>
        <v>-1879603</v>
      </c>
      <c r="M392" s="284">
        <f>M374+M391</f>
        <v>0</v>
      </c>
      <c r="N392" s="272"/>
    </row>
    <row r="393" spans="1:14" x14ac:dyDescent="0.2">
      <c r="A393" s="434" t="s">
        <v>712</v>
      </c>
      <c r="B393" s="434"/>
      <c r="C393" s="294"/>
      <c r="D393" s="294"/>
      <c r="E393" s="295"/>
      <c r="F393" s="398"/>
      <c r="G393" s="398"/>
      <c r="H393" s="399"/>
      <c r="I393" s="294"/>
      <c r="J393" s="294"/>
      <c r="K393" s="412">
        <f>-32134433-800000</f>
        <v>-32934433</v>
      </c>
      <c r="L393" s="412"/>
      <c r="M393" s="412">
        <v>-1800000</v>
      </c>
      <c r="N393" s="273"/>
    </row>
    <row r="394" spans="1:14" x14ac:dyDescent="0.2">
      <c r="A394" s="435" t="s">
        <v>713</v>
      </c>
      <c r="B394" s="435"/>
      <c r="C394" s="296">
        <f t="shared" ref="C394:I394" si="122">C392+C393</f>
        <v>1074101637</v>
      </c>
      <c r="D394" s="296">
        <f>D392+D393</f>
        <v>101821165</v>
      </c>
      <c r="E394" s="297">
        <f>D394/C394</f>
        <v>9.4796583016472952E-2</v>
      </c>
      <c r="F394" s="296">
        <f t="shared" si="122"/>
        <v>600942157</v>
      </c>
      <c r="G394" s="296">
        <f t="shared" si="122"/>
        <v>73713632</v>
      </c>
      <c r="H394" s="297">
        <f>G394/F394</f>
        <v>0.12266343963617117</v>
      </c>
      <c r="I394" s="296">
        <f t="shared" si="122"/>
        <v>175534797</v>
      </c>
      <c r="J394" s="296">
        <f>J392+J393</f>
        <v>30570230</v>
      </c>
      <c r="K394" s="296">
        <f t="shared" ref="K394:M394" si="123">K392+K393</f>
        <v>-1800000</v>
      </c>
      <c r="L394" s="296">
        <f t="shared" si="123"/>
        <v>-1879603</v>
      </c>
      <c r="M394" s="296">
        <f t="shared" si="123"/>
        <v>-1800000</v>
      </c>
      <c r="N394" s="275"/>
    </row>
    <row r="395" spans="1:14" x14ac:dyDescent="0.2">
      <c r="A395" s="435" t="s">
        <v>714</v>
      </c>
      <c r="B395" s="435"/>
      <c r="C395" s="296">
        <f>C396+C398+C399+C400+C402+C403</f>
        <v>0</v>
      </c>
      <c r="D395" s="296">
        <f>SUM(D397:D403)</f>
        <v>101821165</v>
      </c>
      <c r="E395" s="297"/>
      <c r="F395" s="296">
        <f t="shared" ref="F395:M395" si="124">F396+F398+F399+F400+F402+F403</f>
        <v>0</v>
      </c>
      <c r="G395" s="296">
        <f>G396+G398+G399+G400+G402+G403</f>
        <v>31426960</v>
      </c>
      <c r="H395" s="297"/>
      <c r="I395" s="296">
        <f>D395+G395</f>
        <v>133248125</v>
      </c>
      <c r="J395" s="296">
        <f t="shared" si="124"/>
        <v>30570230</v>
      </c>
      <c r="K395" s="296">
        <f t="shared" si="124"/>
        <v>-1800000</v>
      </c>
      <c r="L395" s="296">
        <f>L396+L398+L399+L400+L402+L403</f>
        <v>-1879603</v>
      </c>
      <c r="M395" s="296">
        <f t="shared" si="124"/>
        <v>-1800000</v>
      </c>
      <c r="N395" s="276"/>
    </row>
    <row r="396" spans="1:14" ht="14.4" customHeight="1" x14ac:dyDescent="0.2">
      <c r="A396" s="436" t="s">
        <v>715</v>
      </c>
      <c r="B396" s="437"/>
      <c r="C396" s="224">
        <v>0</v>
      </c>
      <c r="D396" s="224">
        <v>0</v>
      </c>
      <c r="E396" s="239"/>
      <c r="F396" s="224">
        <v>0</v>
      </c>
      <c r="G396" s="277">
        <f>'Доходы 2026'!D6</f>
        <v>31426960</v>
      </c>
      <c r="H396" s="239"/>
      <c r="I396" s="298">
        <f>D396+G396</f>
        <v>31426960</v>
      </c>
      <c r="J396" s="224">
        <v>0</v>
      </c>
      <c r="K396" s="224">
        <v>-1800000</v>
      </c>
      <c r="L396" s="224">
        <v>0</v>
      </c>
      <c r="M396" s="224">
        <v>-1800000</v>
      </c>
      <c r="N396" s="264"/>
    </row>
    <row r="397" spans="1:14" ht="14.4" customHeight="1" x14ac:dyDescent="0.2">
      <c r="A397" s="438" t="s">
        <v>716</v>
      </c>
      <c r="B397" s="439"/>
      <c r="C397" s="224">
        <v>0</v>
      </c>
      <c r="D397" s="224">
        <v>0</v>
      </c>
      <c r="E397" s="239"/>
      <c r="F397" s="224">
        <v>0</v>
      </c>
      <c r="G397" s="224">
        <v>0</v>
      </c>
      <c r="H397" s="239"/>
      <c r="I397" s="298">
        <f t="shared" ref="I397:I398" si="125">D397+G397</f>
        <v>0</v>
      </c>
      <c r="J397" s="224">
        <v>0</v>
      </c>
      <c r="K397" s="224">
        <v>0</v>
      </c>
      <c r="L397" s="224">
        <v>0</v>
      </c>
      <c r="M397" s="224">
        <v>0</v>
      </c>
      <c r="N397" s="264"/>
    </row>
    <row r="398" spans="1:14" ht="14.4" customHeight="1" x14ac:dyDescent="0.2">
      <c r="A398" s="436" t="s">
        <v>717</v>
      </c>
      <c r="B398" s="437"/>
      <c r="C398" s="224">
        <v>0</v>
      </c>
      <c r="D398" s="224">
        <v>0</v>
      </c>
      <c r="E398" s="239"/>
      <c r="F398" s="224">
        <v>0</v>
      </c>
      <c r="G398" s="224">
        <v>0</v>
      </c>
      <c r="H398" s="239"/>
      <c r="I398" s="298">
        <f t="shared" si="125"/>
        <v>0</v>
      </c>
      <c r="J398" s="224">
        <f>D398+G398</f>
        <v>0</v>
      </c>
      <c r="K398" s="224"/>
      <c r="L398" s="224">
        <v>0</v>
      </c>
      <c r="M398" s="224"/>
      <c r="N398" s="264"/>
    </row>
    <row r="399" spans="1:14" ht="14.4" customHeight="1" x14ac:dyDescent="0.2">
      <c r="A399" s="436" t="s">
        <v>718</v>
      </c>
      <c r="B399" s="437"/>
      <c r="C399" s="224">
        <v>0</v>
      </c>
      <c r="D399" s="224">
        <f>6412560+6000000</f>
        <v>12412560</v>
      </c>
      <c r="E399" s="239"/>
      <c r="F399" s="224">
        <v>0</v>
      </c>
      <c r="G399" s="224">
        <v>0</v>
      </c>
      <c r="H399" s="239"/>
      <c r="I399" s="298">
        <f>D399+G399</f>
        <v>12412560</v>
      </c>
      <c r="J399" s="224"/>
      <c r="K399" s="224">
        <v>0</v>
      </c>
      <c r="L399" s="224">
        <v>0</v>
      </c>
      <c r="M399" s="224">
        <v>0</v>
      </c>
      <c r="N399" s="264"/>
    </row>
    <row r="400" spans="1:14" ht="14.4" customHeight="1" x14ac:dyDescent="0.2">
      <c r="A400" s="436" t="s">
        <v>896</v>
      </c>
      <c r="B400" s="437"/>
      <c r="C400" s="224">
        <v>0</v>
      </c>
      <c r="D400" s="224">
        <v>8500000</v>
      </c>
      <c r="E400" s="239"/>
      <c r="F400" s="224">
        <v>0</v>
      </c>
      <c r="G400" s="224">
        <v>0</v>
      </c>
      <c r="H400" s="239"/>
      <c r="I400" s="298">
        <f t="shared" ref="I400:I403" si="126">D400+G400</f>
        <v>8500000</v>
      </c>
      <c r="J400" s="224"/>
      <c r="K400" s="224">
        <v>0</v>
      </c>
      <c r="L400" s="224"/>
      <c r="M400" s="224">
        <v>0</v>
      </c>
      <c r="N400" s="264"/>
    </row>
    <row r="401" spans="1:14" ht="14.4" customHeight="1" x14ac:dyDescent="0.2">
      <c r="A401" s="436" t="s">
        <v>897</v>
      </c>
      <c r="B401" s="437"/>
      <c r="C401" s="224"/>
      <c r="D401" s="224">
        <v>1400000</v>
      </c>
      <c r="E401" s="239"/>
      <c r="F401" s="224"/>
      <c r="G401" s="224"/>
      <c r="H401" s="239"/>
      <c r="I401" s="298">
        <f t="shared" si="126"/>
        <v>1400000</v>
      </c>
      <c r="J401" s="224"/>
      <c r="K401" s="224"/>
      <c r="L401" s="224"/>
      <c r="M401" s="224"/>
      <c r="N401" s="264"/>
    </row>
    <row r="402" spans="1:14" ht="14.4" customHeight="1" x14ac:dyDescent="0.2">
      <c r="A402" s="436" t="s">
        <v>211</v>
      </c>
      <c r="B402" s="437"/>
      <c r="C402" s="224">
        <v>0</v>
      </c>
      <c r="D402" s="224">
        <f>79508605</f>
        <v>79508605</v>
      </c>
      <c r="E402" s="239"/>
      <c r="F402" s="224">
        <v>0</v>
      </c>
      <c r="G402" s="224">
        <v>0</v>
      </c>
      <c r="H402" s="239"/>
      <c r="I402" s="298">
        <f t="shared" si="126"/>
        <v>79508605</v>
      </c>
      <c r="J402" s="224">
        <v>0</v>
      </c>
      <c r="K402" s="224">
        <v>0</v>
      </c>
      <c r="L402" s="224"/>
      <c r="M402" s="224">
        <v>0</v>
      </c>
      <c r="N402" s="264"/>
    </row>
    <row r="403" spans="1:14" ht="14.4" customHeight="1" x14ac:dyDescent="0.2">
      <c r="A403" s="436" t="s">
        <v>719</v>
      </c>
      <c r="B403" s="437"/>
      <c r="C403" s="224">
        <v>0</v>
      </c>
      <c r="D403" s="224"/>
      <c r="E403" s="239"/>
      <c r="F403" s="224">
        <v>0</v>
      </c>
      <c r="G403" s="224">
        <v>0</v>
      </c>
      <c r="H403" s="239"/>
      <c r="I403" s="298">
        <f t="shared" si="126"/>
        <v>0</v>
      </c>
      <c r="J403" s="224">
        <f>'Доходы 2026'!E21</f>
        <v>30570230</v>
      </c>
      <c r="K403" s="224">
        <v>0</v>
      </c>
      <c r="L403" s="224">
        <f>'Доходы 2026'!F21</f>
        <v>-1879603</v>
      </c>
      <c r="M403" s="224">
        <v>0</v>
      </c>
      <c r="N403" s="264"/>
    </row>
    <row r="404" spans="1:14" x14ac:dyDescent="0.2">
      <c r="A404" s="431" t="s">
        <v>720</v>
      </c>
      <c r="B404" s="431"/>
      <c r="C404" s="296">
        <v>0</v>
      </c>
      <c r="D404" s="296">
        <v>0</v>
      </c>
      <c r="E404" s="297"/>
      <c r="F404" s="296">
        <v>0</v>
      </c>
      <c r="G404" s="296">
        <f>G395-G394</f>
        <v>-42286672</v>
      </c>
      <c r="H404" s="297"/>
      <c r="I404" s="296">
        <f>I395-I394</f>
        <v>-42286672</v>
      </c>
      <c r="J404" s="296">
        <f>J395-J394</f>
        <v>0</v>
      </c>
      <c r="K404" s="296">
        <f t="shared" ref="K404:M404" si="127">K395-K394</f>
        <v>0</v>
      </c>
      <c r="L404" s="296">
        <f t="shared" si="127"/>
        <v>0</v>
      </c>
      <c r="M404" s="296">
        <f t="shared" si="127"/>
        <v>0</v>
      </c>
      <c r="N404" s="276"/>
    </row>
    <row r="405" spans="1:14" hidden="1" x14ac:dyDescent="0.2">
      <c r="A405" s="231"/>
      <c r="B405" s="246"/>
      <c r="C405" s="242"/>
      <c r="D405" s="242"/>
      <c r="E405" s="239"/>
      <c r="F405" s="242"/>
      <c r="G405" s="410"/>
      <c r="H405" s="239"/>
      <c r="I405" s="242"/>
      <c r="J405" s="242"/>
      <c r="K405" s="242"/>
      <c r="L405" s="242"/>
      <c r="M405" s="242"/>
      <c r="N405" s="264"/>
    </row>
    <row r="406" spans="1:14" ht="16.2" hidden="1" customHeight="1" x14ac:dyDescent="0.2">
      <c r="A406" s="231"/>
      <c r="B406" s="246"/>
      <c r="C406" s="242"/>
      <c r="D406" s="242"/>
      <c r="E406" s="239"/>
      <c r="F406" s="242"/>
      <c r="G406" s="405"/>
      <c r="H406" s="239"/>
      <c r="I406" s="242"/>
      <c r="J406" s="242"/>
      <c r="K406" s="242"/>
      <c r="L406" s="242"/>
      <c r="M406" s="242"/>
      <c r="N406" s="264"/>
    </row>
    <row r="407" spans="1:14" hidden="1" x14ac:dyDescent="0.2">
      <c r="A407" s="231"/>
      <c r="B407" s="246" t="s">
        <v>811</v>
      </c>
      <c r="C407" s="242"/>
      <c r="D407" s="224">
        <f>D395-D394</f>
        <v>0</v>
      </c>
      <c r="E407" s="239"/>
      <c r="F407" s="224"/>
      <c r="G407" s="405">
        <f t="shared" ref="G407:L407" si="128">G395-G394</f>
        <v>-42286672</v>
      </c>
      <c r="H407" s="239"/>
      <c r="I407" s="224"/>
      <c r="J407" s="224">
        <f t="shared" si="128"/>
        <v>0</v>
      </c>
      <c r="K407" s="224"/>
      <c r="L407" s="224">
        <f t="shared" si="128"/>
        <v>0</v>
      </c>
      <c r="M407" s="242"/>
      <c r="N407" s="264"/>
    </row>
    <row r="408" spans="1:14" hidden="1" x14ac:dyDescent="0.2">
      <c r="A408" s="231"/>
      <c r="B408" s="246"/>
      <c r="C408" s="242"/>
      <c r="D408" s="242"/>
      <c r="E408" s="239"/>
      <c r="F408" s="242"/>
      <c r="G408" s="411"/>
      <c r="H408" s="239"/>
      <c r="I408" s="242"/>
      <c r="J408" s="242"/>
      <c r="K408" s="242"/>
      <c r="L408" s="242"/>
      <c r="M408" s="242"/>
      <c r="N408" s="264"/>
    </row>
    <row r="409" spans="1:14" hidden="1" x14ac:dyDescent="0.2">
      <c r="A409" s="231"/>
      <c r="B409" s="246"/>
      <c r="C409" s="242"/>
      <c r="D409" s="242"/>
      <c r="E409" s="239"/>
      <c r="F409" s="242"/>
      <c r="G409" s="410"/>
      <c r="H409" s="239"/>
      <c r="I409" s="242"/>
      <c r="J409" s="242"/>
      <c r="K409" s="242"/>
      <c r="L409" s="242"/>
      <c r="M409" s="242"/>
      <c r="N409" s="264"/>
    </row>
    <row r="410" spans="1:14" hidden="1" x14ac:dyDescent="0.2">
      <c r="A410" s="231"/>
      <c r="B410" s="246"/>
      <c r="C410" s="242"/>
      <c r="D410" s="242"/>
      <c r="E410" s="239"/>
      <c r="F410" s="242"/>
      <c r="G410" s="410"/>
      <c r="H410" s="239"/>
      <c r="I410" s="242"/>
      <c r="J410" s="242"/>
      <c r="K410" s="242"/>
      <c r="L410" s="242"/>
      <c r="M410" s="242"/>
      <c r="N410" s="264"/>
    </row>
    <row r="411" spans="1:14" hidden="1" x14ac:dyDescent="0.2">
      <c r="A411" s="231"/>
      <c r="B411" s="246"/>
      <c r="C411" s="242"/>
      <c r="D411" s="242"/>
      <c r="E411" s="239"/>
      <c r="F411" s="242"/>
      <c r="G411" s="410"/>
      <c r="H411" s="239"/>
      <c r="I411" s="242"/>
      <c r="J411" s="242"/>
      <c r="K411" s="242"/>
      <c r="L411" s="242"/>
      <c r="M411" s="242"/>
      <c r="N411" s="264"/>
    </row>
    <row r="412" spans="1:14" hidden="1" x14ac:dyDescent="0.2">
      <c r="A412" s="231"/>
      <c r="B412" s="246"/>
      <c r="C412" s="242"/>
      <c r="D412" s="242"/>
      <c r="E412" s="239"/>
      <c r="F412" s="242"/>
      <c r="G412" s="410"/>
      <c r="H412" s="239"/>
      <c r="I412" s="242"/>
      <c r="J412" s="242"/>
      <c r="K412" s="242"/>
      <c r="L412" s="242"/>
      <c r="M412" s="242"/>
      <c r="N412" s="264"/>
    </row>
    <row r="413" spans="1:14" hidden="1" x14ac:dyDescent="0.2">
      <c r="A413" s="231"/>
      <c r="B413" s="246"/>
      <c r="C413" s="242"/>
      <c r="D413" s="242"/>
      <c r="E413" s="239"/>
      <c r="F413" s="242"/>
      <c r="G413" s="410"/>
      <c r="H413" s="239"/>
      <c r="I413" s="242"/>
      <c r="J413" s="242"/>
      <c r="K413" s="242"/>
      <c r="L413" s="242"/>
      <c r="M413" s="242"/>
      <c r="N413" s="264"/>
    </row>
    <row r="414" spans="1:14" hidden="1" x14ac:dyDescent="0.2"/>
    <row r="415" spans="1:14" hidden="1" x14ac:dyDescent="0.2"/>
    <row r="416" spans="1:14" hidden="1" x14ac:dyDescent="0.2"/>
    <row r="417" spans="4:9" hidden="1" x14ac:dyDescent="0.2">
      <c r="I417" s="285">
        <f>I392-D392-G392</f>
        <v>0</v>
      </c>
    </row>
    <row r="418" spans="4:9" hidden="1" x14ac:dyDescent="0.2">
      <c r="D418" s="285">
        <f>'Доходы 2026'!D67-'Расходы 2026'!D395</f>
        <v>31426960</v>
      </c>
    </row>
  </sheetData>
  <sheetProtection selectLockedCells="1" selectUnlockedCells="1"/>
  <mergeCells count="29">
    <mergeCell ref="A401:B401"/>
    <mergeCell ref="A374:B374"/>
    <mergeCell ref="A379:A384"/>
    <mergeCell ref="C5:E5"/>
    <mergeCell ref="F5:H5"/>
    <mergeCell ref="A375:M375"/>
    <mergeCell ref="N4:N6"/>
    <mergeCell ref="A7:M7"/>
    <mergeCell ref="C4:E4"/>
    <mergeCell ref="F4:H4"/>
    <mergeCell ref="J4:K4"/>
    <mergeCell ref="L4:M4"/>
    <mergeCell ref="I4:I6"/>
    <mergeCell ref="B2:L2"/>
    <mergeCell ref="A404:B404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2:B402"/>
    <mergeCell ref="A5:A6"/>
    <mergeCell ref="B5:B6"/>
    <mergeCell ref="A403:B403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Q273"/>
  <sheetViews>
    <sheetView zoomScale="75" zoomScaleNormal="75" workbookViewId="0">
      <selection activeCell="F288" sqref="F288"/>
    </sheetView>
  </sheetViews>
  <sheetFormatPr defaultColWidth="9.109375" defaultRowHeight="13.2" x14ac:dyDescent="0.25"/>
  <cols>
    <col min="1" max="1" width="50.6640625" style="152" customWidth="1"/>
    <col min="2" max="2" width="8.109375" style="15" customWidth="1"/>
    <col min="3" max="3" width="17.88671875" style="141" customWidth="1"/>
    <col min="4" max="4" width="16.88671875" style="141" customWidth="1"/>
    <col min="5" max="5" width="14.109375" style="185" customWidth="1"/>
    <col min="6" max="6" width="18.33203125" style="141" customWidth="1"/>
    <col min="7" max="7" width="17.33203125" style="141" customWidth="1"/>
    <col min="8" max="8" width="16.33203125" style="185" customWidth="1"/>
    <col min="9" max="9" width="16.109375" style="141" customWidth="1"/>
    <col min="10" max="10" width="16.6640625" style="141" customWidth="1"/>
    <col min="11" max="11" width="14.6640625" style="185" customWidth="1"/>
    <col min="12" max="12" width="20.33203125" style="141" customWidth="1"/>
    <col min="13" max="13" width="17.33203125" style="141" customWidth="1"/>
    <col min="14" max="14" width="18.6640625" style="141" customWidth="1"/>
    <col min="15" max="15" width="51.88671875" style="178" customWidth="1"/>
    <col min="16" max="16" width="25.6640625" style="49" customWidth="1"/>
    <col min="17" max="17" width="16" style="50" customWidth="1"/>
    <col min="18" max="16384" width="9.109375" style="48"/>
  </cols>
  <sheetData>
    <row r="1" spans="1:17" ht="22.95" customHeight="1" x14ac:dyDescent="0.25">
      <c r="A1" s="456" t="s">
        <v>368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17" ht="13.8" thickBot="1" x14ac:dyDescent="0.3"/>
    <row r="3" spans="1:17" ht="13.2" customHeight="1" x14ac:dyDescent="0.25">
      <c r="A3" s="465" t="s">
        <v>294</v>
      </c>
      <c r="B3" s="467" t="s">
        <v>103</v>
      </c>
      <c r="C3" s="457" t="s">
        <v>104</v>
      </c>
      <c r="D3" s="458"/>
      <c r="E3" s="459"/>
      <c r="F3" s="457" t="s">
        <v>369</v>
      </c>
      <c r="G3" s="458"/>
      <c r="H3" s="459"/>
      <c r="I3" s="460" t="s">
        <v>105</v>
      </c>
      <c r="J3" s="461"/>
      <c r="K3" s="462"/>
      <c r="L3" s="469" t="s">
        <v>167</v>
      </c>
      <c r="M3" s="51" t="s">
        <v>215</v>
      </c>
      <c r="N3" s="52" t="s">
        <v>216</v>
      </c>
      <c r="O3" s="463" t="s">
        <v>108</v>
      </c>
    </row>
    <row r="4" spans="1:17" ht="13.8" thickBot="1" x14ac:dyDescent="0.3">
      <c r="A4" s="466"/>
      <c r="B4" s="468"/>
      <c r="C4" s="53" t="s">
        <v>109</v>
      </c>
      <c r="D4" s="54" t="s">
        <v>110</v>
      </c>
      <c r="E4" s="55" t="s">
        <v>106</v>
      </c>
      <c r="F4" s="53" t="s">
        <v>109</v>
      </c>
      <c r="G4" s="54" t="s">
        <v>111</v>
      </c>
      <c r="H4" s="55" t="s">
        <v>106</v>
      </c>
      <c r="I4" s="53" t="s">
        <v>109</v>
      </c>
      <c r="J4" s="54" t="s">
        <v>110</v>
      </c>
      <c r="K4" s="55" t="s">
        <v>106</v>
      </c>
      <c r="L4" s="470"/>
      <c r="M4" s="54" t="s">
        <v>111</v>
      </c>
      <c r="N4" s="56" t="s">
        <v>111</v>
      </c>
      <c r="O4" s="464"/>
    </row>
    <row r="5" spans="1:17" ht="49.2" customHeight="1" thickBot="1" x14ac:dyDescent="0.3">
      <c r="A5" s="153" t="s">
        <v>1</v>
      </c>
      <c r="B5" s="16" t="s">
        <v>0</v>
      </c>
      <c r="C5" s="92">
        <f>C6+C14+C17</f>
        <v>0</v>
      </c>
      <c r="D5" s="93">
        <f>D6+D14+D17</f>
        <v>0</v>
      </c>
      <c r="E5" s="94" t="e">
        <f>D5/C5</f>
        <v>#DIV/0!</v>
      </c>
      <c r="F5" s="92">
        <f>F6+F14+F17</f>
        <v>0</v>
      </c>
      <c r="G5" s="93">
        <f>G6+G14+G17</f>
        <v>0</v>
      </c>
      <c r="H5" s="94" t="e">
        <f>G5/F5</f>
        <v>#DIV/0!</v>
      </c>
      <c r="I5" s="92">
        <f>I6+I14+I17</f>
        <v>0</v>
      </c>
      <c r="J5" s="93">
        <f>J6+J14+J17</f>
        <v>0</v>
      </c>
      <c r="K5" s="94">
        <v>1</v>
      </c>
      <c r="L5" s="95">
        <f t="shared" ref="L5:L13" si="0">D5+G5+J5</f>
        <v>0</v>
      </c>
      <c r="M5" s="92">
        <f>M6+M14+M17</f>
        <v>0</v>
      </c>
      <c r="N5" s="96">
        <f>N6+N14+N17</f>
        <v>0</v>
      </c>
      <c r="O5" s="146"/>
    </row>
    <row r="6" spans="1:17" s="71" customFormat="1" ht="13.8" x14ac:dyDescent="0.25">
      <c r="A6" s="154" t="s">
        <v>3</v>
      </c>
      <c r="B6" s="17" t="s">
        <v>2</v>
      </c>
      <c r="C6" s="57">
        <f>SUM(C8:C12)</f>
        <v>0</v>
      </c>
      <c r="D6" s="58">
        <f>SUM(D7:D13)</f>
        <v>0</v>
      </c>
      <c r="E6" s="59">
        <v>1</v>
      </c>
      <c r="F6" s="57">
        <f>SUM(F8:F13)</f>
        <v>0</v>
      </c>
      <c r="G6" s="58">
        <f>SUM(G8:G13)</f>
        <v>0</v>
      </c>
      <c r="H6" s="59" t="e">
        <f>G6/F6</f>
        <v>#DIV/0!</v>
      </c>
      <c r="I6" s="57">
        <f>SUM(I8:I12)</f>
        <v>0</v>
      </c>
      <c r="J6" s="58">
        <f>SUM(J8:J12)</f>
        <v>0</v>
      </c>
      <c r="K6" s="59">
        <v>0</v>
      </c>
      <c r="L6" s="60">
        <f t="shared" si="0"/>
        <v>0</v>
      </c>
      <c r="M6" s="57">
        <f>SUM(M8:M12)</f>
        <v>0</v>
      </c>
      <c r="N6" s="61">
        <f>SUM(N8:N12)</f>
        <v>0</v>
      </c>
      <c r="O6" s="148"/>
      <c r="P6" s="69"/>
      <c r="Q6" s="70"/>
    </row>
    <row r="7" spans="1:17" x14ac:dyDescent="0.25">
      <c r="A7" s="81" t="s">
        <v>301</v>
      </c>
      <c r="B7" s="18"/>
      <c r="C7" s="62">
        <v>0</v>
      </c>
      <c r="D7" s="63">
        <v>0</v>
      </c>
      <c r="E7" s="64">
        <v>1</v>
      </c>
      <c r="F7" s="62">
        <v>0</v>
      </c>
      <c r="G7" s="65">
        <v>0</v>
      </c>
      <c r="H7" s="64">
        <v>0</v>
      </c>
      <c r="I7" s="62">
        <v>0</v>
      </c>
      <c r="J7" s="65">
        <v>0</v>
      </c>
      <c r="K7" s="64">
        <v>0</v>
      </c>
      <c r="L7" s="66">
        <f t="shared" si="0"/>
        <v>0</v>
      </c>
      <c r="M7" s="62">
        <v>0</v>
      </c>
      <c r="N7" s="67">
        <v>0</v>
      </c>
      <c r="O7" s="147"/>
    </row>
    <row r="8" spans="1:17" x14ac:dyDescent="0.25">
      <c r="A8" s="81" t="s">
        <v>200</v>
      </c>
      <c r="B8" s="19"/>
      <c r="C8" s="62">
        <v>0</v>
      </c>
      <c r="D8" s="65">
        <v>0</v>
      </c>
      <c r="E8" s="64">
        <v>0</v>
      </c>
      <c r="F8" s="62">
        <v>0</v>
      </c>
      <c r="G8" s="65">
        <v>0</v>
      </c>
      <c r="H8" s="64">
        <v>0</v>
      </c>
      <c r="I8" s="62">
        <v>0</v>
      </c>
      <c r="J8" s="65">
        <v>0</v>
      </c>
      <c r="K8" s="64">
        <v>0</v>
      </c>
      <c r="L8" s="66">
        <f t="shared" si="0"/>
        <v>0</v>
      </c>
      <c r="M8" s="62">
        <v>0</v>
      </c>
      <c r="N8" s="67">
        <v>0</v>
      </c>
      <c r="O8" s="148"/>
    </row>
    <row r="9" spans="1:17" ht="26.4" x14ac:dyDescent="0.25">
      <c r="A9" s="81" t="s">
        <v>295</v>
      </c>
      <c r="B9" s="19"/>
      <c r="C9" s="62">
        <v>0</v>
      </c>
      <c r="D9" s="65">
        <v>0</v>
      </c>
      <c r="E9" s="64">
        <v>1</v>
      </c>
      <c r="F9" s="62">
        <v>0</v>
      </c>
      <c r="G9" s="65">
        <v>0</v>
      </c>
      <c r="H9" s="64">
        <v>0</v>
      </c>
      <c r="I9" s="62">
        <v>0</v>
      </c>
      <c r="J9" s="65">
        <v>0</v>
      </c>
      <c r="K9" s="64">
        <v>0</v>
      </c>
      <c r="L9" s="66">
        <f t="shared" si="0"/>
        <v>0</v>
      </c>
      <c r="M9" s="62">
        <v>0</v>
      </c>
      <c r="N9" s="67">
        <v>0</v>
      </c>
      <c r="O9" s="148"/>
    </row>
    <row r="10" spans="1:17" ht="26.4" x14ac:dyDescent="0.25">
      <c r="A10" s="81" t="s">
        <v>152</v>
      </c>
      <c r="B10" s="18"/>
      <c r="C10" s="62">
        <v>0</v>
      </c>
      <c r="D10" s="65">
        <v>0</v>
      </c>
      <c r="E10" s="64">
        <v>1</v>
      </c>
      <c r="F10" s="62">
        <v>0</v>
      </c>
      <c r="G10" s="65">
        <v>0</v>
      </c>
      <c r="H10" s="64">
        <v>0</v>
      </c>
      <c r="I10" s="62">
        <v>0</v>
      </c>
      <c r="J10" s="65">
        <v>0</v>
      </c>
      <c r="K10" s="64">
        <v>0</v>
      </c>
      <c r="L10" s="66">
        <f t="shared" si="0"/>
        <v>0</v>
      </c>
      <c r="M10" s="62">
        <v>0</v>
      </c>
      <c r="N10" s="67">
        <v>0</v>
      </c>
      <c r="O10" s="148"/>
    </row>
    <row r="11" spans="1:17" ht="39.6" x14ac:dyDescent="0.25">
      <c r="A11" s="81" t="s">
        <v>245</v>
      </c>
      <c r="B11" s="19"/>
      <c r="C11" s="62">
        <v>0</v>
      </c>
      <c r="D11" s="65">
        <v>0</v>
      </c>
      <c r="E11" s="64">
        <v>1</v>
      </c>
      <c r="F11" s="62">
        <v>0</v>
      </c>
      <c r="G11" s="65">
        <v>0</v>
      </c>
      <c r="H11" s="64">
        <v>0</v>
      </c>
      <c r="I11" s="62">
        <v>0</v>
      </c>
      <c r="J11" s="65">
        <v>0</v>
      </c>
      <c r="K11" s="64">
        <v>0</v>
      </c>
      <c r="L11" s="66">
        <f t="shared" si="0"/>
        <v>0</v>
      </c>
      <c r="M11" s="62">
        <v>0</v>
      </c>
      <c r="N11" s="67">
        <v>0</v>
      </c>
      <c r="O11" s="148"/>
    </row>
    <row r="12" spans="1:17" s="71" customFormat="1" x14ac:dyDescent="0.25">
      <c r="A12" s="81" t="s">
        <v>355</v>
      </c>
      <c r="B12" s="18"/>
      <c r="C12" s="62">
        <v>0</v>
      </c>
      <c r="D12" s="65">
        <v>0</v>
      </c>
      <c r="E12" s="64">
        <v>0</v>
      </c>
      <c r="F12" s="68">
        <v>0</v>
      </c>
      <c r="G12" s="65">
        <v>0</v>
      </c>
      <c r="H12" s="64">
        <v>0</v>
      </c>
      <c r="I12" s="62">
        <v>0</v>
      </c>
      <c r="J12" s="63">
        <v>0</v>
      </c>
      <c r="K12" s="64">
        <v>0</v>
      </c>
      <c r="L12" s="66">
        <f t="shared" si="0"/>
        <v>0</v>
      </c>
      <c r="M12" s="62">
        <v>0</v>
      </c>
      <c r="N12" s="67">
        <v>0</v>
      </c>
      <c r="O12" s="148"/>
      <c r="P12" s="69"/>
      <c r="Q12" s="70"/>
    </row>
    <row r="13" spans="1:17" x14ac:dyDescent="0.25">
      <c r="A13" s="81" t="s">
        <v>202</v>
      </c>
      <c r="B13" s="18"/>
      <c r="C13" s="62">
        <v>0</v>
      </c>
      <c r="D13" s="65">
        <v>0</v>
      </c>
      <c r="E13" s="64">
        <v>0</v>
      </c>
      <c r="F13" s="68"/>
      <c r="G13" s="63"/>
      <c r="H13" s="64" t="e">
        <f>G13/F13</f>
        <v>#DIV/0!</v>
      </c>
      <c r="I13" s="62">
        <v>0</v>
      </c>
      <c r="J13" s="65">
        <v>0</v>
      </c>
      <c r="K13" s="64">
        <v>0</v>
      </c>
      <c r="L13" s="66">
        <f t="shared" si="0"/>
        <v>0</v>
      </c>
      <c r="M13" s="62">
        <v>0</v>
      </c>
      <c r="N13" s="67">
        <v>0</v>
      </c>
      <c r="O13" s="148" t="s">
        <v>344</v>
      </c>
    </row>
    <row r="14" spans="1:17" ht="55.2" x14ac:dyDescent="0.25">
      <c r="A14" s="155" t="s">
        <v>5</v>
      </c>
      <c r="B14" s="17" t="s">
        <v>4</v>
      </c>
      <c r="C14" s="72">
        <f>C15</f>
        <v>0</v>
      </c>
      <c r="D14" s="73">
        <f>D15+D16</f>
        <v>0</v>
      </c>
      <c r="E14" s="74">
        <f t="shared" ref="E14:N14" si="1">E15+E16</f>
        <v>0</v>
      </c>
      <c r="F14" s="72">
        <f t="shared" si="1"/>
        <v>0</v>
      </c>
      <c r="G14" s="73">
        <f t="shared" si="1"/>
        <v>0</v>
      </c>
      <c r="H14" s="74">
        <v>0</v>
      </c>
      <c r="I14" s="72">
        <f t="shared" si="1"/>
        <v>0</v>
      </c>
      <c r="J14" s="73">
        <f t="shared" si="1"/>
        <v>0</v>
      </c>
      <c r="K14" s="74">
        <f t="shared" si="1"/>
        <v>0</v>
      </c>
      <c r="L14" s="75">
        <f t="shared" si="1"/>
        <v>0</v>
      </c>
      <c r="M14" s="72">
        <f t="shared" si="1"/>
        <v>0</v>
      </c>
      <c r="N14" s="74">
        <f t="shared" si="1"/>
        <v>0</v>
      </c>
      <c r="O14" s="148"/>
    </row>
    <row r="15" spans="1:17" ht="26.4" x14ac:dyDescent="0.25">
      <c r="A15" s="81" t="s">
        <v>134</v>
      </c>
      <c r="B15" s="19"/>
      <c r="C15" s="62">
        <v>0</v>
      </c>
      <c r="D15" s="65">
        <v>0</v>
      </c>
      <c r="E15" s="64">
        <v>0</v>
      </c>
      <c r="F15" s="62">
        <v>0</v>
      </c>
      <c r="G15" s="65">
        <v>0</v>
      </c>
      <c r="H15" s="64">
        <v>0</v>
      </c>
      <c r="I15" s="62">
        <v>0</v>
      </c>
      <c r="J15" s="63">
        <v>0</v>
      </c>
      <c r="K15" s="64">
        <v>0</v>
      </c>
      <c r="L15" s="66">
        <f t="shared" ref="L15:L59" si="2">D15+G15+J15</f>
        <v>0</v>
      </c>
      <c r="M15" s="62">
        <v>0</v>
      </c>
      <c r="N15" s="67">
        <v>0</v>
      </c>
      <c r="O15" s="148"/>
    </row>
    <row r="16" spans="1:17" s="71" customFormat="1" x14ac:dyDescent="0.25">
      <c r="A16" s="81" t="s">
        <v>262</v>
      </c>
      <c r="B16" s="18"/>
      <c r="C16" s="62">
        <v>0</v>
      </c>
      <c r="D16" s="65">
        <v>0</v>
      </c>
      <c r="E16" s="64">
        <v>0</v>
      </c>
      <c r="F16" s="62">
        <v>0</v>
      </c>
      <c r="G16" s="65">
        <v>0</v>
      </c>
      <c r="H16" s="64">
        <v>0</v>
      </c>
      <c r="I16" s="62">
        <v>0</v>
      </c>
      <c r="J16" s="63">
        <v>0</v>
      </c>
      <c r="K16" s="64">
        <v>0</v>
      </c>
      <c r="L16" s="66">
        <f t="shared" si="2"/>
        <v>0</v>
      </c>
      <c r="M16" s="62">
        <v>0</v>
      </c>
      <c r="N16" s="67">
        <v>0</v>
      </c>
      <c r="O16" s="148"/>
      <c r="P16" s="76"/>
      <c r="Q16" s="70"/>
    </row>
    <row r="17" spans="1:17" ht="41.4" x14ac:dyDescent="0.25">
      <c r="A17" s="155" t="s">
        <v>7</v>
      </c>
      <c r="B17" s="17" t="s">
        <v>6</v>
      </c>
      <c r="C17" s="72">
        <f>SUM(C18:C30)</f>
        <v>0</v>
      </c>
      <c r="D17" s="73">
        <f>SUM(D18:D30)</f>
        <v>0</v>
      </c>
      <c r="E17" s="82" t="e">
        <f>D17/C17</f>
        <v>#DIV/0!</v>
      </c>
      <c r="F17" s="72">
        <f>SUM(F18:F30)</f>
        <v>0</v>
      </c>
      <c r="G17" s="73">
        <f>SUM(G18:G30)</f>
        <v>0</v>
      </c>
      <c r="H17" s="82" t="e">
        <f>G17/F17</f>
        <v>#DIV/0!</v>
      </c>
      <c r="I17" s="72">
        <f>SUM(I18:I30)</f>
        <v>0</v>
      </c>
      <c r="J17" s="73">
        <f>SUM(J18:J30)</f>
        <v>0</v>
      </c>
      <c r="K17" s="82">
        <v>1</v>
      </c>
      <c r="L17" s="60">
        <f t="shared" si="2"/>
        <v>0</v>
      </c>
      <c r="M17" s="72">
        <f>SUM(M18:M30)</f>
        <v>0</v>
      </c>
      <c r="N17" s="74">
        <f>SUM(N18:N30)</f>
        <v>0</v>
      </c>
      <c r="O17" s="148"/>
    </row>
    <row r="18" spans="1:17" x14ac:dyDescent="0.25">
      <c r="A18" s="81" t="s">
        <v>197</v>
      </c>
      <c r="B18" s="18"/>
      <c r="C18" s="62"/>
      <c r="D18" s="63"/>
      <c r="E18" s="64" t="e">
        <f>D18/C18</f>
        <v>#DIV/0!</v>
      </c>
      <c r="F18" s="62"/>
      <c r="G18" s="65"/>
      <c r="H18" s="64">
        <v>0</v>
      </c>
      <c r="I18" s="62"/>
      <c r="J18" s="65"/>
      <c r="K18" s="64">
        <v>0</v>
      </c>
      <c r="L18" s="66">
        <f t="shared" si="2"/>
        <v>0</v>
      </c>
      <c r="M18" s="62">
        <v>0</v>
      </c>
      <c r="N18" s="67">
        <v>0</v>
      </c>
      <c r="O18" s="147"/>
      <c r="P18" s="77"/>
    </row>
    <row r="19" spans="1:17" x14ac:dyDescent="0.25">
      <c r="A19" s="81" t="s">
        <v>260</v>
      </c>
      <c r="B19" s="19"/>
      <c r="C19" s="62"/>
      <c r="D19" s="63"/>
      <c r="E19" s="64">
        <v>0</v>
      </c>
      <c r="F19" s="62"/>
      <c r="G19" s="65"/>
      <c r="H19" s="64">
        <v>1</v>
      </c>
      <c r="I19" s="62"/>
      <c r="J19" s="65"/>
      <c r="K19" s="64">
        <v>0</v>
      </c>
      <c r="L19" s="66">
        <f t="shared" si="2"/>
        <v>0</v>
      </c>
      <c r="M19" s="62">
        <v>0</v>
      </c>
      <c r="N19" s="67">
        <v>0</v>
      </c>
      <c r="O19" s="148"/>
    </row>
    <row r="20" spans="1:17" ht="26.4" x14ac:dyDescent="0.25">
      <c r="A20" s="81" t="s">
        <v>208</v>
      </c>
      <c r="B20" s="19"/>
      <c r="C20" s="62"/>
      <c r="D20" s="63"/>
      <c r="E20" s="64">
        <v>1</v>
      </c>
      <c r="F20" s="62"/>
      <c r="G20" s="65"/>
      <c r="H20" s="64">
        <v>0</v>
      </c>
      <c r="I20" s="62"/>
      <c r="J20" s="65"/>
      <c r="K20" s="64">
        <v>0</v>
      </c>
      <c r="L20" s="66">
        <f t="shared" si="2"/>
        <v>0</v>
      </c>
      <c r="M20" s="62">
        <v>0</v>
      </c>
      <c r="N20" s="67">
        <v>0</v>
      </c>
      <c r="O20" s="148"/>
    </row>
    <row r="21" spans="1:17" x14ac:dyDescent="0.25">
      <c r="A21" s="81" t="s">
        <v>120</v>
      </c>
      <c r="B21" s="19"/>
      <c r="C21" s="62"/>
      <c r="D21" s="63"/>
      <c r="E21" s="64">
        <v>1</v>
      </c>
      <c r="F21" s="62"/>
      <c r="G21" s="65"/>
      <c r="H21" s="64">
        <v>0</v>
      </c>
      <c r="I21" s="62"/>
      <c r="J21" s="65"/>
      <c r="K21" s="64">
        <v>0</v>
      </c>
      <c r="L21" s="66">
        <f t="shared" si="2"/>
        <v>0</v>
      </c>
      <c r="M21" s="62">
        <v>0</v>
      </c>
      <c r="N21" s="67">
        <v>0</v>
      </c>
      <c r="O21" s="148"/>
    </row>
    <row r="22" spans="1:17" x14ac:dyDescent="0.25">
      <c r="A22" s="81" t="s">
        <v>313</v>
      </c>
      <c r="B22" s="18"/>
      <c r="C22" s="62"/>
      <c r="D22" s="63"/>
      <c r="E22" s="64" t="e">
        <f>D22/C22</f>
        <v>#DIV/0!</v>
      </c>
      <c r="F22" s="62"/>
      <c r="G22" s="65"/>
      <c r="H22" s="64">
        <v>0</v>
      </c>
      <c r="I22" s="62"/>
      <c r="J22" s="65"/>
      <c r="K22" s="64">
        <v>0</v>
      </c>
      <c r="L22" s="66">
        <f t="shared" si="2"/>
        <v>0</v>
      </c>
      <c r="M22" s="62">
        <v>0</v>
      </c>
      <c r="N22" s="67">
        <v>0</v>
      </c>
      <c r="O22" s="148"/>
    </row>
    <row r="23" spans="1:17" x14ac:dyDescent="0.25">
      <c r="A23" s="81" t="s">
        <v>271</v>
      </c>
      <c r="B23" s="19"/>
      <c r="C23" s="62"/>
      <c r="D23" s="65"/>
      <c r="E23" s="64">
        <v>1</v>
      </c>
      <c r="F23" s="62"/>
      <c r="G23" s="65"/>
      <c r="H23" s="64">
        <v>0</v>
      </c>
      <c r="I23" s="62"/>
      <c r="J23" s="65"/>
      <c r="K23" s="64">
        <v>0</v>
      </c>
      <c r="L23" s="66">
        <f t="shared" si="2"/>
        <v>0</v>
      </c>
      <c r="M23" s="62">
        <v>0</v>
      </c>
      <c r="N23" s="67">
        <v>0</v>
      </c>
      <c r="O23" s="148"/>
    </row>
    <row r="24" spans="1:17" ht="26.4" x14ac:dyDescent="0.25">
      <c r="A24" s="81" t="s">
        <v>296</v>
      </c>
      <c r="B24" s="19"/>
      <c r="C24" s="62"/>
      <c r="D24" s="65"/>
      <c r="E24" s="64">
        <v>1</v>
      </c>
      <c r="F24" s="62"/>
      <c r="G24" s="65"/>
      <c r="H24" s="64">
        <v>0</v>
      </c>
      <c r="I24" s="62"/>
      <c r="J24" s="65"/>
      <c r="K24" s="64">
        <v>0</v>
      </c>
      <c r="L24" s="66">
        <f t="shared" si="2"/>
        <v>0</v>
      </c>
      <c r="M24" s="62">
        <v>0</v>
      </c>
      <c r="N24" s="67">
        <v>0</v>
      </c>
      <c r="O24" s="148"/>
    </row>
    <row r="25" spans="1:17" ht="26.4" x14ac:dyDescent="0.25">
      <c r="A25" s="81" t="s">
        <v>286</v>
      </c>
      <c r="B25" s="18"/>
      <c r="C25" s="62"/>
      <c r="D25" s="65"/>
      <c r="E25" s="64">
        <v>0</v>
      </c>
      <c r="F25" s="68"/>
      <c r="G25" s="65"/>
      <c r="H25" s="64" t="e">
        <f>G25/F25</f>
        <v>#DIV/0!</v>
      </c>
      <c r="I25" s="62"/>
      <c r="J25" s="63"/>
      <c r="K25" s="64">
        <v>0</v>
      </c>
      <c r="L25" s="66">
        <f t="shared" si="2"/>
        <v>0</v>
      </c>
      <c r="M25" s="62">
        <v>0</v>
      </c>
      <c r="N25" s="67">
        <v>0</v>
      </c>
      <c r="O25" s="148" t="s">
        <v>343</v>
      </c>
    </row>
    <row r="26" spans="1:17" ht="26.4" x14ac:dyDescent="0.25">
      <c r="A26" s="81" t="s">
        <v>351</v>
      </c>
      <c r="B26" s="18"/>
      <c r="C26" s="62"/>
      <c r="D26" s="63"/>
      <c r="E26" s="64">
        <v>0</v>
      </c>
      <c r="F26" s="68"/>
      <c r="G26" s="63"/>
      <c r="H26" s="64" t="e">
        <f t="shared" ref="H26:H28" si="3">G26/F26</f>
        <v>#DIV/0!</v>
      </c>
      <c r="I26" s="62"/>
      <c r="J26" s="65"/>
      <c r="K26" s="64">
        <v>0</v>
      </c>
      <c r="L26" s="66">
        <f t="shared" si="2"/>
        <v>0</v>
      </c>
      <c r="M26" s="62">
        <v>0</v>
      </c>
      <c r="N26" s="67">
        <v>0</v>
      </c>
      <c r="O26" s="179" t="s">
        <v>365</v>
      </c>
    </row>
    <row r="27" spans="1:17" x14ac:dyDescent="0.25">
      <c r="A27" s="81" t="s">
        <v>310</v>
      </c>
      <c r="B27" s="18"/>
      <c r="C27" s="62">
        <v>0</v>
      </c>
      <c r="D27" s="65">
        <v>0</v>
      </c>
      <c r="E27" s="64">
        <v>0</v>
      </c>
      <c r="F27" s="62"/>
      <c r="G27" s="65"/>
      <c r="H27" s="64" t="e">
        <f t="shared" si="3"/>
        <v>#DIV/0!</v>
      </c>
      <c r="I27" s="62"/>
      <c r="J27" s="65"/>
      <c r="K27" s="64">
        <v>1</v>
      </c>
      <c r="L27" s="66">
        <f t="shared" si="2"/>
        <v>0</v>
      </c>
      <c r="M27" s="62">
        <v>0</v>
      </c>
      <c r="N27" s="67">
        <v>0</v>
      </c>
      <c r="O27" s="148"/>
    </row>
    <row r="28" spans="1:17" s="71" customFormat="1" x14ac:dyDescent="0.25">
      <c r="A28" s="81" t="s">
        <v>298</v>
      </c>
      <c r="B28" s="18"/>
      <c r="C28" s="62">
        <v>0</v>
      </c>
      <c r="D28" s="65">
        <v>0</v>
      </c>
      <c r="E28" s="64">
        <v>0</v>
      </c>
      <c r="F28" s="62"/>
      <c r="G28" s="65"/>
      <c r="H28" s="64" t="e">
        <f t="shared" si="3"/>
        <v>#DIV/0!</v>
      </c>
      <c r="I28" s="62"/>
      <c r="J28" s="65"/>
      <c r="K28" s="64">
        <v>0</v>
      </c>
      <c r="L28" s="66">
        <f t="shared" si="2"/>
        <v>0</v>
      </c>
      <c r="M28" s="62">
        <v>0</v>
      </c>
      <c r="N28" s="67">
        <v>0</v>
      </c>
      <c r="O28" s="148"/>
      <c r="P28" s="69"/>
      <c r="Q28" s="70"/>
    </row>
    <row r="29" spans="1:17" x14ac:dyDescent="0.25">
      <c r="A29" s="81" t="s">
        <v>206</v>
      </c>
      <c r="B29" s="19"/>
      <c r="C29" s="62">
        <v>0</v>
      </c>
      <c r="D29" s="63">
        <v>0</v>
      </c>
      <c r="E29" s="64">
        <v>1</v>
      </c>
      <c r="F29" s="62"/>
      <c r="G29" s="65"/>
      <c r="H29" s="64">
        <v>0</v>
      </c>
      <c r="I29" s="62"/>
      <c r="J29" s="65"/>
      <c r="K29" s="64">
        <v>0</v>
      </c>
      <c r="L29" s="66">
        <f t="shared" si="2"/>
        <v>0</v>
      </c>
      <c r="M29" s="62">
        <v>0</v>
      </c>
      <c r="N29" s="67">
        <v>0</v>
      </c>
      <c r="O29" s="148"/>
    </row>
    <row r="30" spans="1:17" ht="25.2" customHeight="1" thickBot="1" x14ac:dyDescent="0.3">
      <c r="A30" s="81" t="s">
        <v>251</v>
      </c>
      <c r="B30" s="18"/>
      <c r="C30" s="62">
        <v>0</v>
      </c>
      <c r="D30" s="65">
        <v>0</v>
      </c>
      <c r="E30" s="64">
        <v>0</v>
      </c>
      <c r="F30" s="62"/>
      <c r="G30" s="65"/>
      <c r="H30" s="64">
        <v>0</v>
      </c>
      <c r="I30" s="62"/>
      <c r="J30" s="63"/>
      <c r="K30" s="64" t="e">
        <f>J30/I30</f>
        <v>#DIV/0!</v>
      </c>
      <c r="L30" s="66">
        <f t="shared" si="2"/>
        <v>0</v>
      </c>
      <c r="M30" s="62">
        <v>0</v>
      </c>
      <c r="N30" s="67">
        <v>0</v>
      </c>
      <c r="O30" s="148"/>
    </row>
    <row r="31" spans="1:17" ht="40.200000000000003" thickBot="1" x14ac:dyDescent="0.3">
      <c r="A31" s="153" t="s">
        <v>10</v>
      </c>
      <c r="B31" s="20" t="s">
        <v>9</v>
      </c>
      <c r="C31" s="92">
        <f>C32+C59+C61+C67+C71</f>
        <v>0</v>
      </c>
      <c r="D31" s="93">
        <f>D32+D59+D61+D67+D71</f>
        <v>0</v>
      </c>
      <c r="E31" s="94" t="e">
        <f>D31/C31</f>
        <v>#DIV/0!</v>
      </c>
      <c r="F31" s="92">
        <f>F32+F59+F61+F67+F71</f>
        <v>0</v>
      </c>
      <c r="G31" s="93">
        <f>G32+G59+G61+G67+G71</f>
        <v>0</v>
      </c>
      <c r="H31" s="94" t="e">
        <f>G31/F31</f>
        <v>#DIV/0!</v>
      </c>
      <c r="I31" s="92">
        <f>-I32+I59+I61+I67+I71</f>
        <v>0</v>
      </c>
      <c r="J31" s="93">
        <f>-J32+J59+J61+J67+J71</f>
        <v>0</v>
      </c>
      <c r="K31" s="94">
        <v>0</v>
      </c>
      <c r="L31" s="95">
        <f t="shared" si="2"/>
        <v>0</v>
      </c>
      <c r="M31" s="92">
        <f>-M32+M59+M61+M67+M71</f>
        <v>0</v>
      </c>
      <c r="N31" s="96">
        <f>-N32+N59+N61+N67+N71</f>
        <v>0</v>
      </c>
      <c r="O31" s="148"/>
    </row>
    <row r="32" spans="1:17" ht="27.6" x14ac:dyDescent="0.25">
      <c r="A32" s="154" t="s">
        <v>12</v>
      </c>
      <c r="B32" s="21" t="s">
        <v>11</v>
      </c>
      <c r="C32" s="57">
        <f>SUM(C33:C58)</f>
        <v>0</v>
      </c>
      <c r="D32" s="58">
        <f>SUM(D33:D58)</f>
        <v>0</v>
      </c>
      <c r="E32" s="59" t="e">
        <f>D32/C32</f>
        <v>#DIV/0!</v>
      </c>
      <c r="F32" s="57">
        <f>SUM(F33:F58)</f>
        <v>0</v>
      </c>
      <c r="G32" s="58">
        <f>SUM(G33:G58)</f>
        <v>0</v>
      </c>
      <c r="H32" s="59" t="e">
        <f>G32/F32</f>
        <v>#DIV/0!</v>
      </c>
      <c r="I32" s="57">
        <f>SUM(I33:I58)</f>
        <v>0</v>
      </c>
      <c r="J32" s="58">
        <f>SUM(J33:J58)</f>
        <v>0</v>
      </c>
      <c r="K32" s="59">
        <v>0</v>
      </c>
      <c r="L32" s="60">
        <f t="shared" si="2"/>
        <v>0</v>
      </c>
      <c r="M32" s="57">
        <f>SUM(M33:M58)</f>
        <v>0</v>
      </c>
      <c r="N32" s="61">
        <f>SUM(N33:N58)</f>
        <v>0</v>
      </c>
      <c r="O32" s="148"/>
      <c r="P32" s="77"/>
    </row>
    <row r="33" spans="1:17" s="71" customFormat="1" ht="26.4" x14ac:dyDescent="0.25">
      <c r="A33" s="81" t="s">
        <v>316</v>
      </c>
      <c r="B33" s="18"/>
      <c r="C33" s="62">
        <v>0</v>
      </c>
      <c r="D33" s="65">
        <v>0</v>
      </c>
      <c r="E33" s="64">
        <v>0</v>
      </c>
      <c r="F33" s="68">
        <v>0</v>
      </c>
      <c r="G33" s="65">
        <v>0</v>
      </c>
      <c r="H33" s="64" t="e">
        <f>G33/F33</f>
        <v>#DIV/0!</v>
      </c>
      <c r="I33" s="62">
        <v>0</v>
      </c>
      <c r="J33" s="65">
        <v>0</v>
      </c>
      <c r="K33" s="64">
        <v>0</v>
      </c>
      <c r="L33" s="66">
        <f t="shared" si="2"/>
        <v>0</v>
      </c>
      <c r="M33" s="62">
        <v>0</v>
      </c>
      <c r="N33" s="67">
        <v>0</v>
      </c>
      <c r="O33" s="148"/>
      <c r="P33" s="69"/>
      <c r="Q33" s="70"/>
    </row>
    <row r="34" spans="1:17" ht="26.4" x14ac:dyDescent="0.25">
      <c r="A34" s="81" t="s">
        <v>196</v>
      </c>
      <c r="B34" s="18"/>
      <c r="C34" s="62"/>
      <c r="D34" s="65"/>
      <c r="E34" s="64">
        <v>0</v>
      </c>
      <c r="F34" s="68"/>
      <c r="G34" s="63"/>
      <c r="H34" s="64" t="e">
        <f>G34/F34</f>
        <v>#DIV/0!</v>
      </c>
      <c r="I34" s="62">
        <v>0</v>
      </c>
      <c r="J34" s="65">
        <v>0</v>
      </c>
      <c r="K34" s="64">
        <v>0</v>
      </c>
      <c r="L34" s="66">
        <f t="shared" si="2"/>
        <v>0</v>
      </c>
      <c r="M34" s="62">
        <v>0</v>
      </c>
      <c r="N34" s="67">
        <v>0</v>
      </c>
      <c r="O34" s="148" t="s">
        <v>342</v>
      </c>
    </row>
    <row r="35" spans="1:17" x14ac:dyDescent="0.25">
      <c r="A35" s="81" t="s">
        <v>175</v>
      </c>
      <c r="B35" s="18"/>
      <c r="C35" s="62"/>
      <c r="D35" s="65"/>
      <c r="E35" s="64">
        <v>0</v>
      </c>
      <c r="F35" s="68"/>
      <c r="G35" s="63"/>
      <c r="H35" s="64" t="e">
        <f t="shared" ref="H35:H47" si="4">G35/F35</f>
        <v>#DIV/0!</v>
      </c>
      <c r="I35" s="62">
        <v>0</v>
      </c>
      <c r="J35" s="65">
        <v>0</v>
      </c>
      <c r="K35" s="64">
        <v>0</v>
      </c>
      <c r="L35" s="66">
        <f t="shared" si="2"/>
        <v>0</v>
      </c>
      <c r="M35" s="62">
        <v>0</v>
      </c>
      <c r="N35" s="67">
        <v>0</v>
      </c>
      <c r="O35" s="148"/>
    </row>
    <row r="36" spans="1:17" x14ac:dyDescent="0.25">
      <c r="A36" s="81" t="s">
        <v>330</v>
      </c>
      <c r="B36" s="18"/>
      <c r="C36" s="62"/>
      <c r="D36" s="65"/>
      <c r="E36" s="64">
        <v>0</v>
      </c>
      <c r="F36" s="68"/>
      <c r="G36" s="63"/>
      <c r="H36" s="64" t="e">
        <f>G36/F36</f>
        <v>#DIV/0!</v>
      </c>
      <c r="I36" s="62">
        <v>0</v>
      </c>
      <c r="J36" s="65">
        <v>0</v>
      </c>
      <c r="K36" s="64">
        <v>0</v>
      </c>
      <c r="L36" s="66">
        <f t="shared" si="2"/>
        <v>0</v>
      </c>
      <c r="M36" s="62">
        <v>0</v>
      </c>
      <c r="N36" s="67">
        <v>0</v>
      </c>
      <c r="O36" s="148" t="s">
        <v>329</v>
      </c>
    </row>
    <row r="37" spans="1:17" s="71" customFormat="1" x14ac:dyDescent="0.25">
      <c r="A37" s="81" t="s">
        <v>288</v>
      </c>
      <c r="B37" s="18"/>
      <c r="C37" s="62"/>
      <c r="D37" s="65"/>
      <c r="E37" s="64">
        <v>0</v>
      </c>
      <c r="F37" s="68"/>
      <c r="G37" s="63"/>
      <c r="H37" s="64" t="e">
        <f t="shared" si="4"/>
        <v>#DIV/0!</v>
      </c>
      <c r="I37" s="62">
        <v>0</v>
      </c>
      <c r="J37" s="65">
        <v>0</v>
      </c>
      <c r="K37" s="64">
        <v>0</v>
      </c>
      <c r="L37" s="66">
        <f t="shared" si="2"/>
        <v>0</v>
      </c>
      <c r="M37" s="62">
        <v>0</v>
      </c>
      <c r="N37" s="67">
        <v>0</v>
      </c>
      <c r="O37" s="148" t="s">
        <v>362</v>
      </c>
      <c r="P37" s="69"/>
      <c r="Q37" s="70"/>
    </row>
    <row r="38" spans="1:17" s="71" customFormat="1" x14ac:dyDescent="0.25">
      <c r="A38" s="81" t="s">
        <v>309</v>
      </c>
      <c r="B38" s="18"/>
      <c r="C38" s="62"/>
      <c r="D38" s="65"/>
      <c r="E38" s="64">
        <v>0</v>
      </c>
      <c r="F38" s="68"/>
      <c r="G38" s="63"/>
      <c r="H38" s="64" t="e">
        <f t="shared" ref="H38" si="5">G38/F38</f>
        <v>#DIV/0!</v>
      </c>
      <c r="I38" s="62">
        <v>0</v>
      </c>
      <c r="J38" s="65">
        <v>0</v>
      </c>
      <c r="K38" s="64">
        <v>0</v>
      </c>
      <c r="L38" s="66">
        <f t="shared" si="2"/>
        <v>0</v>
      </c>
      <c r="M38" s="62">
        <v>0</v>
      </c>
      <c r="N38" s="67">
        <v>0</v>
      </c>
      <c r="O38" s="148" t="s">
        <v>329</v>
      </c>
      <c r="P38" s="69"/>
      <c r="Q38" s="70"/>
    </row>
    <row r="39" spans="1:17" x14ac:dyDescent="0.25">
      <c r="A39" s="81" t="s">
        <v>206</v>
      </c>
      <c r="B39" s="19"/>
      <c r="C39" s="68"/>
      <c r="D39" s="63"/>
      <c r="E39" s="64">
        <v>0</v>
      </c>
      <c r="F39" s="68"/>
      <c r="G39" s="63"/>
      <c r="H39" s="64">
        <v>0</v>
      </c>
      <c r="I39" s="68">
        <v>0</v>
      </c>
      <c r="J39" s="63">
        <v>0</v>
      </c>
      <c r="K39" s="78">
        <v>0</v>
      </c>
      <c r="L39" s="79">
        <f t="shared" si="2"/>
        <v>0</v>
      </c>
      <c r="M39" s="68">
        <v>0</v>
      </c>
      <c r="N39" s="80">
        <v>0</v>
      </c>
      <c r="O39" s="147"/>
    </row>
    <row r="40" spans="1:17" x14ac:dyDescent="0.25">
      <c r="A40" s="81" t="s">
        <v>275</v>
      </c>
      <c r="B40" s="18"/>
      <c r="C40" s="62"/>
      <c r="D40" s="63"/>
      <c r="E40" s="64">
        <v>0</v>
      </c>
      <c r="F40" s="62"/>
      <c r="G40" s="65"/>
      <c r="H40" s="64">
        <v>0</v>
      </c>
      <c r="I40" s="62">
        <v>0</v>
      </c>
      <c r="J40" s="65">
        <v>0</v>
      </c>
      <c r="K40" s="64">
        <v>0</v>
      </c>
      <c r="L40" s="66">
        <f t="shared" si="2"/>
        <v>0</v>
      </c>
      <c r="M40" s="62">
        <v>0</v>
      </c>
      <c r="N40" s="67">
        <v>0</v>
      </c>
      <c r="O40" s="147"/>
    </row>
    <row r="41" spans="1:17" x14ac:dyDescent="0.25">
      <c r="A41" s="81" t="s">
        <v>272</v>
      </c>
      <c r="B41" s="18"/>
      <c r="C41" s="62"/>
      <c r="D41" s="63"/>
      <c r="E41" s="64" t="e">
        <f>D41/C41</f>
        <v>#DIV/0!</v>
      </c>
      <c r="F41" s="62"/>
      <c r="G41" s="65"/>
      <c r="H41" s="64">
        <v>0</v>
      </c>
      <c r="I41" s="62">
        <v>0</v>
      </c>
      <c r="J41" s="65">
        <v>0</v>
      </c>
      <c r="K41" s="64">
        <v>0</v>
      </c>
      <c r="L41" s="66">
        <f t="shared" si="2"/>
        <v>0</v>
      </c>
      <c r="M41" s="62">
        <v>0</v>
      </c>
      <c r="N41" s="67">
        <v>0</v>
      </c>
      <c r="O41" s="148"/>
    </row>
    <row r="42" spans="1:17" s="71" customFormat="1" x14ac:dyDescent="0.25">
      <c r="A42" s="81" t="s">
        <v>121</v>
      </c>
      <c r="B42" s="19"/>
      <c r="C42" s="62"/>
      <c r="D42" s="63"/>
      <c r="E42" s="64">
        <v>0</v>
      </c>
      <c r="F42" s="62"/>
      <c r="G42" s="65"/>
      <c r="H42" s="64">
        <v>0</v>
      </c>
      <c r="I42" s="62">
        <v>0</v>
      </c>
      <c r="J42" s="65">
        <v>0</v>
      </c>
      <c r="K42" s="64">
        <v>0</v>
      </c>
      <c r="L42" s="66">
        <f t="shared" si="2"/>
        <v>0</v>
      </c>
      <c r="M42" s="62">
        <v>0</v>
      </c>
      <c r="N42" s="67">
        <v>0</v>
      </c>
      <c r="O42" s="149"/>
      <c r="P42" s="69"/>
      <c r="Q42" s="70"/>
    </row>
    <row r="43" spans="1:17" ht="26.4" x14ac:dyDescent="0.25">
      <c r="A43" s="81" t="s">
        <v>208</v>
      </c>
      <c r="B43" s="19"/>
      <c r="C43" s="62"/>
      <c r="D43" s="63"/>
      <c r="E43" s="64">
        <v>0</v>
      </c>
      <c r="F43" s="62"/>
      <c r="G43" s="65"/>
      <c r="H43" s="64" t="e">
        <f t="shared" si="4"/>
        <v>#DIV/0!</v>
      </c>
      <c r="I43" s="62">
        <v>0</v>
      </c>
      <c r="J43" s="65">
        <v>0</v>
      </c>
      <c r="K43" s="64">
        <v>0</v>
      </c>
      <c r="L43" s="66">
        <f t="shared" si="2"/>
        <v>0</v>
      </c>
      <c r="M43" s="62">
        <v>0</v>
      </c>
      <c r="N43" s="67">
        <v>0</v>
      </c>
      <c r="O43" s="148"/>
    </row>
    <row r="44" spans="1:17" s="71" customFormat="1" x14ac:dyDescent="0.25">
      <c r="A44" s="81" t="s">
        <v>323</v>
      </c>
      <c r="B44" s="18"/>
      <c r="C44" s="62"/>
      <c r="D44" s="63"/>
      <c r="E44" s="64" t="e">
        <f>D44/C44</f>
        <v>#DIV/0!</v>
      </c>
      <c r="F44" s="62"/>
      <c r="G44" s="65"/>
      <c r="H44" s="64">
        <v>0</v>
      </c>
      <c r="I44" s="62">
        <v>0</v>
      </c>
      <c r="J44" s="65">
        <v>0</v>
      </c>
      <c r="K44" s="64">
        <v>0</v>
      </c>
      <c r="L44" s="66">
        <f t="shared" si="2"/>
        <v>0</v>
      </c>
      <c r="M44" s="62">
        <v>0</v>
      </c>
      <c r="N44" s="67">
        <v>0</v>
      </c>
      <c r="O44" s="148"/>
      <c r="P44" s="69"/>
      <c r="Q44" s="70"/>
    </row>
    <row r="45" spans="1:17" s="71" customFormat="1" ht="26.4" x14ac:dyDescent="0.25">
      <c r="A45" s="81" t="s">
        <v>356</v>
      </c>
      <c r="B45" s="18"/>
      <c r="C45" s="62"/>
      <c r="D45" s="63"/>
      <c r="E45" s="64" t="e">
        <f>D45/C45</f>
        <v>#DIV/0!</v>
      </c>
      <c r="F45" s="62"/>
      <c r="G45" s="65"/>
      <c r="H45" s="64">
        <v>0</v>
      </c>
      <c r="I45" s="62">
        <v>0</v>
      </c>
      <c r="J45" s="65">
        <v>0</v>
      </c>
      <c r="K45" s="64">
        <v>0</v>
      </c>
      <c r="L45" s="66">
        <f t="shared" si="2"/>
        <v>0</v>
      </c>
      <c r="M45" s="62">
        <v>0</v>
      </c>
      <c r="N45" s="67">
        <v>0</v>
      </c>
      <c r="O45" s="148"/>
      <c r="P45" s="69"/>
      <c r="Q45" s="70"/>
    </row>
    <row r="46" spans="1:17" x14ac:dyDescent="0.25">
      <c r="A46" s="81" t="s">
        <v>122</v>
      </c>
      <c r="B46" s="19"/>
      <c r="C46" s="62"/>
      <c r="D46" s="63"/>
      <c r="E46" s="64">
        <v>0</v>
      </c>
      <c r="F46" s="62"/>
      <c r="G46" s="65"/>
      <c r="H46" s="64">
        <v>0</v>
      </c>
      <c r="I46" s="62">
        <v>0</v>
      </c>
      <c r="J46" s="65">
        <v>0</v>
      </c>
      <c r="K46" s="64">
        <v>0</v>
      </c>
      <c r="L46" s="66">
        <f t="shared" si="2"/>
        <v>0</v>
      </c>
      <c r="M46" s="62">
        <v>0</v>
      </c>
      <c r="N46" s="67">
        <v>0</v>
      </c>
      <c r="O46" s="148"/>
    </row>
    <row r="47" spans="1:17" ht="26.4" x14ac:dyDescent="0.25">
      <c r="A47" s="81" t="s">
        <v>181</v>
      </c>
      <c r="B47" s="19"/>
      <c r="C47" s="62"/>
      <c r="D47" s="63"/>
      <c r="E47" s="64">
        <v>0</v>
      </c>
      <c r="F47" s="62"/>
      <c r="G47" s="65"/>
      <c r="H47" s="64" t="e">
        <f t="shared" si="4"/>
        <v>#DIV/0!</v>
      </c>
      <c r="I47" s="62">
        <v>0</v>
      </c>
      <c r="J47" s="65">
        <v>0</v>
      </c>
      <c r="K47" s="64">
        <v>0</v>
      </c>
      <c r="L47" s="66">
        <f t="shared" si="2"/>
        <v>0</v>
      </c>
      <c r="M47" s="62">
        <v>0</v>
      </c>
      <c r="N47" s="67">
        <v>0</v>
      </c>
      <c r="O47" s="148"/>
    </row>
    <row r="48" spans="1:17" ht="26.4" x14ac:dyDescent="0.25">
      <c r="A48" s="81" t="s">
        <v>280</v>
      </c>
      <c r="B48" s="22"/>
      <c r="C48" s="68"/>
      <c r="D48" s="63"/>
      <c r="E48" s="64">
        <v>0</v>
      </c>
      <c r="F48" s="68"/>
      <c r="G48" s="63"/>
      <c r="H48" s="64">
        <v>0</v>
      </c>
      <c r="I48" s="68">
        <v>0</v>
      </c>
      <c r="J48" s="63">
        <v>0</v>
      </c>
      <c r="K48" s="78">
        <v>0</v>
      </c>
      <c r="L48" s="79">
        <f t="shared" si="2"/>
        <v>0</v>
      </c>
      <c r="M48" s="68">
        <v>0</v>
      </c>
      <c r="N48" s="80">
        <v>0</v>
      </c>
      <c r="O48" s="147"/>
      <c r="P48" s="77"/>
    </row>
    <row r="49" spans="1:17" s="71" customFormat="1" ht="26.4" x14ac:dyDescent="0.25">
      <c r="A49" s="81" t="s">
        <v>168</v>
      </c>
      <c r="B49" s="18"/>
      <c r="C49" s="62"/>
      <c r="D49" s="63"/>
      <c r="E49" s="64" t="e">
        <f t="shared" ref="E49" si="6">D49/C49</f>
        <v>#DIV/0!</v>
      </c>
      <c r="F49" s="62"/>
      <c r="G49" s="65"/>
      <c r="H49" s="64">
        <v>0</v>
      </c>
      <c r="I49" s="62">
        <v>0</v>
      </c>
      <c r="J49" s="65">
        <v>0</v>
      </c>
      <c r="K49" s="64">
        <v>0</v>
      </c>
      <c r="L49" s="66">
        <f t="shared" si="2"/>
        <v>0</v>
      </c>
      <c r="M49" s="62">
        <v>0</v>
      </c>
      <c r="N49" s="67">
        <v>0</v>
      </c>
      <c r="O49" s="148"/>
      <c r="P49" s="69"/>
      <c r="Q49" s="70"/>
    </row>
    <row r="50" spans="1:17" x14ac:dyDescent="0.25">
      <c r="A50" s="81" t="s">
        <v>179</v>
      </c>
      <c r="B50" s="18"/>
      <c r="C50" s="62"/>
      <c r="D50" s="63"/>
      <c r="E50" s="64" t="e">
        <f>D50/C50</f>
        <v>#DIV/0!</v>
      </c>
      <c r="F50" s="62"/>
      <c r="G50" s="65"/>
      <c r="H50" s="64">
        <v>0</v>
      </c>
      <c r="I50" s="62">
        <v>0</v>
      </c>
      <c r="J50" s="65">
        <v>0</v>
      </c>
      <c r="K50" s="64">
        <v>0</v>
      </c>
      <c r="L50" s="66">
        <f t="shared" si="2"/>
        <v>0</v>
      </c>
      <c r="M50" s="62">
        <v>0</v>
      </c>
      <c r="N50" s="67">
        <v>0</v>
      </c>
      <c r="O50" s="148"/>
    </row>
    <row r="51" spans="1:17" x14ac:dyDescent="0.25">
      <c r="A51" s="81" t="s">
        <v>169</v>
      </c>
      <c r="B51" s="19"/>
      <c r="C51" s="62"/>
      <c r="D51" s="63"/>
      <c r="E51" s="64" t="e">
        <f>D51/C51</f>
        <v>#DIV/0!</v>
      </c>
      <c r="F51" s="62"/>
      <c r="G51" s="65"/>
      <c r="H51" s="64">
        <v>0</v>
      </c>
      <c r="I51" s="62">
        <v>0</v>
      </c>
      <c r="J51" s="65">
        <v>0</v>
      </c>
      <c r="K51" s="64">
        <v>0</v>
      </c>
      <c r="L51" s="66">
        <f t="shared" si="2"/>
        <v>0</v>
      </c>
      <c r="M51" s="62">
        <v>0</v>
      </c>
      <c r="N51" s="67">
        <v>0</v>
      </c>
      <c r="O51" s="148"/>
    </row>
    <row r="52" spans="1:17" x14ac:dyDescent="0.25">
      <c r="A52" s="81" t="s">
        <v>123</v>
      </c>
      <c r="B52" s="19"/>
      <c r="C52" s="62"/>
      <c r="D52" s="63"/>
      <c r="E52" s="64" t="e">
        <f>D52/C52</f>
        <v>#DIV/0!</v>
      </c>
      <c r="F52" s="62"/>
      <c r="G52" s="65"/>
      <c r="H52" s="64">
        <v>0</v>
      </c>
      <c r="I52" s="62">
        <v>0</v>
      </c>
      <c r="J52" s="65">
        <v>0</v>
      </c>
      <c r="K52" s="64">
        <v>0</v>
      </c>
      <c r="L52" s="66">
        <f t="shared" si="2"/>
        <v>0</v>
      </c>
      <c r="M52" s="62">
        <v>0</v>
      </c>
      <c r="N52" s="67">
        <v>0</v>
      </c>
      <c r="O52" s="148"/>
    </row>
    <row r="53" spans="1:17" ht="26.4" x14ac:dyDescent="0.25">
      <c r="A53" s="81" t="s">
        <v>128</v>
      </c>
      <c r="B53" s="18"/>
      <c r="C53" s="62"/>
      <c r="D53" s="63"/>
      <c r="E53" s="64">
        <v>0</v>
      </c>
      <c r="F53" s="62"/>
      <c r="G53" s="65"/>
      <c r="H53" s="64">
        <v>0</v>
      </c>
      <c r="I53" s="62">
        <v>0</v>
      </c>
      <c r="J53" s="65">
        <v>0</v>
      </c>
      <c r="K53" s="64">
        <v>0</v>
      </c>
      <c r="L53" s="66">
        <f t="shared" si="2"/>
        <v>0</v>
      </c>
      <c r="M53" s="62">
        <v>0</v>
      </c>
      <c r="N53" s="67">
        <v>0</v>
      </c>
      <c r="O53" s="148"/>
    </row>
    <row r="54" spans="1:17" ht="26.4" x14ac:dyDescent="0.25">
      <c r="A54" s="81" t="s">
        <v>180</v>
      </c>
      <c r="B54" s="19"/>
      <c r="C54" s="62"/>
      <c r="D54" s="63"/>
      <c r="E54" s="64">
        <v>0</v>
      </c>
      <c r="F54" s="62"/>
      <c r="G54" s="65"/>
      <c r="H54" s="64">
        <v>1</v>
      </c>
      <c r="I54" s="62">
        <v>0</v>
      </c>
      <c r="J54" s="65">
        <v>0</v>
      </c>
      <c r="K54" s="64">
        <v>0</v>
      </c>
      <c r="L54" s="66">
        <f t="shared" si="2"/>
        <v>0</v>
      </c>
      <c r="M54" s="62">
        <v>0</v>
      </c>
      <c r="N54" s="67">
        <v>0</v>
      </c>
      <c r="O54" s="148"/>
    </row>
    <row r="55" spans="1:17" ht="26.4" x14ac:dyDescent="0.25">
      <c r="A55" s="81" t="s">
        <v>171</v>
      </c>
      <c r="B55" s="19"/>
      <c r="C55" s="62"/>
      <c r="D55" s="63"/>
      <c r="E55" s="64">
        <v>0</v>
      </c>
      <c r="F55" s="62"/>
      <c r="G55" s="65"/>
      <c r="H55" s="64">
        <v>0</v>
      </c>
      <c r="I55" s="62">
        <v>0</v>
      </c>
      <c r="J55" s="65">
        <v>0</v>
      </c>
      <c r="K55" s="64">
        <v>0</v>
      </c>
      <c r="L55" s="66">
        <f t="shared" si="2"/>
        <v>0</v>
      </c>
      <c r="M55" s="62">
        <v>0</v>
      </c>
      <c r="N55" s="67">
        <v>0</v>
      </c>
      <c r="O55" s="148"/>
    </row>
    <row r="56" spans="1:17" ht="26.4" x14ac:dyDescent="0.25">
      <c r="A56" s="81" t="s">
        <v>129</v>
      </c>
      <c r="B56" s="19"/>
      <c r="C56" s="62"/>
      <c r="D56" s="63"/>
      <c r="E56" s="64">
        <v>0</v>
      </c>
      <c r="F56" s="62"/>
      <c r="G56" s="65"/>
      <c r="H56" s="64">
        <v>0</v>
      </c>
      <c r="I56" s="62">
        <v>0</v>
      </c>
      <c r="J56" s="65">
        <v>0</v>
      </c>
      <c r="K56" s="64">
        <v>0</v>
      </c>
      <c r="L56" s="66">
        <f t="shared" si="2"/>
        <v>0</v>
      </c>
      <c r="M56" s="62">
        <v>0</v>
      </c>
      <c r="N56" s="67">
        <v>0</v>
      </c>
      <c r="O56" s="148"/>
    </row>
    <row r="57" spans="1:17" x14ac:dyDescent="0.25">
      <c r="A57" s="81" t="s">
        <v>338</v>
      </c>
      <c r="B57" s="19"/>
      <c r="C57" s="62"/>
      <c r="D57" s="63"/>
      <c r="E57" s="64">
        <v>0</v>
      </c>
      <c r="F57" s="62"/>
      <c r="G57" s="65"/>
      <c r="H57" s="64" t="e">
        <f>G57/F57</f>
        <v>#DIV/0!</v>
      </c>
      <c r="I57" s="62">
        <v>0</v>
      </c>
      <c r="J57" s="65">
        <v>0</v>
      </c>
      <c r="K57" s="64">
        <v>0</v>
      </c>
      <c r="L57" s="66">
        <f t="shared" si="2"/>
        <v>0</v>
      </c>
      <c r="M57" s="62">
        <v>0</v>
      </c>
      <c r="N57" s="67">
        <v>0</v>
      </c>
      <c r="O57" s="148" t="s">
        <v>308</v>
      </c>
    </row>
    <row r="58" spans="1:17" x14ac:dyDescent="0.25">
      <c r="A58" s="81" t="s">
        <v>326</v>
      </c>
      <c r="B58" s="18"/>
      <c r="C58" s="62">
        <v>0</v>
      </c>
      <c r="D58" s="63">
        <v>0</v>
      </c>
      <c r="E58" s="64">
        <v>0</v>
      </c>
      <c r="F58" s="62"/>
      <c r="G58" s="65"/>
      <c r="H58" s="64" t="e">
        <f>G58/F58</f>
        <v>#DIV/0!</v>
      </c>
      <c r="I58" s="62">
        <v>0</v>
      </c>
      <c r="J58" s="65">
        <v>0</v>
      </c>
      <c r="K58" s="64">
        <v>0</v>
      </c>
      <c r="L58" s="66">
        <f t="shared" si="2"/>
        <v>0</v>
      </c>
      <c r="M58" s="62">
        <v>0</v>
      </c>
      <c r="N58" s="67">
        <v>0</v>
      </c>
      <c r="O58" s="148" t="s">
        <v>308</v>
      </c>
    </row>
    <row r="59" spans="1:17" ht="41.4" x14ac:dyDescent="0.25">
      <c r="A59" s="155" t="s">
        <v>14</v>
      </c>
      <c r="B59" s="23" t="s">
        <v>13</v>
      </c>
      <c r="C59" s="72">
        <f>SUM(C60:C60)</f>
        <v>0</v>
      </c>
      <c r="D59" s="73">
        <f>SUM(D60:D60)</f>
        <v>0</v>
      </c>
      <c r="E59" s="82">
        <v>0</v>
      </c>
      <c r="F59" s="72">
        <f>SUM(F60:F60)</f>
        <v>0</v>
      </c>
      <c r="G59" s="73">
        <f>SUM(G60:G60)</f>
        <v>0</v>
      </c>
      <c r="H59" s="82">
        <v>0</v>
      </c>
      <c r="I59" s="72">
        <f>SUM(I60:I60)</f>
        <v>0</v>
      </c>
      <c r="J59" s="73">
        <f>SUM(J60:J60)</f>
        <v>0</v>
      </c>
      <c r="K59" s="82">
        <v>0</v>
      </c>
      <c r="L59" s="60">
        <f t="shared" si="2"/>
        <v>0</v>
      </c>
      <c r="M59" s="72">
        <f>SUM(M60:M60)</f>
        <v>0</v>
      </c>
      <c r="N59" s="74">
        <f>SUM(N60:N60)</f>
        <v>0</v>
      </c>
      <c r="O59" s="148"/>
    </row>
    <row r="60" spans="1:17" x14ac:dyDescent="0.25">
      <c r="A60" s="81"/>
      <c r="B60" s="19"/>
      <c r="C60" s="62">
        <v>0</v>
      </c>
      <c r="D60" s="65">
        <v>0</v>
      </c>
      <c r="E60" s="64">
        <v>0</v>
      </c>
      <c r="F60" s="62">
        <v>0</v>
      </c>
      <c r="G60" s="65">
        <v>0</v>
      </c>
      <c r="H60" s="64">
        <v>0</v>
      </c>
      <c r="I60" s="62">
        <v>0</v>
      </c>
      <c r="J60" s="65">
        <v>0</v>
      </c>
      <c r="K60" s="64">
        <v>0</v>
      </c>
      <c r="L60" s="66">
        <v>0</v>
      </c>
      <c r="M60" s="62">
        <v>0</v>
      </c>
      <c r="N60" s="67">
        <v>0</v>
      </c>
      <c r="O60" s="148"/>
    </row>
    <row r="61" spans="1:17" s="71" customFormat="1" ht="41.4" x14ac:dyDescent="0.25">
      <c r="A61" s="155" t="s">
        <v>16</v>
      </c>
      <c r="B61" s="17" t="s">
        <v>15</v>
      </c>
      <c r="C61" s="72">
        <f>SUM(C62:C66)</f>
        <v>0</v>
      </c>
      <c r="D61" s="73">
        <f>SUM(D62:D66)</f>
        <v>0</v>
      </c>
      <c r="E61" s="82">
        <v>0</v>
      </c>
      <c r="F61" s="72">
        <f>SUM(F62:F66)</f>
        <v>0</v>
      </c>
      <c r="G61" s="73">
        <f>SUM(G62:G66)</f>
        <v>0</v>
      </c>
      <c r="H61" s="82" t="e">
        <f>G61/F61</f>
        <v>#DIV/0!</v>
      </c>
      <c r="I61" s="72">
        <f>SUM(I62:I66)</f>
        <v>0</v>
      </c>
      <c r="J61" s="73">
        <f>SUM(J62:J66)</f>
        <v>0</v>
      </c>
      <c r="K61" s="82">
        <v>0</v>
      </c>
      <c r="L61" s="60">
        <f t="shared" ref="L61:L67" si="7">D61+G61+J61</f>
        <v>0</v>
      </c>
      <c r="M61" s="72">
        <f>SUM(M62:M66)</f>
        <v>0</v>
      </c>
      <c r="N61" s="74">
        <f>SUM(N62:N66)</f>
        <v>0</v>
      </c>
      <c r="O61" s="148"/>
      <c r="P61" s="76"/>
      <c r="Q61" s="70"/>
    </row>
    <row r="62" spans="1:17" s="71" customFormat="1" x14ac:dyDescent="0.25">
      <c r="A62" s="81" t="s">
        <v>257</v>
      </c>
      <c r="B62" s="19"/>
      <c r="C62" s="62">
        <v>0</v>
      </c>
      <c r="D62" s="63">
        <v>0</v>
      </c>
      <c r="E62" s="64">
        <v>0</v>
      </c>
      <c r="F62" s="62">
        <v>0</v>
      </c>
      <c r="G62" s="65">
        <v>0</v>
      </c>
      <c r="H62" s="64">
        <v>0</v>
      </c>
      <c r="I62" s="62">
        <v>0</v>
      </c>
      <c r="J62" s="65">
        <v>0</v>
      </c>
      <c r="K62" s="64">
        <v>0</v>
      </c>
      <c r="L62" s="66">
        <f t="shared" si="7"/>
        <v>0</v>
      </c>
      <c r="M62" s="62">
        <v>0</v>
      </c>
      <c r="N62" s="67">
        <v>0</v>
      </c>
      <c r="O62" s="148"/>
      <c r="P62" s="69"/>
      <c r="Q62" s="70"/>
    </row>
    <row r="63" spans="1:17" s="71" customFormat="1" x14ac:dyDescent="0.25">
      <c r="A63" s="81" t="s">
        <v>148</v>
      </c>
      <c r="B63" s="18"/>
      <c r="C63" s="62">
        <v>0</v>
      </c>
      <c r="D63" s="65">
        <v>0</v>
      </c>
      <c r="E63" s="64">
        <v>0</v>
      </c>
      <c r="F63" s="68">
        <v>0</v>
      </c>
      <c r="G63" s="65">
        <v>0</v>
      </c>
      <c r="H63" s="64">
        <v>0</v>
      </c>
      <c r="I63" s="62">
        <v>0</v>
      </c>
      <c r="J63" s="63">
        <v>0</v>
      </c>
      <c r="K63" s="64">
        <v>0</v>
      </c>
      <c r="L63" s="66">
        <f t="shared" si="7"/>
        <v>0</v>
      </c>
      <c r="M63" s="62">
        <v>0</v>
      </c>
      <c r="N63" s="67">
        <v>0</v>
      </c>
      <c r="O63" s="148"/>
      <c r="P63" s="69"/>
      <c r="Q63" s="70"/>
    </row>
    <row r="64" spans="1:17" x14ac:dyDescent="0.25">
      <c r="A64" s="81" t="s">
        <v>206</v>
      </c>
      <c r="B64" s="19"/>
      <c r="C64" s="62">
        <v>0</v>
      </c>
      <c r="D64" s="63">
        <v>0</v>
      </c>
      <c r="E64" s="64">
        <v>1</v>
      </c>
      <c r="F64" s="62">
        <v>0</v>
      </c>
      <c r="G64" s="65">
        <v>0</v>
      </c>
      <c r="H64" s="64">
        <v>0</v>
      </c>
      <c r="I64" s="62">
        <v>0</v>
      </c>
      <c r="J64" s="65">
        <v>0</v>
      </c>
      <c r="K64" s="64">
        <v>0</v>
      </c>
      <c r="L64" s="66">
        <f t="shared" si="7"/>
        <v>0</v>
      </c>
      <c r="M64" s="62">
        <v>0</v>
      </c>
      <c r="N64" s="67">
        <v>0</v>
      </c>
      <c r="O64" s="148"/>
    </row>
    <row r="65" spans="1:17" s="71" customFormat="1" x14ac:dyDescent="0.25">
      <c r="A65" s="81" t="s">
        <v>195</v>
      </c>
      <c r="B65" s="18"/>
      <c r="C65" s="62">
        <v>0</v>
      </c>
      <c r="D65" s="65">
        <v>0</v>
      </c>
      <c r="E65" s="64">
        <v>0</v>
      </c>
      <c r="F65" s="68">
        <v>0</v>
      </c>
      <c r="G65" s="65">
        <v>0</v>
      </c>
      <c r="H65" s="64" t="e">
        <f>G65/F65</f>
        <v>#DIV/0!</v>
      </c>
      <c r="I65" s="62">
        <v>0</v>
      </c>
      <c r="J65" s="63">
        <v>0</v>
      </c>
      <c r="K65" s="64">
        <v>0</v>
      </c>
      <c r="L65" s="66">
        <f t="shared" si="7"/>
        <v>0</v>
      </c>
      <c r="M65" s="62">
        <v>0</v>
      </c>
      <c r="N65" s="67">
        <v>0</v>
      </c>
      <c r="O65" s="148" t="s">
        <v>350</v>
      </c>
      <c r="P65" s="69"/>
      <c r="Q65" s="70"/>
    </row>
    <row r="66" spans="1:17" x14ac:dyDescent="0.25">
      <c r="A66" s="81" t="s">
        <v>256</v>
      </c>
      <c r="B66" s="19"/>
      <c r="C66" s="62">
        <v>0</v>
      </c>
      <c r="D66" s="65">
        <v>0</v>
      </c>
      <c r="E66" s="64">
        <v>0</v>
      </c>
      <c r="F66" s="68">
        <v>0</v>
      </c>
      <c r="G66" s="65">
        <v>0</v>
      </c>
      <c r="H66" s="64">
        <v>0</v>
      </c>
      <c r="I66" s="62">
        <v>0</v>
      </c>
      <c r="J66" s="63">
        <v>0</v>
      </c>
      <c r="K66" s="64">
        <v>1</v>
      </c>
      <c r="L66" s="66">
        <f t="shared" si="7"/>
        <v>0</v>
      </c>
      <c r="M66" s="62">
        <v>0</v>
      </c>
      <c r="N66" s="67">
        <v>0</v>
      </c>
      <c r="O66" s="148"/>
    </row>
    <row r="67" spans="1:17" ht="41.4" x14ac:dyDescent="0.25">
      <c r="A67" s="155" t="s">
        <v>18</v>
      </c>
      <c r="B67" s="17" t="s">
        <v>17</v>
      </c>
      <c r="C67" s="72">
        <f>SUM(C68:C70)</f>
        <v>0</v>
      </c>
      <c r="D67" s="73">
        <f>SUM(D68:D70)</f>
        <v>0</v>
      </c>
      <c r="E67" s="82">
        <v>0</v>
      </c>
      <c r="F67" s="72">
        <f>SUM(F68:F70)</f>
        <v>0</v>
      </c>
      <c r="G67" s="73">
        <f>SUM(G68:G70)</f>
        <v>0</v>
      </c>
      <c r="H67" s="82" t="e">
        <f>G67/F67</f>
        <v>#DIV/0!</v>
      </c>
      <c r="I67" s="72">
        <f>SUM(I68:I70)</f>
        <v>0</v>
      </c>
      <c r="J67" s="73">
        <f>SUM(J68:J70)</f>
        <v>0</v>
      </c>
      <c r="K67" s="82">
        <v>0</v>
      </c>
      <c r="L67" s="60">
        <f t="shared" si="7"/>
        <v>0</v>
      </c>
      <c r="M67" s="72">
        <f>SUM(M68:M70)</f>
        <v>0</v>
      </c>
      <c r="N67" s="74">
        <f>SUM(N68:N70)</f>
        <v>0</v>
      </c>
      <c r="O67" s="148"/>
      <c r="P67" s="77"/>
    </row>
    <row r="68" spans="1:17" x14ac:dyDescent="0.25">
      <c r="A68" s="81" t="s">
        <v>275</v>
      </c>
      <c r="B68" s="19"/>
      <c r="C68" s="62">
        <v>0</v>
      </c>
      <c r="D68" s="63">
        <v>0</v>
      </c>
      <c r="E68" s="64">
        <v>1</v>
      </c>
      <c r="F68" s="62">
        <v>0</v>
      </c>
      <c r="G68" s="65">
        <v>0</v>
      </c>
      <c r="H68" s="64">
        <v>0</v>
      </c>
      <c r="I68" s="62">
        <v>0</v>
      </c>
      <c r="J68" s="65">
        <v>0</v>
      </c>
      <c r="K68" s="64">
        <v>0</v>
      </c>
      <c r="L68" s="66">
        <v>0</v>
      </c>
      <c r="M68" s="62">
        <v>0</v>
      </c>
      <c r="N68" s="67">
        <v>0</v>
      </c>
      <c r="O68" s="148"/>
    </row>
    <row r="69" spans="1:17" ht="26.4" x14ac:dyDescent="0.25">
      <c r="A69" s="81" t="s">
        <v>208</v>
      </c>
      <c r="B69" s="19"/>
      <c r="C69" s="62">
        <v>0</v>
      </c>
      <c r="D69" s="65">
        <v>0</v>
      </c>
      <c r="E69" s="64">
        <v>1</v>
      </c>
      <c r="F69" s="68">
        <v>0</v>
      </c>
      <c r="G69" s="65">
        <v>0</v>
      </c>
      <c r="H69" s="64">
        <v>0</v>
      </c>
      <c r="I69" s="62">
        <v>0</v>
      </c>
      <c r="J69" s="65">
        <v>0</v>
      </c>
      <c r="K69" s="64">
        <v>0</v>
      </c>
      <c r="L69" s="66">
        <f>D69+G69+J69</f>
        <v>0</v>
      </c>
      <c r="M69" s="62">
        <v>0</v>
      </c>
      <c r="N69" s="67">
        <v>0</v>
      </c>
      <c r="O69" s="148"/>
    </row>
    <row r="70" spans="1:17" s="71" customFormat="1" x14ac:dyDescent="0.25">
      <c r="A70" s="81" t="s">
        <v>195</v>
      </c>
      <c r="B70" s="18"/>
      <c r="C70" s="62">
        <v>0</v>
      </c>
      <c r="D70" s="65">
        <v>0</v>
      </c>
      <c r="E70" s="64">
        <v>0</v>
      </c>
      <c r="F70" s="68">
        <v>0</v>
      </c>
      <c r="G70" s="65">
        <v>0</v>
      </c>
      <c r="H70" s="64">
        <v>0</v>
      </c>
      <c r="I70" s="62">
        <v>0</v>
      </c>
      <c r="J70" s="65">
        <v>0</v>
      </c>
      <c r="K70" s="64">
        <v>0</v>
      </c>
      <c r="L70" s="66">
        <v>0</v>
      </c>
      <c r="M70" s="62">
        <f>4700000-4700000</f>
        <v>0</v>
      </c>
      <c r="N70" s="67">
        <v>0</v>
      </c>
      <c r="O70" s="148"/>
      <c r="P70" s="69"/>
      <c r="Q70" s="70"/>
    </row>
    <row r="71" spans="1:17" ht="55.2" x14ac:dyDescent="0.25">
      <c r="A71" s="155" t="s">
        <v>20</v>
      </c>
      <c r="B71" s="23" t="s">
        <v>19</v>
      </c>
      <c r="C71" s="72">
        <f>SUM(C72:C72)</f>
        <v>0</v>
      </c>
      <c r="D71" s="73">
        <f>SUM(D72:D72)</f>
        <v>0</v>
      </c>
      <c r="E71" s="82">
        <v>0</v>
      </c>
      <c r="F71" s="72">
        <f>SUM(F72:F72)</f>
        <v>0</v>
      </c>
      <c r="G71" s="73">
        <f>SUM(G72:G72)</f>
        <v>0</v>
      </c>
      <c r="H71" s="82">
        <v>0</v>
      </c>
      <c r="I71" s="72">
        <f>SUM(I72:I72)</f>
        <v>0</v>
      </c>
      <c r="J71" s="73">
        <f>SUM(J72:J72)</f>
        <v>0</v>
      </c>
      <c r="K71" s="82">
        <v>0</v>
      </c>
      <c r="L71" s="60">
        <f t="shared" ref="L71:L86" si="8">D71+G71+J71</f>
        <v>0</v>
      </c>
      <c r="M71" s="72">
        <f>SUM(M72:M72)</f>
        <v>0</v>
      </c>
      <c r="N71" s="74">
        <f>SUM(N72:N72)</f>
        <v>0</v>
      </c>
      <c r="O71" s="148"/>
    </row>
    <row r="72" spans="1:17" ht="27" thickBot="1" x14ac:dyDescent="0.3">
      <c r="A72" s="81" t="s">
        <v>339</v>
      </c>
      <c r="B72" s="18"/>
      <c r="C72" s="62">
        <v>0</v>
      </c>
      <c r="D72" s="65">
        <v>0</v>
      </c>
      <c r="E72" s="64">
        <v>0</v>
      </c>
      <c r="F72" s="62">
        <v>0</v>
      </c>
      <c r="G72" s="65">
        <v>0</v>
      </c>
      <c r="H72" s="64" t="e">
        <f>G72/F72</f>
        <v>#DIV/0!</v>
      </c>
      <c r="I72" s="62">
        <v>0</v>
      </c>
      <c r="J72" s="65">
        <v>0</v>
      </c>
      <c r="K72" s="64">
        <v>0</v>
      </c>
      <c r="L72" s="66">
        <f t="shared" si="8"/>
        <v>0</v>
      </c>
      <c r="M72" s="62">
        <v>0</v>
      </c>
      <c r="N72" s="67">
        <v>0</v>
      </c>
      <c r="O72" s="148" t="s">
        <v>308</v>
      </c>
    </row>
    <row r="73" spans="1:17" ht="27" thickBot="1" x14ac:dyDescent="0.3">
      <c r="A73" s="153" t="s">
        <v>22</v>
      </c>
      <c r="B73" s="16" t="s">
        <v>21</v>
      </c>
      <c r="C73" s="92">
        <f>C74+C86+C88</f>
        <v>0</v>
      </c>
      <c r="D73" s="93">
        <f>D74+D86+D88</f>
        <v>0</v>
      </c>
      <c r="E73" s="94" t="e">
        <f t="shared" ref="E73:E79" si="9">D73/C73</f>
        <v>#DIV/0!</v>
      </c>
      <c r="F73" s="92">
        <f>F74+F86+F88</f>
        <v>0</v>
      </c>
      <c r="G73" s="93">
        <f>G74+G86+G88</f>
        <v>0</v>
      </c>
      <c r="H73" s="94" t="e">
        <f>G73/F73</f>
        <v>#DIV/0!</v>
      </c>
      <c r="I73" s="92">
        <f>I74+I86+I88</f>
        <v>0</v>
      </c>
      <c r="J73" s="93">
        <f>J74+J86+J88</f>
        <v>0</v>
      </c>
      <c r="K73" s="94">
        <v>0</v>
      </c>
      <c r="L73" s="95">
        <f t="shared" si="8"/>
        <v>0</v>
      </c>
      <c r="M73" s="92">
        <f>M74+M86+M88</f>
        <v>0</v>
      </c>
      <c r="N73" s="96">
        <f>N74+N86+N88</f>
        <v>0</v>
      </c>
      <c r="O73" s="148"/>
      <c r="P73" s="77"/>
    </row>
    <row r="74" spans="1:17" ht="41.4" x14ac:dyDescent="0.25">
      <c r="A74" s="154" t="s">
        <v>24</v>
      </c>
      <c r="B74" s="17" t="s">
        <v>23</v>
      </c>
      <c r="C74" s="57">
        <f>SUM(C75:C85)</f>
        <v>0</v>
      </c>
      <c r="D74" s="58">
        <f>SUM(D75:D85)</f>
        <v>0</v>
      </c>
      <c r="E74" s="59" t="e">
        <f t="shared" si="9"/>
        <v>#DIV/0!</v>
      </c>
      <c r="F74" s="57">
        <f>SUM(F75:F85)</f>
        <v>0</v>
      </c>
      <c r="G74" s="58">
        <f>SUM(G75:G85)</f>
        <v>0</v>
      </c>
      <c r="H74" s="59" t="e">
        <f>G74/F74</f>
        <v>#DIV/0!</v>
      </c>
      <c r="I74" s="57">
        <f>SUM(I75:I85)</f>
        <v>0</v>
      </c>
      <c r="J74" s="58">
        <f>SUM(J75:J85)</f>
        <v>0</v>
      </c>
      <c r="K74" s="59">
        <v>0</v>
      </c>
      <c r="L74" s="60">
        <f t="shared" si="8"/>
        <v>0</v>
      </c>
      <c r="M74" s="57">
        <f>SUM(M75:M85)</f>
        <v>0</v>
      </c>
      <c r="N74" s="61">
        <f>SUM(N75:N85)</f>
        <v>0</v>
      </c>
      <c r="O74" s="148"/>
    </row>
    <row r="75" spans="1:17" ht="26.4" x14ac:dyDescent="0.25">
      <c r="A75" s="81" t="s">
        <v>125</v>
      </c>
      <c r="B75" s="18"/>
      <c r="C75" s="62"/>
      <c r="D75" s="63"/>
      <c r="E75" s="64" t="e">
        <f t="shared" si="9"/>
        <v>#DIV/0!</v>
      </c>
      <c r="F75" s="62"/>
      <c r="G75" s="65"/>
      <c r="H75" s="64">
        <v>0</v>
      </c>
      <c r="I75" s="62"/>
      <c r="J75" s="65"/>
      <c r="K75" s="64">
        <v>0</v>
      </c>
      <c r="L75" s="66">
        <f t="shared" si="8"/>
        <v>0</v>
      </c>
      <c r="M75" s="62">
        <v>0</v>
      </c>
      <c r="N75" s="67">
        <v>0</v>
      </c>
      <c r="O75" s="148"/>
    </row>
    <row r="76" spans="1:17" x14ac:dyDescent="0.25">
      <c r="A76" s="81" t="s">
        <v>314</v>
      </c>
      <c r="B76" s="18"/>
      <c r="C76" s="62"/>
      <c r="D76" s="63"/>
      <c r="E76" s="64" t="e">
        <f t="shared" si="9"/>
        <v>#DIV/0!</v>
      </c>
      <c r="F76" s="62"/>
      <c r="G76" s="65"/>
      <c r="H76" s="64">
        <v>0</v>
      </c>
      <c r="I76" s="62"/>
      <c r="J76" s="65"/>
      <c r="K76" s="64">
        <v>0</v>
      </c>
      <c r="L76" s="66">
        <f t="shared" si="8"/>
        <v>0</v>
      </c>
      <c r="M76" s="62">
        <v>0</v>
      </c>
      <c r="N76" s="67">
        <v>0</v>
      </c>
      <c r="O76" s="148"/>
    </row>
    <row r="77" spans="1:17" ht="26.4" x14ac:dyDescent="0.25">
      <c r="A77" s="81" t="s">
        <v>172</v>
      </c>
      <c r="B77" s="18"/>
      <c r="C77" s="62"/>
      <c r="D77" s="63"/>
      <c r="E77" s="64" t="e">
        <f t="shared" si="9"/>
        <v>#DIV/0!</v>
      </c>
      <c r="F77" s="62"/>
      <c r="G77" s="65"/>
      <c r="H77" s="64">
        <v>0</v>
      </c>
      <c r="I77" s="62"/>
      <c r="J77" s="65"/>
      <c r="K77" s="64">
        <v>0</v>
      </c>
      <c r="L77" s="66">
        <f t="shared" si="8"/>
        <v>0</v>
      </c>
      <c r="M77" s="62">
        <v>0</v>
      </c>
      <c r="N77" s="67">
        <v>0</v>
      </c>
      <c r="O77" s="148"/>
    </row>
    <row r="78" spans="1:17" s="71" customFormat="1" ht="26.4" x14ac:dyDescent="0.25">
      <c r="A78" s="81" t="s">
        <v>173</v>
      </c>
      <c r="B78" s="18"/>
      <c r="C78" s="62"/>
      <c r="D78" s="63"/>
      <c r="E78" s="64" t="e">
        <f t="shared" si="9"/>
        <v>#DIV/0!</v>
      </c>
      <c r="F78" s="68"/>
      <c r="G78" s="63"/>
      <c r="H78" s="64" t="e">
        <f>G78/F78</f>
        <v>#DIV/0!</v>
      </c>
      <c r="I78" s="62"/>
      <c r="J78" s="65"/>
      <c r="K78" s="64">
        <v>0</v>
      </c>
      <c r="L78" s="66">
        <f t="shared" si="8"/>
        <v>0</v>
      </c>
      <c r="M78" s="62">
        <v>0</v>
      </c>
      <c r="N78" s="67">
        <v>0</v>
      </c>
      <c r="O78" s="148" t="s">
        <v>308</v>
      </c>
      <c r="P78" s="69"/>
      <c r="Q78" s="70"/>
    </row>
    <row r="79" spans="1:17" ht="26.4" x14ac:dyDescent="0.25">
      <c r="A79" s="81" t="s">
        <v>126</v>
      </c>
      <c r="B79" s="18"/>
      <c r="C79" s="62"/>
      <c r="D79" s="63"/>
      <c r="E79" s="64" t="e">
        <f t="shared" si="9"/>
        <v>#DIV/0!</v>
      </c>
      <c r="F79" s="62"/>
      <c r="G79" s="65"/>
      <c r="H79" s="64">
        <v>0</v>
      </c>
      <c r="I79" s="62"/>
      <c r="J79" s="65"/>
      <c r="K79" s="64">
        <v>0</v>
      </c>
      <c r="L79" s="66">
        <f t="shared" si="8"/>
        <v>0</v>
      </c>
      <c r="M79" s="62">
        <v>0</v>
      </c>
      <c r="N79" s="67">
        <v>0</v>
      </c>
      <c r="O79" s="148"/>
    </row>
    <row r="80" spans="1:17" ht="26.4" x14ac:dyDescent="0.25">
      <c r="A80" s="81" t="s">
        <v>127</v>
      </c>
      <c r="B80" s="18"/>
      <c r="C80" s="62"/>
      <c r="D80" s="63"/>
      <c r="E80" s="64">
        <v>1</v>
      </c>
      <c r="F80" s="62"/>
      <c r="G80" s="65"/>
      <c r="H80" s="64">
        <v>0</v>
      </c>
      <c r="I80" s="62"/>
      <c r="J80" s="65"/>
      <c r="K80" s="64">
        <v>0</v>
      </c>
      <c r="L80" s="66">
        <f t="shared" si="8"/>
        <v>0</v>
      </c>
      <c r="M80" s="62">
        <v>0</v>
      </c>
      <c r="N80" s="67">
        <v>0</v>
      </c>
      <c r="O80" s="148"/>
    </row>
    <row r="81" spans="1:17" ht="26.4" x14ac:dyDescent="0.25">
      <c r="A81" s="81" t="s">
        <v>289</v>
      </c>
      <c r="B81" s="18"/>
      <c r="C81" s="62"/>
      <c r="D81" s="63"/>
      <c r="E81" s="64" t="e">
        <f>D81/C81</f>
        <v>#DIV/0!</v>
      </c>
      <c r="F81" s="62"/>
      <c r="G81" s="65"/>
      <c r="H81" s="64">
        <v>0</v>
      </c>
      <c r="I81" s="62"/>
      <c r="J81" s="65"/>
      <c r="K81" s="64">
        <v>0</v>
      </c>
      <c r="L81" s="66">
        <f t="shared" si="8"/>
        <v>0</v>
      </c>
      <c r="M81" s="62">
        <v>0</v>
      </c>
      <c r="N81" s="67">
        <v>0</v>
      </c>
      <c r="O81" s="148"/>
    </row>
    <row r="82" spans="1:17" ht="26.4" x14ac:dyDescent="0.25">
      <c r="A82" s="81" t="s">
        <v>274</v>
      </c>
      <c r="B82" s="19"/>
      <c r="C82" s="62"/>
      <c r="D82" s="63"/>
      <c r="E82" s="64">
        <v>0</v>
      </c>
      <c r="F82" s="62"/>
      <c r="G82" s="65"/>
      <c r="H82" s="64">
        <v>0</v>
      </c>
      <c r="I82" s="62"/>
      <c r="J82" s="65"/>
      <c r="K82" s="64">
        <v>0</v>
      </c>
      <c r="L82" s="66">
        <f t="shared" si="8"/>
        <v>0</v>
      </c>
      <c r="M82" s="62">
        <v>0</v>
      </c>
      <c r="N82" s="67">
        <v>0</v>
      </c>
      <c r="O82" s="148"/>
    </row>
    <row r="83" spans="1:17" s="71" customFormat="1" x14ac:dyDescent="0.25">
      <c r="A83" s="81" t="s">
        <v>259</v>
      </c>
      <c r="B83" s="18"/>
      <c r="C83" s="62"/>
      <c r="D83" s="63"/>
      <c r="E83" s="64">
        <v>0</v>
      </c>
      <c r="F83" s="62"/>
      <c r="G83" s="65"/>
      <c r="H83" s="64">
        <v>0</v>
      </c>
      <c r="I83" s="62"/>
      <c r="J83" s="65"/>
      <c r="K83" s="64">
        <v>0</v>
      </c>
      <c r="L83" s="66">
        <f t="shared" si="8"/>
        <v>0</v>
      </c>
      <c r="M83" s="62">
        <v>0</v>
      </c>
      <c r="N83" s="67">
        <v>0</v>
      </c>
      <c r="O83" s="148"/>
      <c r="P83" s="69"/>
      <c r="Q83" s="70"/>
    </row>
    <row r="84" spans="1:17" x14ac:dyDescent="0.25">
      <c r="A84" s="81" t="s">
        <v>301</v>
      </c>
      <c r="B84" s="18"/>
      <c r="C84" s="62"/>
      <c r="D84" s="63"/>
      <c r="E84" s="64" t="e">
        <f>D84/C84</f>
        <v>#DIV/0!</v>
      </c>
      <c r="F84" s="62"/>
      <c r="G84" s="65"/>
      <c r="H84" s="64">
        <v>0</v>
      </c>
      <c r="I84" s="62"/>
      <c r="J84" s="65"/>
      <c r="K84" s="64">
        <v>0</v>
      </c>
      <c r="L84" s="66">
        <f t="shared" si="8"/>
        <v>0</v>
      </c>
      <c r="M84" s="62">
        <v>0</v>
      </c>
      <c r="N84" s="67">
        <v>0</v>
      </c>
      <c r="O84" s="147" t="s">
        <v>345</v>
      </c>
    </row>
    <row r="85" spans="1:17" x14ac:dyDescent="0.25">
      <c r="A85" s="81" t="s">
        <v>147</v>
      </c>
      <c r="B85" s="18"/>
      <c r="C85" s="62"/>
      <c r="D85" s="65"/>
      <c r="E85" s="64">
        <v>0</v>
      </c>
      <c r="F85" s="62"/>
      <c r="G85" s="63"/>
      <c r="H85" s="64">
        <v>0</v>
      </c>
      <c r="I85" s="62"/>
      <c r="J85" s="63"/>
      <c r="K85" s="64" t="e">
        <f>J85/I85</f>
        <v>#DIV/0!</v>
      </c>
      <c r="L85" s="66">
        <f t="shared" si="8"/>
        <v>0</v>
      </c>
      <c r="M85" s="62">
        <v>0</v>
      </c>
      <c r="N85" s="67">
        <v>0</v>
      </c>
      <c r="O85" s="148" t="s">
        <v>308</v>
      </c>
    </row>
    <row r="86" spans="1:17" ht="27.6" x14ac:dyDescent="0.25">
      <c r="A86" s="155" t="s">
        <v>26</v>
      </c>
      <c r="B86" s="23" t="s">
        <v>25</v>
      </c>
      <c r="C86" s="72">
        <f>SUM(C87:C87)</f>
        <v>0</v>
      </c>
      <c r="D86" s="73">
        <f>SUM(D87:D87)</f>
        <v>0</v>
      </c>
      <c r="E86" s="82">
        <v>0</v>
      </c>
      <c r="F86" s="72">
        <f>SUM(F87:F87)</f>
        <v>0</v>
      </c>
      <c r="G86" s="73">
        <f>SUM(G87:G87)</f>
        <v>0</v>
      </c>
      <c r="H86" s="82">
        <v>0</v>
      </c>
      <c r="I86" s="72">
        <f>SUM(I87:I87)</f>
        <v>0</v>
      </c>
      <c r="J86" s="73">
        <f>SUM(J87:J87)</f>
        <v>0</v>
      </c>
      <c r="K86" s="82">
        <v>0</v>
      </c>
      <c r="L86" s="60">
        <f t="shared" si="8"/>
        <v>0</v>
      </c>
      <c r="M86" s="72">
        <f>SUM(M87:M87)</f>
        <v>0</v>
      </c>
      <c r="N86" s="74">
        <f>SUM(N87:N87)</f>
        <v>0</v>
      </c>
      <c r="O86" s="148"/>
    </row>
    <row r="87" spans="1:17" x14ac:dyDescent="0.25">
      <c r="A87" s="81"/>
      <c r="B87" s="19"/>
      <c r="C87" s="62"/>
      <c r="D87" s="65"/>
      <c r="E87" s="64">
        <v>0</v>
      </c>
      <c r="F87" s="62"/>
      <c r="G87" s="65"/>
      <c r="H87" s="64">
        <v>0</v>
      </c>
      <c r="I87" s="62"/>
      <c r="J87" s="65"/>
      <c r="K87" s="64">
        <v>0</v>
      </c>
      <c r="L87" s="66"/>
      <c r="M87" s="62"/>
      <c r="N87" s="67"/>
      <c r="O87" s="148"/>
    </row>
    <row r="88" spans="1:17" ht="27.6" x14ac:dyDescent="0.25">
      <c r="A88" s="155" t="s">
        <v>28</v>
      </c>
      <c r="B88" s="23" t="s">
        <v>27</v>
      </c>
      <c r="C88" s="72">
        <f>SUM(C89:C89)</f>
        <v>0</v>
      </c>
      <c r="D88" s="73">
        <f>SUM(D89:D89)</f>
        <v>0</v>
      </c>
      <c r="E88" s="82">
        <v>0</v>
      </c>
      <c r="F88" s="72">
        <f>SUM(F89:F89)</f>
        <v>0</v>
      </c>
      <c r="G88" s="73">
        <f>SUM(G89:G89)</f>
        <v>0</v>
      </c>
      <c r="H88" s="82">
        <v>0</v>
      </c>
      <c r="I88" s="72">
        <f>SUM(I89:I89)</f>
        <v>0</v>
      </c>
      <c r="J88" s="73">
        <f>SUM(J89:J89)</f>
        <v>0</v>
      </c>
      <c r="K88" s="82">
        <v>0</v>
      </c>
      <c r="L88" s="60">
        <f>D88+G88+J88</f>
        <v>0</v>
      </c>
      <c r="M88" s="72">
        <f>SUM(M89:M89)</f>
        <v>0</v>
      </c>
      <c r="N88" s="74">
        <f>SUM(N89:N89)</f>
        <v>0</v>
      </c>
      <c r="O88" s="148"/>
    </row>
    <row r="89" spans="1:17" ht="13.8" thickBot="1" x14ac:dyDescent="0.3">
      <c r="A89" s="81"/>
      <c r="B89" s="19"/>
      <c r="C89" s="62"/>
      <c r="D89" s="65"/>
      <c r="E89" s="64">
        <v>0</v>
      </c>
      <c r="F89" s="62"/>
      <c r="G89" s="65"/>
      <c r="H89" s="64">
        <v>0</v>
      </c>
      <c r="I89" s="62"/>
      <c r="J89" s="65"/>
      <c r="K89" s="64">
        <v>0</v>
      </c>
      <c r="L89" s="66"/>
      <c r="M89" s="62"/>
      <c r="N89" s="67"/>
      <c r="O89" s="148"/>
    </row>
    <row r="90" spans="1:17" ht="40.200000000000003" thickBot="1" x14ac:dyDescent="0.3">
      <c r="A90" s="153" t="s">
        <v>30</v>
      </c>
      <c r="B90" s="16" t="s">
        <v>29</v>
      </c>
      <c r="C90" s="92">
        <f>C91+C93+C96+C100</f>
        <v>0</v>
      </c>
      <c r="D90" s="93">
        <f>D91+D93+D96+D100</f>
        <v>0</v>
      </c>
      <c r="E90" s="94">
        <v>0</v>
      </c>
      <c r="F90" s="92">
        <f>F91+F93+F96+F100</f>
        <v>0</v>
      </c>
      <c r="G90" s="93">
        <f>G91+G93+G96+G100</f>
        <v>0</v>
      </c>
      <c r="H90" s="94" t="e">
        <f>G90/F90</f>
        <v>#DIV/0!</v>
      </c>
      <c r="I90" s="92">
        <f>I91+I93+I96+I100</f>
        <v>0</v>
      </c>
      <c r="J90" s="93">
        <f>J91+J93+J96+J100</f>
        <v>0</v>
      </c>
      <c r="K90" s="94">
        <v>0</v>
      </c>
      <c r="L90" s="95">
        <f t="shared" ref="L90:L112" si="10">D90+G90+J90</f>
        <v>0</v>
      </c>
      <c r="M90" s="92">
        <f>M91+M93+M96+M100</f>
        <v>0</v>
      </c>
      <c r="N90" s="96">
        <f>N91+N93+N96+N100</f>
        <v>0</v>
      </c>
      <c r="O90" s="148"/>
    </row>
    <row r="91" spans="1:17" ht="39.6" x14ac:dyDescent="0.25">
      <c r="A91" s="156" t="s">
        <v>32</v>
      </c>
      <c r="B91" s="25" t="s">
        <v>31</v>
      </c>
      <c r="C91" s="186">
        <f>C92</f>
        <v>0</v>
      </c>
      <c r="D91" s="187">
        <f>D92</f>
        <v>0</v>
      </c>
      <c r="E91" s="188">
        <v>0</v>
      </c>
      <c r="F91" s="186">
        <f>F92</f>
        <v>0</v>
      </c>
      <c r="G91" s="187">
        <f>G92</f>
        <v>0</v>
      </c>
      <c r="H91" s="188" t="e">
        <f>G91/F91</f>
        <v>#DIV/0!</v>
      </c>
      <c r="I91" s="186">
        <f>I92</f>
        <v>0</v>
      </c>
      <c r="J91" s="187">
        <f>J92</f>
        <v>0</v>
      </c>
      <c r="K91" s="188">
        <v>0</v>
      </c>
      <c r="L91" s="60">
        <f t="shared" si="10"/>
        <v>0</v>
      </c>
      <c r="M91" s="186">
        <f>M92</f>
        <v>0</v>
      </c>
      <c r="N91" s="189">
        <f>N92</f>
        <v>0</v>
      </c>
      <c r="O91" s="148"/>
    </row>
    <row r="92" spans="1:17" x14ac:dyDescent="0.25">
      <c r="A92" s="81" t="s">
        <v>311</v>
      </c>
      <c r="B92" s="18"/>
      <c r="C92" s="62">
        <v>0</v>
      </c>
      <c r="D92" s="65">
        <v>0</v>
      </c>
      <c r="E92" s="64">
        <v>0</v>
      </c>
      <c r="F92" s="68">
        <v>0</v>
      </c>
      <c r="G92" s="65">
        <v>0</v>
      </c>
      <c r="H92" s="64" t="e">
        <f>G92/F92</f>
        <v>#DIV/0!</v>
      </c>
      <c r="I92" s="62">
        <v>0</v>
      </c>
      <c r="J92" s="65">
        <v>0</v>
      </c>
      <c r="K92" s="64">
        <v>0</v>
      </c>
      <c r="L92" s="66">
        <f t="shared" si="10"/>
        <v>0</v>
      </c>
      <c r="M92" s="62">
        <v>0</v>
      </c>
      <c r="N92" s="67">
        <v>0</v>
      </c>
      <c r="O92" s="148" t="s">
        <v>308</v>
      </c>
    </row>
    <row r="93" spans="1:17" ht="55.2" x14ac:dyDescent="0.25">
      <c r="A93" s="155" t="s">
        <v>34</v>
      </c>
      <c r="B93" s="23" t="s">
        <v>33</v>
      </c>
      <c r="C93" s="72">
        <f>SUM(C94:C95)</f>
        <v>0</v>
      </c>
      <c r="D93" s="73">
        <f>SUM(D94:D95)</f>
        <v>0</v>
      </c>
      <c r="E93" s="82">
        <v>1</v>
      </c>
      <c r="F93" s="72">
        <f>SUM(F94:F95)</f>
        <v>0</v>
      </c>
      <c r="G93" s="73">
        <f>SUM(G94:G95)</f>
        <v>0</v>
      </c>
      <c r="H93" s="82">
        <v>0</v>
      </c>
      <c r="I93" s="72">
        <f>SUM(I94:I95)</f>
        <v>0</v>
      </c>
      <c r="J93" s="73">
        <f>SUM(J94:J95)</f>
        <v>0</v>
      </c>
      <c r="K93" s="82">
        <v>0</v>
      </c>
      <c r="L93" s="60">
        <f t="shared" si="10"/>
        <v>0</v>
      </c>
      <c r="M93" s="72">
        <f>SUM(M94:M95)</f>
        <v>0</v>
      </c>
      <c r="N93" s="74">
        <f>SUM(N94:N95)</f>
        <v>0</v>
      </c>
      <c r="O93" s="148"/>
    </row>
    <row r="94" spans="1:17" x14ac:dyDescent="0.25">
      <c r="A94" s="81" t="s">
        <v>234</v>
      </c>
      <c r="B94" s="19"/>
      <c r="C94" s="62">
        <v>0</v>
      </c>
      <c r="D94" s="65">
        <v>0</v>
      </c>
      <c r="E94" s="64">
        <v>0</v>
      </c>
      <c r="F94" s="62">
        <v>0</v>
      </c>
      <c r="G94" s="65">
        <v>0</v>
      </c>
      <c r="H94" s="64">
        <v>0</v>
      </c>
      <c r="I94" s="62">
        <v>0</v>
      </c>
      <c r="J94" s="65">
        <v>0</v>
      </c>
      <c r="K94" s="64">
        <v>0</v>
      </c>
      <c r="L94" s="66">
        <f t="shared" si="10"/>
        <v>0</v>
      </c>
      <c r="M94" s="62">
        <v>0</v>
      </c>
      <c r="N94" s="67">
        <v>0</v>
      </c>
      <c r="O94" s="148"/>
    </row>
    <row r="95" spans="1:17" ht="26.4" x14ac:dyDescent="0.25">
      <c r="A95" s="157" t="s">
        <v>258</v>
      </c>
      <c r="B95" s="19"/>
      <c r="C95" s="62">
        <v>0</v>
      </c>
      <c r="D95" s="65">
        <v>0</v>
      </c>
      <c r="E95" s="83">
        <v>0</v>
      </c>
      <c r="F95" s="62">
        <v>0</v>
      </c>
      <c r="G95" s="65">
        <v>0</v>
      </c>
      <c r="H95" s="84">
        <v>0</v>
      </c>
      <c r="I95" s="85">
        <v>0</v>
      </c>
      <c r="J95" s="86">
        <v>0</v>
      </c>
      <c r="K95" s="87">
        <v>0</v>
      </c>
      <c r="L95" s="88">
        <f t="shared" si="10"/>
        <v>0</v>
      </c>
      <c r="M95" s="62">
        <v>0</v>
      </c>
      <c r="N95" s="67">
        <v>0</v>
      </c>
      <c r="O95" s="150"/>
    </row>
    <row r="96" spans="1:17" ht="55.2" x14ac:dyDescent="0.25">
      <c r="A96" s="155" t="s">
        <v>36</v>
      </c>
      <c r="B96" s="23" t="s">
        <v>35</v>
      </c>
      <c r="C96" s="72">
        <f>SUM(C97:C99)</f>
        <v>0</v>
      </c>
      <c r="D96" s="73">
        <f>SUM(D97:D99)</f>
        <v>0</v>
      </c>
      <c r="E96" s="82">
        <v>0</v>
      </c>
      <c r="F96" s="72">
        <f t="shared" ref="F96:G96" si="11">SUM(F97:F99)</f>
        <v>0</v>
      </c>
      <c r="G96" s="73">
        <f t="shared" si="11"/>
        <v>0</v>
      </c>
      <c r="H96" s="82">
        <v>0</v>
      </c>
      <c r="I96" s="72">
        <f t="shared" ref="I96" si="12">SUM(I97:I99)</f>
        <v>0</v>
      </c>
      <c r="J96" s="73">
        <f t="shared" ref="J96" si="13">SUM(J97:J99)</f>
        <v>0</v>
      </c>
      <c r="K96" s="82">
        <v>0</v>
      </c>
      <c r="L96" s="60">
        <f t="shared" si="10"/>
        <v>0</v>
      </c>
      <c r="M96" s="72">
        <f t="shared" ref="M96" si="14">SUM(M97:M99)</f>
        <v>0</v>
      </c>
      <c r="N96" s="74">
        <f t="shared" ref="N96" si="15">SUM(N97:N99)</f>
        <v>0</v>
      </c>
      <c r="O96" s="148"/>
    </row>
    <row r="97" spans="1:17" x14ac:dyDescent="0.25">
      <c r="A97" s="81" t="s">
        <v>201</v>
      </c>
      <c r="B97" s="19"/>
      <c r="C97" s="62">
        <v>0</v>
      </c>
      <c r="D97" s="65">
        <v>0</v>
      </c>
      <c r="E97" s="64">
        <v>0</v>
      </c>
      <c r="F97" s="62">
        <v>0</v>
      </c>
      <c r="G97" s="65">
        <v>0</v>
      </c>
      <c r="H97" s="64">
        <v>0</v>
      </c>
      <c r="I97" s="62">
        <v>0</v>
      </c>
      <c r="J97" s="65">
        <v>0</v>
      </c>
      <c r="K97" s="64">
        <v>0</v>
      </c>
      <c r="L97" s="66">
        <f t="shared" si="10"/>
        <v>0</v>
      </c>
      <c r="M97" s="62">
        <v>0</v>
      </c>
      <c r="N97" s="67">
        <v>0</v>
      </c>
      <c r="O97" s="148"/>
    </row>
    <row r="98" spans="1:17" ht="26.4" x14ac:dyDescent="0.25">
      <c r="A98" s="81" t="s">
        <v>182</v>
      </c>
      <c r="B98" s="19"/>
      <c r="C98" s="62">
        <v>0</v>
      </c>
      <c r="D98" s="65">
        <v>0</v>
      </c>
      <c r="E98" s="64">
        <v>0</v>
      </c>
      <c r="F98" s="62">
        <v>0</v>
      </c>
      <c r="G98" s="65">
        <v>0</v>
      </c>
      <c r="H98" s="64">
        <v>0</v>
      </c>
      <c r="I98" s="62">
        <v>0</v>
      </c>
      <c r="J98" s="65">
        <v>0</v>
      </c>
      <c r="K98" s="64">
        <v>0</v>
      </c>
      <c r="L98" s="66">
        <f t="shared" si="10"/>
        <v>0</v>
      </c>
      <c r="M98" s="62">
        <v>0</v>
      </c>
      <c r="N98" s="67">
        <v>0</v>
      </c>
      <c r="O98" s="148"/>
    </row>
    <row r="99" spans="1:17" ht="26.4" x14ac:dyDescent="0.25">
      <c r="A99" s="81" t="s">
        <v>207</v>
      </c>
      <c r="B99" s="19"/>
      <c r="C99" s="62">
        <v>0</v>
      </c>
      <c r="D99" s="65">
        <v>0</v>
      </c>
      <c r="E99" s="64">
        <v>0</v>
      </c>
      <c r="F99" s="62">
        <v>0</v>
      </c>
      <c r="G99" s="65">
        <v>0</v>
      </c>
      <c r="H99" s="64">
        <v>0</v>
      </c>
      <c r="I99" s="62">
        <v>0</v>
      </c>
      <c r="J99" s="65">
        <v>0</v>
      </c>
      <c r="K99" s="64">
        <v>0</v>
      </c>
      <c r="L99" s="66">
        <f t="shared" si="10"/>
        <v>0</v>
      </c>
      <c r="M99" s="62">
        <v>0</v>
      </c>
      <c r="N99" s="67">
        <v>0</v>
      </c>
      <c r="O99" s="148"/>
    </row>
    <row r="100" spans="1:17" ht="41.4" x14ac:dyDescent="0.25">
      <c r="A100" s="155" t="s">
        <v>38</v>
      </c>
      <c r="B100" s="23" t="s">
        <v>37</v>
      </c>
      <c r="C100" s="72">
        <f>C101+C102</f>
        <v>0</v>
      </c>
      <c r="D100" s="73">
        <f>D101+D102</f>
        <v>0</v>
      </c>
      <c r="E100" s="82">
        <v>0</v>
      </c>
      <c r="F100" s="72">
        <f>F101+F102</f>
        <v>0</v>
      </c>
      <c r="G100" s="73">
        <f>G101+G102</f>
        <v>0</v>
      </c>
      <c r="H100" s="82">
        <v>0</v>
      </c>
      <c r="I100" s="72">
        <f>I101+I102</f>
        <v>0</v>
      </c>
      <c r="J100" s="73">
        <f>J101+J102</f>
        <v>0</v>
      </c>
      <c r="K100" s="82" t="e">
        <f>J100/I100</f>
        <v>#DIV/0!</v>
      </c>
      <c r="L100" s="60">
        <f t="shared" si="10"/>
        <v>0</v>
      </c>
      <c r="M100" s="72">
        <f>M101+M102</f>
        <v>0</v>
      </c>
      <c r="N100" s="74">
        <f>N101+N102</f>
        <v>0</v>
      </c>
      <c r="O100" s="148"/>
      <c r="P100" s="77"/>
    </row>
    <row r="101" spans="1:17" ht="26.4" x14ac:dyDescent="0.25">
      <c r="A101" s="81" t="s">
        <v>142</v>
      </c>
      <c r="B101" s="18"/>
      <c r="C101" s="62">
        <v>0</v>
      </c>
      <c r="D101" s="65">
        <v>0</v>
      </c>
      <c r="E101" s="64">
        <v>0</v>
      </c>
      <c r="F101" s="62">
        <v>0</v>
      </c>
      <c r="G101" s="65">
        <v>0</v>
      </c>
      <c r="H101" s="64">
        <v>0</v>
      </c>
      <c r="I101" s="62">
        <v>0</v>
      </c>
      <c r="J101" s="63">
        <v>0</v>
      </c>
      <c r="K101" s="64" t="e">
        <f>J101/I101</f>
        <v>#DIV/0!</v>
      </c>
      <c r="L101" s="66">
        <f t="shared" si="10"/>
        <v>0</v>
      </c>
      <c r="M101" s="62">
        <v>0</v>
      </c>
      <c r="N101" s="67">
        <v>0</v>
      </c>
      <c r="O101" s="148"/>
    </row>
    <row r="102" spans="1:17" ht="27" thickBot="1" x14ac:dyDescent="0.3">
      <c r="A102" s="157" t="s">
        <v>290</v>
      </c>
      <c r="B102" s="26"/>
      <c r="C102" s="85">
        <v>0</v>
      </c>
      <c r="D102" s="89">
        <v>0</v>
      </c>
      <c r="E102" s="90">
        <v>0</v>
      </c>
      <c r="F102" s="85">
        <v>0</v>
      </c>
      <c r="G102" s="89">
        <v>0</v>
      </c>
      <c r="H102" s="90">
        <v>0</v>
      </c>
      <c r="I102" s="85">
        <v>0</v>
      </c>
      <c r="J102" s="86">
        <v>0</v>
      </c>
      <c r="K102" s="90">
        <v>0</v>
      </c>
      <c r="L102" s="66">
        <f t="shared" si="10"/>
        <v>0</v>
      </c>
      <c r="M102" s="85">
        <v>0</v>
      </c>
      <c r="N102" s="91">
        <v>0</v>
      </c>
      <c r="O102" s="148"/>
    </row>
    <row r="103" spans="1:17" s="71" customFormat="1" ht="40.200000000000003" thickBot="1" x14ac:dyDescent="0.3">
      <c r="A103" s="153" t="s">
        <v>40</v>
      </c>
      <c r="B103" s="16" t="s">
        <v>39</v>
      </c>
      <c r="C103" s="92">
        <f>C104+C106</f>
        <v>0</v>
      </c>
      <c r="D103" s="93">
        <f>D104+D106</f>
        <v>0</v>
      </c>
      <c r="E103" s="94">
        <v>0</v>
      </c>
      <c r="F103" s="92">
        <f>F104+F106</f>
        <v>0</v>
      </c>
      <c r="G103" s="93">
        <f>G104+G106</f>
        <v>0</v>
      </c>
      <c r="H103" s="94">
        <v>0</v>
      </c>
      <c r="I103" s="92">
        <f>I104+I106</f>
        <v>0</v>
      </c>
      <c r="J103" s="93">
        <f>J104+J106</f>
        <v>0</v>
      </c>
      <c r="K103" s="94">
        <v>0</v>
      </c>
      <c r="L103" s="95">
        <f t="shared" si="10"/>
        <v>0</v>
      </c>
      <c r="M103" s="92">
        <f>M104+M106</f>
        <v>0</v>
      </c>
      <c r="N103" s="96">
        <f>N104+N106</f>
        <v>0</v>
      </c>
      <c r="O103" s="148"/>
      <c r="P103" s="69"/>
      <c r="Q103" s="70"/>
    </row>
    <row r="104" spans="1:17" ht="41.4" x14ac:dyDescent="0.25">
      <c r="A104" s="154" t="s">
        <v>42</v>
      </c>
      <c r="B104" s="27" t="s">
        <v>41</v>
      </c>
      <c r="C104" s="57">
        <f>C105</f>
        <v>0</v>
      </c>
      <c r="D104" s="58">
        <f>D105</f>
        <v>0</v>
      </c>
      <c r="E104" s="59">
        <v>0</v>
      </c>
      <c r="F104" s="57">
        <f>F105</f>
        <v>0</v>
      </c>
      <c r="G104" s="58">
        <f>G105</f>
        <v>0</v>
      </c>
      <c r="H104" s="59">
        <v>0</v>
      </c>
      <c r="I104" s="57">
        <f>I105</f>
        <v>0</v>
      </c>
      <c r="J104" s="58">
        <f>J105</f>
        <v>0</v>
      </c>
      <c r="K104" s="59">
        <v>0</v>
      </c>
      <c r="L104" s="60">
        <f t="shared" si="10"/>
        <v>0</v>
      </c>
      <c r="M104" s="57">
        <f>M105</f>
        <v>0</v>
      </c>
      <c r="N104" s="61">
        <f>N105</f>
        <v>0</v>
      </c>
      <c r="O104" s="148"/>
    </row>
    <row r="105" spans="1:17" ht="26.4" x14ac:dyDescent="0.25">
      <c r="A105" s="81" t="s">
        <v>136</v>
      </c>
      <c r="B105" s="28"/>
      <c r="C105" s="62">
        <v>0</v>
      </c>
      <c r="D105" s="65">
        <v>0</v>
      </c>
      <c r="E105" s="64">
        <v>0</v>
      </c>
      <c r="F105" s="62">
        <v>0</v>
      </c>
      <c r="G105" s="65">
        <v>0</v>
      </c>
      <c r="H105" s="64">
        <v>0</v>
      </c>
      <c r="I105" s="62">
        <v>0</v>
      </c>
      <c r="J105" s="63">
        <v>0</v>
      </c>
      <c r="K105" s="64">
        <v>0</v>
      </c>
      <c r="L105" s="66">
        <f t="shared" si="10"/>
        <v>0</v>
      </c>
      <c r="M105" s="62">
        <v>0</v>
      </c>
      <c r="N105" s="67">
        <v>0</v>
      </c>
      <c r="O105" s="148"/>
    </row>
    <row r="106" spans="1:17" ht="27.6" x14ac:dyDescent="0.25">
      <c r="A106" s="155" t="s">
        <v>44</v>
      </c>
      <c r="B106" s="29" t="s">
        <v>43</v>
      </c>
      <c r="C106" s="72">
        <f>C107</f>
        <v>0</v>
      </c>
      <c r="D106" s="73">
        <f>D107</f>
        <v>0</v>
      </c>
      <c r="E106" s="82">
        <v>0</v>
      </c>
      <c r="F106" s="72">
        <f>F107</f>
        <v>0</v>
      </c>
      <c r="G106" s="73">
        <f>G107</f>
        <v>0</v>
      </c>
      <c r="H106" s="82">
        <v>0</v>
      </c>
      <c r="I106" s="72">
        <f>I107</f>
        <v>0</v>
      </c>
      <c r="J106" s="73">
        <f>J107</f>
        <v>0</v>
      </c>
      <c r="K106" s="82" t="e">
        <f>J106/I106</f>
        <v>#DIV/0!</v>
      </c>
      <c r="L106" s="60">
        <f t="shared" si="10"/>
        <v>0</v>
      </c>
      <c r="M106" s="72">
        <f>M107</f>
        <v>0</v>
      </c>
      <c r="N106" s="74">
        <f>N107</f>
        <v>0</v>
      </c>
      <c r="O106" s="148"/>
      <c r="P106" s="77"/>
    </row>
    <row r="107" spans="1:17" ht="27" thickBot="1" x14ac:dyDescent="0.3">
      <c r="A107" s="157" t="s">
        <v>137</v>
      </c>
      <c r="B107" s="30"/>
      <c r="C107" s="85">
        <v>0</v>
      </c>
      <c r="D107" s="89">
        <v>0</v>
      </c>
      <c r="E107" s="90">
        <v>0</v>
      </c>
      <c r="F107" s="85">
        <v>0</v>
      </c>
      <c r="G107" s="89">
        <v>0</v>
      </c>
      <c r="H107" s="90">
        <v>0</v>
      </c>
      <c r="I107" s="85">
        <v>0</v>
      </c>
      <c r="J107" s="86">
        <v>0</v>
      </c>
      <c r="K107" s="90" t="e">
        <f>J107/I107</f>
        <v>#DIV/0!</v>
      </c>
      <c r="L107" s="66">
        <f t="shared" si="10"/>
        <v>0</v>
      </c>
      <c r="M107" s="85">
        <v>0</v>
      </c>
      <c r="N107" s="91">
        <v>0</v>
      </c>
      <c r="O107" s="148"/>
    </row>
    <row r="108" spans="1:17" ht="40.200000000000003" thickBot="1" x14ac:dyDescent="0.3">
      <c r="A108" s="153" t="s">
        <v>46</v>
      </c>
      <c r="B108" s="20" t="s">
        <v>45</v>
      </c>
      <c r="C108" s="97">
        <f>C109+C112</f>
        <v>0</v>
      </c>
      <c r="D108" s="98">
        <f>D109+D112</f>
        <v>0</v>
      </c>
      <c r="E108" s="94">
        <v>0</v>
      </c>
      <c r="F108" s="97">
        <f>F109+F112</f>
        <v>0</v>
      </c>
      <c r="G108" s="98">
        <f>G109+G112</f>
        <v>0</v>
      </c>
      <c r="H108" s="94">
        <v>0</v>
      </c>
      <c r="I108" s="97">
        <f>I109+I112</f>
        <v>0</v>
      </c>
      <c r="J108" s="98">
        <f>J109+J112</f>
        <v>0</v>
      </c>
      <c r="K108" s="94">
        <v>1</v>
      </c>
      <c r="L108" s="95">
        <f t="shared" si="10"/>
        <v>0</v>
      </c>
      <c r="M108" s="97">
        <f>M109+M112</f>
        <v>0</v>
      </c>
      <c r="N108" s="99">
        <f>N109+N112</f>
        <v>0</v>
      </c>
      <c r="O108" s="148"/>
    </row>
    <row r="109" spans="1:17" ht="69" x14ac:dyDescent="0.25">
      <c r="A109" s="154" t="s">
        <v>48</v>
      </c>
      <c r="B109" s="27" t="s">
        <v>47</v>
      </c>
      <c r="C109" s="57">
        <f>SUM(C110:C111)</f>
        <v>0</v>
      </c>
      <c r="D109" s="58">
        <f>SUM(D110:D111)</f>
        <v>0</v>
      </c>
      <c r="E109" s="59">
        <v>0</v>
      </c>
      <c r="F109" s="57">
        <f>SUM(F110:F111)</f>
        <v>0</v>
      </c>
      <c r="G109" s="58">
        <v>0</v>
      </c>
      <c r="H109" s="59">
        <v>0</v>
      </c>
      <c r="I109" s="57">
        <f>SUM(I110:I111)</f>
        <v>0</v>
      </c>
      <c r="J109" s="58">
        <f>SUM(J110:J111)</f>
        <v>0</v>
      </c>
      <c r="K109" s="59">
        <v>0</v>
      </c>
      <c r="L109" s="60">
        <f t="shared" si="10"/>
        <v>0</v>
      </c>
      <c r="M109" s="57">
        <f>SUM(M110:M111)</f>
        <v>0</v>
      </c>
      <c r="N109" s="61">
        <f>SUM(N110:N111)</f>
        <v>0</v>
      </c>
      <c r="O109" s="148"/>
    </row>
    <row r="110" spans="1:17" ht="26.4" x14ac:dyDescent="0.25">
      <c r="A110" s="81" t="s">
        <v>133</v>
      </c>
      <c r="B110" s="31"/>
      <c r="C110" s="62">
        <v>0</v>
      </c>
      <c r="D110" s="65">
        <v>0</v>
      </c>
      <c r="E110" s="64">
        <v>0</v>
      </c>
      <c r="F110" s="62">
        <v>0</v>
      </c>
      <c r="G110" s="65">
        <v>0</v>
      </c>
      <c r="H110" s="64">
        <v>0</v>
      </c>
      <c r="I110" s="62">
        <v>0</v>
      </c>
      <c r="J110" s="63">
        <v>0</v>
      </c>
      <c r="K110" s="64">
        <v>0</v>
      </c>
      <c r="L110" s="66">
        <f t="shared" si="10"/>
        <v>0</v>
      </c>
      <c r="M110" s="62">
        <v>0</v>
      </c>
      <c r="N110" s="67">
        <v>0</v>
      </c>
      <c r="O110" s="148"/>
    </row>
    <row r="111" spans="1:17" x14ac:dyDescent="0.25">
      <c r="A111" s="81" t="s">
        <v>185</v>
      </c>
      <c r="B111" s="31"/>
      <c r="C111" s="62">
        <v>0</v>
      </c>
      <c r="D111" s="65">
        <v>0</v>
      </c>
      <c r="E111" s="64">
        <v>0</v>
      </c>
      <c r="F111" s="62">
        <v>0</v>
      </c>
      <c r="G111" s="65">
        <v>0</v>
      </c>
      <c r="H111" s="64">
        <v>0</v>
      </c>
      <c r="I111" s="62">
        <v>0</v>
      </c>
      <c r="J111" s="63">
        <v>0</v>
      </c>
      <c r="K111" s="64">
        <v>0</v>
      </c>
      <c r="L111" s="66">
        <f t="shared" si="10"/>
        <v>0</v>
      </c>
      <c r="M111" s="62">
        <v>0</v>
      </c>
      <c r="N111" s="67">
        <v>0</v>
      </c>
      <c r="O111" s="148"/>
    </row>
    <row r="112" spans="1:17" ht="55.2" x14ac:dyDescent="0.25">
      <c r="A112" s="155" t="s">
        <v>50</v>
      </c>
      <c r="B112" s="29" t="s">
        <v>49</v>
      </c>
      <c r="C112" s="72">
        <f>SUM(C113:C113)</f>
        <v>0</v>
      </c>
      <c r="D112" s="73">
        <f>SUM(D113:D113)</f>
        <v>0</v>
      </c>
      <c r="E112" s="82">
        <v>0</v>
      </c>
      <c r="F112" s="72">
        <f>SUM(F113:F113)</f>
        <v>0</v>
      </c>
      <c r="G112" s="73">
        <f>SUM(G113:G113)</f>
        <v>0</v>
      </c>
      <c r="H112" s="82"/>
      <c r="I112" s="72">
        <f>SUM(I113:I113)</f>
        <v>0</v>
      </c>
      <c r="J112" s="73">
        <f>SUM(J113:J113)</f>
        <v>0</v>
      </c>
      <c r="K112" s="82">
        <v>0</v>
      </c>
      <c r="L112" s="60">
        <f t="shared" si="10"/>
        <v>0</v>
      </c>
      <c r="M112" s="72">
        <f>SUM(M113:M113)</f>
        <v>0</v>
      </c>
      <c r="N112" s="74">
        <f>SUM(N113:N113)</f>
        <v>0</v>
      </c>
      <c r="O112" s="148"/>
    </row>
    <row r="113" spans="1:17" ht="13.8" thickBot="1" x14ac:dyDescent="0.3">
      <c r="A113" s="81"/>
      <c r="B113" s="31"/>
      <c r="C113" s="62">
        <v>0</v>
      </c>
      <c r="D113" s="65">
        <v>0</v>
      </c>
      <c r="E113" s="64">
        <v>0</v>
      </c>
      <c r="F113" s="62">
        <v>0</v>
      </c>
      <c r="G113" s="65">
        <v>0</v>
      </c>
      <c r="H113" s="64">
        <v>0</v>
      </c>
      <c r="I113" s="62">
        <v>0</v>
      </c>
      <c r="J113" s="65">
        <v>0</v>
      </c>
      <c r="K113" s="64">
        <v>0</v>
      </c>
      <c r="L113" s="66">
        <v>0</v>
      </c>
      <c r="M113" s="62">
        <v>0</v>
      </c>
      <c r="N113" s="67">
        <v>0</v>
      </c>
      <c r="O113" s="148"/>
    </row>
    <row r="114" spans="1:17" ht="40.200000000000003" thickBot="1" x14ac:dyDescent="0.3">
      <c r="A114" s="153" t="s">
        <v>52</v>
      </c>
      <c r="B114" s="16" t="s">
        <v>51</v>
      </c>
      <c r="C114" s="92">
        <f>C115+C120+C124+C135</f>
        <v>0</v>
      </c>
      <c r="D114" s="93">
        <f>D115+D120+D124+D135</f>
        <v>0</v>
      </c>
      <c r="E114" s="94">
        <v>1</v>
      </c>
      <c r="F114" s="92">
        <f>F115+F120+F124+F135</f>
        <v>0</v>
      </c>
      <c r="G114" s="93">
        <f>G115+G120+G124+G135</f>
        <v>0</v>
      </c>
      <c r="H114" s="94" t="e">
        <f>G114/F114</f>
        <v>#DIV/0!</v>
      </c>
      <c r="I114" s="92">
        <f>I115+I120+I124+I135</f>
        <v>0</v>
      </c>
      <c r="J114" s="93">
        <f>J115+J120+J124+J135</f>
        <v>0</v>
      </c>
      <c r="K114" s="94">
        <v>0</v>
      </c>
      <c r="L114" s="95">
        <f t="shared" ref="L114:L123" si="16">D114+G114+J114</f>
        <v>0</v>
      </c>
      <c r="M114" s="92">
        <f>M115+M120+M124+M135</f>
        <v>0</v>
      </c>
      <c r="N114" s="96">
        <f>N115+N120+N124+N135</f>
        <v>0</v>
      </c>
      <c r="O114" s="149"/>
    </row>
    <row r="115" spans="1:17" ht="82.8" x14ac:dyDescent="0.25">
      <c r="A115" s="100" t="s">
        <v>224</v>
      </c>
      <c r="B115" s="17" t="s">
        <v>53</v>
      </c>
      <c r="C115" s="57">
        <f>SUM(C116:C119)</f>
        <v>0</v>
      </c>
      <c r="D115" s="58">
        <f>SUM(D116:D119)</f>
        <v>0</v>
      </c>
      <c r="E115" s="59">
        <v>0</v>
      </c>
      <c r="F115" s="57">
        <f>SUM(F116:F119)</f>
        <v>0</v>
      </c>
      <c r="G115" s="58">
        <f>SUM(G116:G119)</f>
        <v>0</v>
      </c>
      <c r="H115" s="59" t="e">
        <f>G115/F115</f>
        <v>#DIV/0!</v>
      </c>
      <c r="I115" s="57">
        <f>SUM(I116:I119)</f>
        <v>0</v>
      </c>
      <c r="J115" s="58">
        <f>SUM(J116:J119)</f>
        <v>0</v>
      </c>
      <c r="K115" s="59">
        <v>0</v>
      </c>
      <c r="L115" s="60">
        <f t="shared" si="16"/>
        <v>0</v>
      </c>
      <c r="M115" s="57">
        <f>SUM(M116:M119)</f>
        <v>0</v>
      </c>
      <c r="N115" s="61">
        <f>SUM(N116:N119)</f>
        <v>0</v>
      </c>
      <c r="O115" s="148"/>
    </row>
    <row r="116" spans="1:17" ht="39.6" x14ac:dyDescent="0.25">
      <c r="A116" s="101" t="s">
        <v>225</v>
      </c>
      <c r="B116" s="22"/>
      <c r="C116" s="62">
        <v>0</v>
      </c>
      <c r="D116" s="65">
        <v>0</v>
      </c>
      <c r="E116" s="64">
        <v>0</v>
      </c>
      <c r="F116" s="62">
        <v>0</v>
      </c>
      <c r="G116" s="65">
        <v>0</v>
      </c>
      <c r="H116" s="64">
        <v>0</v>
      </c>
      <c r="I116" s="62">
        <v>0</v>
      </c>
      <c r="J116" s="65">
        <v>0</v>
      </c>
      <c r="K116" s="64">
        <v>0</v>
      </c>
      <c r="L116" s="66">
        <f t="shared" si="16"/>
        <v>0</v>
      </c>
      <c r="M116" s="62">
        <v>0</v>
      </c>
      <c r="N116" s="67">
        <v>0</v>
      </c>
      <c r="O116" s="148"/>
    </row>
    <row r="117" spans="1:17" ht="39.6" x14ac:dyDescent="0.25">
      <c r="A117" s="101" t="s">
        <v>226</v>
      </c>
      <c r="B117" s="32"/>
      <c r="C117" s="62">
        <v>0</v>
      </c>
      <c r="D117" s="65">
        <v>0</v>
      </c>
      <c r="E117" s="64">
        <v>0</v>
      </c>
      <c r="F117" s="62">
        <v>0</v>
      </c>
      <c r="G117" s="63">
        <v>0</v>
      </c>
      <c r="H117" s="64" t="e">
        <f>G117/F117</f>
        <v>#DIV/0!</v>
      </c>
      <c r="I117" s="62">
        <v>0</v>
      </c>
      <c r="J117" s="65">
        <v>0</v>
      </c>
      <c r="K117" s="64">
        <v>0</v>
      </c>
      <c r="L117" s="66">
        <f t="shared" si="16"/>
        <v>0</v>
      </c>
      <c r="M117" s="62">
        <v>0</v>
      </c>
      <c r="N117" s="67">
        <v>0</v>
      </c>
      <c r="O117" s="148" t="s">
        <v>349</v>
      </c>
    </row>
    <row r="118" spans="1:17" x14ac:dyDescent="0.25">
      <c r="A118" s="81"/>
      <c r="B118" s="22"/>
      <c r="C118" s="62">
        <v>0</v>
      </c>
      <c r="D118" s="65">
        <v>0</v>
      </c>
      <c r="E118" s="64">
        <v>0</v>
      </c>
      <c r="F118" s="62">
        <v>0</v>
      </c>
      <c r="G118" s="65">
        <v>0</v>
      </c>
      <c r="H118" s="64">
        <v>0</v>
      </c>
      <c r="I118" s="62">
        <v>0</v>
      </c>
      <c r="J118" s="65">
        <v>0</v>
      </c>
      <c r="K118" s="64">
        <v>0</v>
      </c>
      <c r="L118" s="66">
        <f t="shared" si="16"/>
        <v>0</v>
      </c>
      <c r="M118" s="62">
        <v>0</v>
      </c>
      <c r="N118" s="67">
        <v>0</v>
      </c>
      <c r="O118" s="148"/>
    </row>
    <row r="119" spans="1:17" x14ac:dyDescent="0.25">
      <c r="A119" s="81"/>
      <c r="B119" s="22"/>
      <c r="C119" s="62">
        <v>0</v>
      </c>
      <c r="D119" s="65">
        <v>0</v>
      </c>
      <c r="E119" s="64">
        <v>0</v>
      </c>
      <c r="F119" s="62">
        <v>0</v>
      </c>
      <c r="G119" s="65">
        <v>0</v>
      </c>
      <c r="H119" s="64">
        <v>0</v>
      </c>
      <c r="I119" s="62">
        <v>0</v>
      </c>
      <c r="J119" s="65">
        <v>0</v>
      </c>
      <c r="K119" s="64">
        <v>0</v>
      </c>
      <c r="L119" s="66">
        <f t="shared" si="16"/>
        <v>0</v>
      </c>
      <c r="M119" s="62">
        <v>0</v>
      </c>
      <c r="N119" s="67">
        <v>0</v>
      </c>
      <c r="O119" s="148"/>
    </row>
    <row r="120" spans="1:17" ht="41.4" x14ac:dyDescent="0.3">
      <c r="A120" s="102" t="s">
        <v>55</v>
      </c>
      <c r="B120" s="23" t="s">
        <v>54</v>
      </c>
      <c r="C120" s="72">
        <f>SUM(C121:C121)</f>
        <v>0</v>
      </c>
      <c r="D120" s="73">
        <f>SUM(D121:D121)</f>
        <v>0</v>
      </c>
      <c r="E120" s="82">
        <v>0</v>
      </c>
      <c r="F120" s="72">
        <f>SUM(F121:F123)</f>
        <v>0</v>
      </c>
      <c r="G120" s="73">
        <f>SUM(G121:G123)</f>
        <v>0</v>
      </c>
      <c r="H120" s="82" t="e">
        <f>G120/F120</f>
        <v>#DIV/0!</v>
      </c>
      <c r="I120" s="72">
        <f>SUM(I121:I121)</f>
        <v>0</v>
      </c>
      <c r="J120" s="73">
        <f>SUM(J121:J121)</f>
        <v>0</v>
      </c>
      <c r="K120" s="82">
        <v>0</v>
      </c>
      <c r="L120" s="60">
        <f t="shared" si="16"/>
        <v>0</v>
      </c>
      <c r="M120" s="72">
        <f>SUM(M121:M121)</f>
        <v>0</v>
      </c>
      <c r="N120" s="74">
        <f>SUM(N121:N121)</f>
        <v>0</v>
      </c>
      <c r="O120" s="148"/>
    </row>
    <row r="121" spans="1:17" s="71" customFormat="1" ht="26.4" x14ac:dyDescent="0.25">
      <c r="A121" s="101" t="s">
        <v>227</v>
      </c>
      <c r="B121" s="32"/>
      <c r="C121" s="62">
        <v>0</v>
      </c>
      <c r="D121" s="65">
        <v>0</v>
      </c>
      <c r="E121" s="64">
        <v>0</v>
      </c>
      <c r="F121" s="62">
        <v>0</v>
      </c>
      <c r="G121" s="63">
        <v>0</v>
      </c>
      <c r="H121" s="64" t="e">
        <f>G121/F121</f>
        <v>#DIV/0!</v>
      </c>
      <c r="I121" s="62">
        <v>0</v>
      </c>
      <c r="J121" s="65">
        <v>0</v>
      </c>
      <c r="K121" s="64">
        <v>0</v>
      </c>
      <c r="L121" s="66">
        <f t="shared" si="16"/>
        <v>0</v>
      </c>
      <c r="M121" s="62">
        <v>0</v>
      </c>
      <c r="N121" s="67">
        <v>0</v>
      </c>
      <c r="O121" s="148" t="s">
        <v>308</v>
      </c>
      <c r="P121" s="69"/>
      <c r="Q121" s="70"/>
    </row>
    <row r="122" spans="1:17" ht="39.6" x14ac:dyDescent="0.25">
      <c r="A122" s="103" t="s">
        <v>228</v>
      </c>
      <c r="B122" s="33"/>
      <c r="C122" s="62">
        <v>0</v>
      </c>
      <c r="D122" s="65">
        <v>0</v>
      </c>
      <c r="E122" s="64">
        <v>0</v>
      </c>
      <c r="F122" s="62">
        <v>0</v>
      </c>
      <c r="G122" s="65">
        <v>0</v>
      </c>
      <c r="H122" s="64">
        <v>0</v>
      </c>
      <c r="I122" s="62">
        <v>0</v>
      </c>
      <c r="J122" s="65">
        <v>0</v>
      </c>
      <c r="K122" s="64">
        <v>0</v>
      </c>
      <c r="L122" s="66">
        <f t="shared" si="16"/>
        <v>0</v>
      </c>
      <c r="M122" s="62">
        <v>0</v>
      </c>
      <c r="N122" s="67">
        <v>0</v>
      </c>
      <c r="O122" s="148"/>
    </row>
    <row r="123" spans="1:17" ht="39.6" x14ac:dyDescent="0.25">
      <c r="A123" s="104" t="s">
        <v>229</v>
      </c>
      <c r="B123" s="34"/>
      <c r="C123" s="85">
        <v>0</v>
      </c>
      <c r="D123" s="89">
        <v>0</v>
      </c>
      <c r="E123" s="90">
        <v>0</v>
      </c>
      <c r="F123" s="85">
        <v>0</v>
      </c>
      <c r="G123" s="89">
        <v>0</v>
      </c>
      <c r="H123" s="90">
        <v>0</v>
      </c>
      <c r="I123" s="85">
        <v>0</v>
      </c>
      <c r="J123" s="89">
        <v>0</v>
      </c>
      <c r="K123" s="90">
        <v>0</v>
      </c>
      <c r="L123" s="105">
        <f t="shared" si="16"/>
        <v>0</v>
      </c>
      <c r="M123" s="85">
        <v>0</v>
      </c>
      <c r="N123" s="91">
        <v>0</v>
      </c>
      <c r="O123" s="148"/>
    </row>
    <row r="124" spans="1:17" ht="27.6" x14ac:dyDescent="0.3">
      <c r="A124" s="102" t="s">
        <v>230</v>
      </c>
      <c r="B124" s="23" t="s">
        <v>235</v>
      </c>
      <c r="C124" s="72">
        <f>SUM(C125:C134)</f>
        <v>0</v>
      </c>
      <c r="D124" s="72">
        <f>SUM(D125:D134)</f>
        <v>0</v>
      </c>
      <c r="E124" s="72">
        <v>100</v>
      </c>
      <c r="F124" s="72">
        <f>SUM(F125:F134)</f>
        <v>0</v>
      </c>
      <c r="G124" s="72">
        <f>SUM(G125:G134)</f>
        <v>0</v>
      </c>
      <c r="H124" s="82" t="e">
        <f t="shared" ref="H124:H135" si="17">G124/F124</f>
        <v>#DIV/0!</v>
      </c>
      <c r="I124" s="72">
        <f>SUM(I125:I134)</f>
        <v>0</v>
      </c>
      <c r="J124" s="72">
        <f>SUM(J125:J134)</f>
        <v>0</v>
      </c>
      <c r="K124" s="82">
        <v>0</v>
      </c>
      <c r="L124" s="72">
        <f>SUM(L125:L134)</f>
        <v>0</v>
      </c>
      <c r="M124" s="72">
        <f>SUM(M125:M134)</f>
        <v>0</v>
      </c>
      <c r="N124" s="74">
        <f>SUM(N128:N134)</f>
        <v>0</v>
      </c>
      <c r="O124" s="148"/>
    </row>
    <row r="125" spans="1:17" ht="26.4" x14ac:dyDescent="0.25">
      <c r="A125" s="106" t="s">
        <v>357</v>
      </c>
      <c r="B125" s="35"/>
      <c r="C125" s="109"/>
      <c r="D125" s="110"/>
      <c r="E125" s="145" t="e">
        <f>D125/C125</f>
        <v>#DIV/0!</v>
      </c>
      <c r="F125" s="109"/>
      <c r="G125" s="111"/>
      <c r="H125" s="145">
        <v>0</v>
      </c>
      <c r="I125" s="109">
        <v>0</v>
      </c>
      <c r="J125" s="111">
        <v>0</v>
      </c>
      <c r="K125" s="145">
        <v>0</v>
      </c>
      <c r="L125" s="88">
        <f t="shared" ref="L125:L134" si="18">D125+G125+J125</f>
        <v>0</v>
      </c>
      <c r="M125" s="109">
        <v>0</v>
      </c>
      <c r="N125" s="112">
        <v>0</v>
      </c>
      <c r="O125" s="148"/>
    </row>
    <row r="126" spans="1:17" ht="26.4" x14ac:dyDescent="0.25">
      <c r="A126" s="106" t="s">
        <v>358</v>
      </c>
      <c r="B126" s="35"/>
      <c r="C126" s="109"/>
      <c r="D126" s="110"/>
      <c r="E126" s="145" t="e">
        <f>D126/C126</f>
        <v>#DIV/0!</v>
      </c>
      <c r="F126" s="109"/>
      <c r="G126" s="111"/>
      <c r="H126" s="145">
        <v>0</v>
      </c>
      <c r="I126" s="109">
        <v>0</v>
      </c>
      <c r="J126" s="111">
        <v>0</v>
      </c>
      <c r="K126" s="145">
        <v>0</v>
      </c>
      <c r="L126" s="88">
        <f t="shared" si="18"/>
        <v>0</v>
      </c>
      <c r="M126" s="109">
        <v>0</v>
      </c>
      <c r="N126" s="112">
        <v>0</v>
      </c>
      <c r="O126" s="148"/>
    </row>
    <row r="127" spans="1:17" x14ac:dyDescent="0.25">
      <c r="A127" s="106" t="s">
        <v>300</v>
      </c>
      <c r="B127" s="35"/>
      <c r="C127" s="109"/>
      <c r="D127" s="110"/>
      <c r="E127" s="145" t="e">
        <f>D127/C127</f>
        <v>#DIV/0!</v>
      </c>
      <c r="F127" s="109"/>
      <c r="G127" s="111"/>
      <c r="H127" s="145">
        <v>0</v>
      </c>
      <c r="I127" s="109">
        <v>0</v>
      </c>
      <c r="J127" s="111">
        <v>0</v>
      </c>
      <c r="K127" s="145">
        <v>0</v>
      </c>
      <c r="L127" s="88">
        <f t="shared" si="18"/>
        <v>0</v>
      </c>
      <c r="M127" s="109">
        <v>0</v>
      </c>
      <c r="N127" s="112">
        <v>0</v>
      </c>
      <c r="O127" s="148"/>
    </row>
    <row r="128" spans="1:17" x14ac:dyDescent="0.25">
      <c r="A128" s="107" t="s">
        <v>232</v>
      </c>
      <c r="B128" s="32"/>
      <c r="C128" s="62"/>
      <c r="D128" s="63"/>
      <c r="E128" s="64">
        <v>0</v>
      </c>
      <c r="F128" s="68"/>
      <c r="G128" s="65"/>
      <c r="H128" s="64" t="e">
        <f>G128/F128</f>
        <v>#DIV/0!</v>
      </c>
      <c r="I128" s="62">
        <v>0</v>
      </c>
      <c r="J128" s="63">
        <v>0</v>
      </c>
      <c r="K128" s="64">
        <v>0</v>
      </c>
      <c r="L128" s="66">
        <f t="shared" si="18"/>
        <v>0</v>
      </c>
      <c r="M128" s="62">
        <v>0</v>
      </c>
      <c r="N128" s="67">
        <v>0</v>
      </c>
      <c r="O128" s="148"/>
      <c r="P128" s="77"/>
    </row>
    <row r="129" spans="1:17" x14ac:dyDescent="0.25">
      <c r="A129" s="107" t="s">
        <v>361</v>
      </c>
      <c r="B129" s="32"/>
      <c r="C129" s="62"/>
      <c r="D129" s="63"/>
      <c r="E129" s="64">
        <v>0</v>
      </c>
      <c r="F129" s="68"/>
      <c r="G129" s="65"/>
      <c r="H129" s="64" t="e">
        <f>G129/F129</f>
        <v>#DIV/0!</v>
      </c>
      <c r="I129" s="62">
        <v>0</v>
      </c>
      <c r="J129" s="63">
        <v>0</v>
      </c>
      <c r="K129" s="64">
        <v>0</v>
      </c>
      <c r="L129" s="66">
        <f t="shared" si="18"/>
        <v>0</v>
      </c>
      <c r="M129" s="62">
        <v>0</v>
      </c>
      <c r="N129" s="67">
        <v>0</v>
      </c>
      <c r="O129" s="148" t="s">
        <v>308</v>
      </c>
      <c r="P129" s="77"/>
    </row>
    <row r="130" spans="1:17" x14ac:dyDescent="0.25">
      <c r="A130" s="108" t="s">
        <v>306</v>
      </c>
      <c r="B130" s="32"/>
      <c r="C130" s="62"/>
      <c r="D130" s="63"/>
      <c r="E130" s="64">
        <v>0</v>
      </c>
      <c r="F130" s="68"/>
      <c r="G130" s="65"/>
      <c r="H130" s="64" t="e">
        <f t="shared" ref="H130:H131" si="19">G130/F130</f>
        <v>#DIV/0!</v>
      </c>
      <c r="I130" s="62">
        <v>0</v>
      </c>
      <c r="J130" s="63">
        <v>0</v>
      </c>
      <c r="K130" s="64">
        <v>0</v>
      </c>
      <c r="L130" s="66">
        <f t="shared" si="18"/>
        <v>0</v>
      </c>
      <c r="M130" s="62">
        <v>0</v>
      </c>
      <c r="N130" s="67">
        <v>0</v>
      </c>
      <c r="O130" s="148" t="s">
        <v>337</v>
      </c>
      <c r="P130" s="77"/>
    </row>
    <row r="131" spans="1:17" x14ac:dyDescent="0.25">
      <c r="A131" s="108" t="s">
        <v>346</v>
      </c>
      <c r="B131" s="32"/>
      <c r="C131" s="62"/>
      <c r="D131" s="63"/>
      <c r="E131" s="64">
        <v>0</v>
      </c>
      <c r="F131" s="68"/>
      <c r="G131" s="65"/>
      <c r="H131" s="64" t="e">
        <f t="shared" si="19"/>
        <v>#DIV/0!</v>
      </c>
      <c r="I131" s="62">
        <v>0</v>
      </c>
      <c r="J131" s="63">
        <v>0</v>
      </c>
      <c r="K131" s="64">
        <v>0</v>
      </c>
      <c r="L131" s="66">
        <f t="shared" si="18"/>
        <v>0</v>
      </c>
      <c r="M131" s="62">
        <v>0</v>
      </c>
      <c r="N131" s="67">
        <v>0</v>
      </c>
      <c r="O131" s="148" t="s">
        <v>337</v>
      </c>
      <c r="P131" s="77"/>
    </row>
    <row r="132" spans="1:17" x14ac:dyDescent="0.25">
      <c r="A132" s="108" t="s">
        <v>305</v>
      </c>
      <c r="B132" s="32"/>
      <c r="C132" s="62"/>
      <c r="D132" s="65"/>
      <c r="E132" s="64">
        <v>0</v>
      </c>
      <c r="F132" s="62"/>
      <c r="G132" s="63"/>
      <c r="H132" s="64" t="e">
        <f>G132/F132</f>
        <v>#DIV/0!</v>
      </c>
      <c r="I132" s="62">
        <v>0</v>
      </c>
      <c r="J132" s="65">
        <v>0</v>
      </c>
      <c r="K132" s="64">
        <v>0</v>
      </c>
      <c r="L132" s="66">
        <f t="shared" si="18"/>
        <v>0</v>
      </c>
      <c r="M132" s="62">
        <v>0</v>
      </c>
      <c r="N132" s="67">
        <v>0</v>
      </c>
      <c r="O132" s="148" t="s">
        <v>337</v>
      </c>
    </row>
    <row r="133" spans="1:17" x14ac:dyDescent="0.25">
      <c r="A133" s="108" t="s">
        <v>341</v>
      </c>
      <c r="B133" s="32"/>
      <c r="C133" s="62"/>
      <c r="D133" s="65"/>
      <c r="E133" s="64">
        <v>0</v>
      </c>
      <c r="F133" s="62"/>
      <c r="G133" s="65"/>
      <c r="H133" s="64" t="e">
        <f>G133/F133</f>
        <v>#DIV/0!</v>
      </c>
      <c r="I133" s="62">
        <v>0</v>
      </c>
      <c r="J133" s="65">
        <v>0</v>
      </c>
      <c r="K133" s="64">
        <v>0</v>
      </c>
      <c r="L133" s="66">
        <f t="shared" si="18"/>
        <v>0</v>
      </c>
      <c r="M133" s="62">
        <v>0</v>
      </c>
      <c r="N133" s="67">
        <v>0</v>
      </c>
      <c r="O133" s="148" t="s">
        <v>308</v>
      </c>
    </row>
    <row r="134" spans="1:17" x14ac:dyDescent="0.25">
      <c r="A134" s="108" t="s">
        <v>340</v>
      </c>
      <c r="B134" s="32"/>
      <c r="C134" s="62"/>
      <c r="D134" s="63"/>
      <c r="E134" s="64">
        <v>0</v>
      </c>
      <c r="F134" s="62"/>
      <c r="G134" s="65"/>
      <c r="H134" s="64">
        <v>1</v>
      </c>
      <c r="I134" s="62">
        <v>0</v>
      </c>
      <c r="J134" s="65">
        <v>0</v>
      </c>
      <c r="K134" s="64">
        <v>0</v>
      </c>
      <c r="L134" s="66">
        <f t="shared" si="18"/>
        <v>0</v>
      </c>
      <c r="M134" s="62">
        <v>0</v>
      </c>
      <c r="N134" s="67">
        <v>0</v>
      </c>
      <c r="O134" s="148" t="s">
        <v>337</v>
      </c>
    </row>
    <row r="135" spans="1:17" ht="41.4" x14ac:dyDescent="0.3">
      <c r="A135" s="102" t="s">
        <v>231</v>
      </c>
      <c r="B135" s="23" t="s">
        <v>236</v>
      </c>
      <c r="C135" s="72">
        <f>SUM(C136:C137)</f>
        <v>0</v>
      </c>
      <c r="D135" s="72">
        <f>SUM(D136:D137)</f>
        <v>0</v>
      </c>
      <c r="E135" s="82">
        <v>1</v>
      </c>
      <c r="F135" s="72">
        <f>SUM(F136:F138)</f>
        <v>0</v>
      </c>
      <c r="G135" s="72">
        <f>SUM(G136:G138)</f>
        <v>0</v>
      </c>
      <c r="H135" s="82" t="e">
        <f t="shared" si="17"/>
        <v>#DIV/0!</v>
      </c>
      <c r="I135" s="72">
        <f>SUM(I136:I138)</f>
        <v>0</v>
      </c>
      <c r="J135" s="72">
        <f>SUM(J136:J138)</f>
        <v>0</v>
      </c>
      <c r="K135" s="82">
        <v>0</v>
      </c>
      <c r="L135" s="72">
        <f>SUM(L136:L138)</f>
        <v>0</v>
      </c>
      <c r="M135" s="72">
        <f t="shared" ref="M135:N135" si="20">SUM(M136:M138)</f>
        <v>0</v>
      </c>
      <c r="N135" s="75">
        <f t="shared" si="20"/>
        <v>0</v>
      </c>
      <c r="O135" s="148"/>
    </row>
    <row r="136" spans="1:17" s="71" customFormat="1" x14ac:dyDescent="0.25">
      <c r="A136" s="143" t="s">
        <v>300</v>
      </c>
      <c r="B136" s="144"/>
      <c r="C136" s="109">
        <v>0</v>
      </c>
      <c r="D136" s="110">
        <v>0</v>
      </c>
      <c r="E136" s="145">
        <v>1</v>
      </c>
      <c r="F136" s="109">
        <v>0</v>
      </c>
      <c r="G136" s="111">
        <v>0</v>
      </c>
      <c r="H136" s="145">
        <v>0</v>
      </c>
      <c r="I136" s="109">
        <v>0</v>
      </c>
      <c r="J136" s="111">
        <v>0</v>
      </c>
      <c r="K136" s="145">
        <v>0</v>
      </c>
      <c r="L136" s="88">
        <f t="shared" ref="L136:L151" si="21">D136+G136+J136</f>
        <v>0</v>
      </c>
      <c r="M136" s="109">
        <v>0</v>
      </c>
      <c r="N136" s="112">
        <v>0</v>
      </c>
      <c r="O136" s="148"/>
      <c r="P136" s="69"/>
      <c r="Q136" s="70"/>
    </row>
    <row r="137" spans="1:17" x14ac:dyDescent="0.25">
      <c r="A137" s="106" t="s">
        <v>287</v>
      </c>
      <c r="B137" s="35"/>
      <c r="C137" s="109">
        <v>0</v>
      </c>
      <c r="D137" s="111">
        <v>0</v>
      </c>
      <c r="E137" s="145">
        <v>0</v>
      </c>
      <c r="F137" s="190"/>
      <c r="G137" s="110"/>
      <c r="H137" s="145" t="e">
        <f>G137/F137</f>
        <v>#DIV/0!</v>
      </c>
      <c r="I137" s="109">
        <v>0</v>
      </c>
      <c r="J137" s="111">
        <v>0</v>
      </c>
      <c r="K137" s="145">
        <v>0</v>
      </c>
      <c r="L137" s="88">
        <f t="shared" si="21"/>
        <v>0</v>
      </c>
      <c r="M137" s="109">
        <v>0</v>
      </c>
      <c r="N137" s="112">
        <v>0</v>
      </c>
      <c r="O137" s="148" t="s">
        <v>308</v>
      </c>
    </row>
    <row r="138" spans="1:17" ht="27" thickBot="1" x14ac:dyDescent="0.3">
      <c r="A138" s="106" t="s">
        <v>307</v>
      </c>
      <c r="B138" s="35"/>
      <c r="C138" s="109">
        <v>0</v>
      </c>
      <c r="D138" s="111">
        <v>0</v>
      </c>
      <c r="E138" s="145">
        <v>0</v>
      </c>
      <c r="F138" s="109"/>
      <c r="G138" s="110"/>
      <c r="H138" s="145" t="e">
        <f>G138/F138</f>
        <v>#DIV/0!</v>
      </c>
      <c r="I138" s="109">
        <v>0</v>
      </c>
      <c r="J138" s="111">
        <v>0</v>
      </c>
      <c r="K138" s="145">
        <v>0</v>
      </c>
      <c r="L138" s="88">
        <f t="shared" si="21"/>
        <v>0</v>
      </c>
      <c r="M138" s="109">
        <v>0</v>
      </c>
      <c r="N138" s="112">
        <v>0</v>
      </c>
      <c r="O138" s="146" t="s">
        <v>337</v>
      </c>
    </row>
    <row r="139" spans="1:17" ht="40.200000000000003" thickBot="1" x14ac:dyDescent="0.3">
      <c r="A139" s="153" t="s">
        <v>57</v>
      </c>
      <c r="B139" s="36" t="s">
        <v>56</v>
      </c>
      <c r="C139" s="92">
        <f>C140+C142+C144</f>
        <v>0</v>
      </c>
      <c r="D139" s="93">
        <f>D140+D142+D144</f>
        <v>0</v>
      </c>
      <c r="E139" s="94">
        <v>0</v>
      </c>
      <c r="F139" s="92">
        <f>F140+F142+F144</f>
        <v>0</v>
      </c>
      <c r="G139" s="93">
        <f>G140+G142+G144</f>
        <v>0</v>
      </c>
      <c r="H139" s="94">
        <v>1</v>
      </c>
      <c r="I139" s="92">
        <f>I140+I142+I144</f>
        <v>0</v>
      </c>
      <c r="J139" s="93">
        <f>J140+J142+J144</f>
        <v>0</v>
      </c>
      <c r="K139" s="94">
        <v>0</v>
      </c>
      <c r="L139" s="95">
        <f t="shared" si="21"/>
        <v>0</v>
      </c>
      <c r="M139" s="92">
        <f>M140+M142+M144</f>
        <v>0</v>
      </c>
      <c r="N139" s="96">
        <f>N140+N142+N144</f>
        <v>0</v>
      </c>
      <c r="O139" s="146"/>
    </row>
    <row r="140" spans="1:17" ht="41.4" x14ac:dyDescent="0.25">
      <c r="A140" s="154" t="s">
        <v>212</v>
      </c>
      <c r="B140" s="27" t="s">
        <v>58</v>
      </c>
      <c r="C140" s="57">
        <f>C141</f>
        <v>0</v>
      </c>
      <c r="D140" s="58">
        <f>D141</f>
        <v>0</v>
      </c>
      <c r="E140" s="59">
        <v>0</v>
      </c>
      <c r="F140" s="57">
        <f>F141</f>
        <v>0</v>
      </c>
      <c r="G140" s="58">
        <f>G141</f>
        <v>0</v>
      </c>
      <c r="H140" s="59">
        <v>0</v>
      </c>
      <c r="I140" s="57">
        <f>I141</f>
        <v>0</v>
      </c>
      <c r="J140" s="58">
        <f>J141</f>
        <v>0</v>
      </c>
      <c r="K140" s="59">
        <v>0</v>
      </c>
      <c r="L140" s="60">
        <f t="shared" si="21"/>
        <v>0</v>
      </c>
      <c r="M140" s="57">
        <f>M141</f>
        <v>0</v>
      </c>
      <c r="N140" s="61">
        <f>N141</f>
        <v>0</v>
      </c>
      <c r="O140" s="148"/>
    </row>
    <row r="141" spans="1:17" ht="26.4" x14ac:dyDescent="0.25">
      <c r="A141" s="81" t="s">
        <v>141</v>
      </c>
      <c r="B141" s="31"/>
      <c r="C141" s="62">
        <v>0</v>
      </c>
      <c r="D141" s="65">
        <v>0</v>
      </c>
      <c r="E141" s="64">
        <v>0</v>
      </c>
      <c r="F141" s="62">
        <v>0</v>
      </c>
      <c r="G141" s="65">
        <v>0</v>
      </c>
      <c r="H141" s="64">
        <v>0</v>
      </c>
      <c r="I141" s="62">
        <v>0</v>
      </c>
      <c r="J141" s="63">
        <v>0</v>
      </c>
      <c r="K141" s="64">
        <v>0</v>
      </c>
      <c r="L141" s="66">
        <f t="shared" si="21"/>
        <v>0</v>
      </c>
      <c r="M141" s="62">
        <v>0</v>
      </c>
      <c r="N141" s="67">
        <v>0</v>
      </c>
      <c r="O141" s="148"/>
    </row>
    <row r="142" spans="1:17" ht="41.4" x14ac:dyDescent="0.25">
      <c r="A142" s="155" t="s">
        <v>60</v>
      </c>
      <c r="B142" s="29" t="s">
        <v>59</v>
      </c>
      <c r="C142" s="72">
        <f>SUM(C143:C143)</f>
        <v>0</v>
      </c>
      <c r="D142" s="73">
        <f>SUM(D143:D143)</f>
        <v>0</v>
      </c>
      <c r="E142" s="82">
        <v>0</v>
      </c>
      <c r="F142" s="72">
        <f>SUM(F143:F143)</f>
        <v>0</v>
      </c>
      <c r="G142" s="73">
        <f>SUM(G143:G143)</f>
        <v>0</v>
      </c>
      <c r="H142" s="82">
        <v>0</v>
      </c>
      <c r="I142" s="72">
        <f>SUM(I143:I143)</f>
        <v>0</v>
      </c>
      <c r="J142" s="73">
        <f>SUM(J143:J143)</f>
        <v>0</v>
      </c>
      <c r="K142" s="82">
        <v>0</v>
      </c>
      <c r="L142" s="60">
        <f t="shared" si="21"/>
        <v>0</v>
      </c>
      <c r="M142" s="72">
        <f>SUM(M143:M143)</f>
        <v>0</v>
      </c>
      <c r="N142" s="74">
        <f>SUM(N143:N143)</f>
        <v>0</v>
      </c>
      <c r="O142" s="148"/>
    </row>
    <row r="143" spans="1:17" x14ac:dyDescent="0.25">
      <c r="A143" s="81" t="s">
        <v>312</v>
      </c>
      <c r="B143" s="37"/>
      <c r="C143" s="62">
        <v>0</v>
      </c>
      <c r="D143" s="65">
        <v>0</v>
      </c>
      <c r="E143" s="64">
        <v>0</v>
      </c>
      <c r="F143" s="62">
        <v>0</v>
      </c>
      <c r="G143" s="65">
        <v>0</v>
      </c>
      <c r="H143" s="64">
        <v>0</v>
      </c>
      <c r="I143" s="62">
        <v>0</v>
      </c>
      <c r="J143" s="65">
        <v>0</v>
      </c>
      <c r="K143" s="64">
        <v>0</v>
      </c>
      <c r="L143" s="66">
        <f t="shared" si="21"/>
        <v>0</v>
      </c>
      <c r="M143" s="62">
        <v>0</v>
      </c>
      <c r="N143" s="67">
        <v>0</v>
      </c>
      <c r="O143" s="148"/>
    </row>
    <row r="144" spans="1:17" ht="41.4" x14ac:dyDescent="0.25">
      <c r="A144" s="155" t="s">
        <v>213</v>
      </c>
      <c r="B144" s="29" t="s">
        <v>61</v>
      </c>
      <c r="C144" s="72">
        <f>SUM(C145:C145)</f>
        <v>0</v>
      </c>
      <c r="D144" s="73">
        <f>SUM(D145:D145)</f>
        <v>0</v>
      </c>
      <c r="E144" s="82">
        <v>0</v>
      </c>
      <c r="F144" s="72">
        <f>SUM(F145:F145)</f>
        <v>0</v>
      </c>
      <c r="G144" s="73">
        <f>SUM(G145:G145)</f>
        <v>0</v>
      </c>
      <c r="H144" s="82">
        <v>0</v>
      </c>
      <c r="I144" s="72">
        <f>SUM(I145:I145)</f>
        <v>0</v>
      </c>
      <c r="J144" s="73">
        <f>SUM(J145:J145)</f>
        <v>0</v>
      </c>
      <c r="K144" s="82">
        <v>0</v>
      </c>
      <c r="L144" s="60">
        <f t="shared" si="21"/>
        <v>0</v>
      </c>
      <c r="M144" s="72">
        <f>SUM(M145:M145)</f>
        <v>0</v>
      </c>
      <c r="N144" s="74">
        <f>SUM(N145:N145)</f>
        <v>0</v>
      </c>
      <c r="O144" s="148"/>
    </row>
    <row r="145" spans="1:17" ht="13.8" thickBot="1" x14ac:dyDescent="0.3">
      <c r="A145" s="81"/>
      <c r="B145" s="31"/>
      <c r="C145" s="62">
        <v>0</v>
      </c>
      <c r="D145" s="65">
        <v>0</v>
      </c>
      <c r="E145" s="64">
        <v>0</v>
      </c>
      <c r="F145" s="62">
        <v>0</v>
      </c>
      <c r="G145" s="65">
        <v>0</v>
      </c>
      <c r="H145" s="64">
        <v>0</v>
      </c>
      <c r="I145" s="62">
        <v>0</v>
      </c>
      <c r="J145" s="65">
        <v>0</v>
      </c>
      <c r="K145" s="64">
        <v>0</v>
      </c>
      <c r="L145" s="66">
        <f t="shared" si="21"/>
        <v>0</v>
      </c>
      <c r="M145" s="62">
        <v>0</v>
      </c>
      <c r="N145" s="67">
        <v>0</v>
      </c>
      <c r="O145" s="148"/>
    </row>
    <row r="146" spans="1:17" ht="40.200000000000003" thickBot="1" x14ac:dyDescent="0.3">
      <c r="A146" s="153" t="s">
        <v>63</v>
      </c>
      <c r="B146" s="20" t="s">
        <v>62</v>
      </c>
      <c r="C146" s="92">
        <f>C147+C149</f>
        <v>0</v>
      </c>
      <c r="D146" s="93">
        <f>D147+D149</f>
        <v>0</v>
      </c>
      <c r="E146" s="94">
        <v>0</v>
      </c>
      <c r="F146" s="92">
        <f>F147+F149</f>
        <v>0</v>
      </c>
      <c r="G146" s="93">
        <f>G147+G149</f>
        <v>0</v>
      </c>
      <c r="H146" s="94">
        <v>0</v>
      </c>
      <c r="I146" s="92">
        <f>I147+I149</f>
        <v>0</v>
      </c>
      <c r="J146" s="93">
        <f>J147+J149</f>
        <v>0</v>
      </c>
      <c r="K146" s="94">
        <v>0</v>
      </c>
      <c r="L146" s="95">
        <f t="shared" si="21"/>
        <v>0</v>
      </c>
      <c r="M146" s="92">
        <f>M147+M149</f>
        <v>0</v>
      </c>
      <c r="N146" s="96">
        <f>N147+N149</f>
        <v>0</v>
      </c>
      <c r="O146" s="148"/>
    </row>
    <row r="147" spans="1:17" ht="41.4" x14ac:dyDescent="0.25">
      <c r="A147" s="154" t="s">
        <v>214</v>
      </c>
      <c r="B147" s="17" t="s">
        <v>64</v>
      </c>
      <c r="C147" s="57">
        <f>C148</f>
        <v>0</v>
      </c>
      <c r="D147" s="58">
        <f>D148</f>
        <v>0</v>
      </c>
      <c r="E147" s="59">
        <v>0</v>
      </c>
      <c r="F147" s="57">
        <f>F148</f>
        <v>0</v>
      </c>
      <c r="G147" s="58">
        <f>G148</f>
        <v>0</v>
      </c>
      <c r="H147" s="59">
        <v>0</v>
      </c>
      <c r="I147" s="57">
        <f>I148</f>
        <v>0</v>
      </c>
      <c r="J147" s="58">
        <f>J148</f>
        <v>0</v>
      </c>
      <c r="K147" s="59">
        <v>0</v>
      </c>
      <c r="L147" s="60">
        <f t="shared" si="21"/>
        <v>0</v>
      </c>
      <c r="M147" s="57">
        <f>M148</f>
        <v>0</v>
      </c>
      <c r="N147" s="61">
        <f>N148</f>
        <v>0</v>
      </c>
      <c r="O147" s="148"/>
    </row>
    <row r="148" spans="1:17" x14ac:dyDescent="0.25">
      <c r="A148" s="81" t="s">
        <v>186</v>
      </c>
      <c r="B148" s="19"/>
      <c r="C148" s="62">
        <v>0</v>
      </c>
      <c r="D148" s="65">
        <v>0</v>
      </c>
      <c r="E148" s="64">
        <v>0</v>
      </c>
      <c r="F148" s="62">
        <v>0</v>
      </c>
      <c r="G148" s="65">
        <v>0</v>
      </c>
      <c r="H148" s="64">
        <v>0</v>
      </c>
      <c r="I148" s="62"/>
      <c r="J148" s="63"/>
      <c r="K148" s="64" t="e">
        <f>J148/I148</f>
        <v>#DIV/0!</v>
      </c>
      <c r="L148" s="66">
        <f t="shared" si="21"/>
        <v>0</v>
      </c>
      <c r="M148" s="62">
        <v>0</v>
      </c>
      <c r="N148" s="67">
        <v>0</v>
      </c>
      <c r="O148" s="148"/>
    </row>
    <row r="149" spans="1:17" ht="26.4" x14ac:dyDescent="0.25">
      <c r="A149" s="158" t="s">
        <v>66</v>
      </c>
      <c r="B149" s="38" t="s">
        <v>65</v>
      </c>
      <c r="C149" s="113">
        <f>C150</f>
        <v>0</v>
      </c>
      <c r="D149" s="114">
        <f>D150</f>
        <v>0</v>
      </c>
      <c r="E149" s="115">
        <v>0</v>
      </c>
      <c r="F149" s="113">
        <f>F150</f>
        <v>0</v>
      </c>
      <c r="G149" s="114">
        <f>G150</f>
        <v>0</v>
      </c>
      <c r="H149" s="115">
        <v>0</v>
      </c>
      <c r="I149" s="113">
        <f>I150</f>
        <v>0</v>
      </c>
      <c r="J149" s="114">
        <f>J150</f>
        <v>0</v>
      </c>
      <c r="K149" s="115">
        <v>0</v>
      </c>
      <c r="L149" s="60">
        <f t="shared" si="21"/>
        <v>0</v>
      </c>
      <c r="M149" s="113">
        <f>M150</f>
        <v>0</v>
      </c>
      <c r="N149" s="116">
        <f>N150</f>
        <v>0</v>
      </c>
      <c r="O149" s="148"/>
    </row>
    <row r="150" spans="1:17" ht="13.8" thickBot="1" x14ac:dyDescent="0.3">
      <c r="A150" s="157" t="s">
        <v>124</v>
      </c>
      <c r="B150" s="26"/>
      <c r="C150" s="85">
        <v>0</v>
      </c>
      <c r="D150" s="86">
        <v>0</v>
      </c>
      <c r="E150" s="90">
        <v>0</v>
      </c>
      <c r="F150" s="85">
        <v>0</v>
      </c>
      <c r="G150" s="89">
        <v>0</v>
      </c>
      <c r="H150" s="90">
        <v>0</v>
      </c>
      <c r="I150" s="85">
        <v>0</v>
      </c>
      <c r="J150" s="89">
        <v>0</v>
      </c>
      <c r="K150" s="90">
        <v>0</v>
      </c>
      <c r="L150" s="66">
        <f t="shared" si="21"/>
        <v>0</v>
      </c>
      <c r="M150" s="85">
        <v>0</v>
      </c>
      <c r="N150" s="91">
        <v>0</v>
      </c>
      <c r="O150" s="148"/>
    </row>
    <row r="151" spans="1:17" ht="27" thickBot="1" x14ac:dyDescent="0.3">
      <c r="A151" s="153" t="s">
        <v>68</v>
      </c>
      <c r="B151" s="16" t="s">
        <v>67</v>
      </c>
      <c r="C151" s="92">
        <f>C152+C158+C161+C163</f>
        <v>0</v>
      </c>
      <c r="D151" s="93">
        <f>D152+D158+D161+D163</f>
        <v>0</v>
      </c>
      <c r="E151" s="94">
        <v>0</v>
      </c>
      <c r="F151" s="92">
        <f>F152+F158+F161+F163</f>
        <v>0</v>
      </c>
      <c r="G151" s="93">
        <f>G152+G158+G161+G163</f>
        <v>0</v>
      </c>
      <c r="H151" s="94">
        <v>0</v>
      </c>
      <c r="I151" s="92">
        <f>I152+I158+I161+I163</f>
        <v>0</v>
      </c>
      <c r="J151" s="93">
        <f>J152+J158+J161+J163</f>
        <v>0</v>
      </c>
      <c r="K151" s="94" t="e">
        <f>J151/I151</f>
        <v>#DIV/0!</v>
      </c>
      <c r="L151" s="191">
        <f t="shared" si="21"/>
        <v>0</v>
      </c>
      <c r="M151" s="92">
        <f>M152+M158+M161+M163</f>
        <v>0</v>
      </c>
      <c r="N151" s="96">
        <f>N152+N158+N161+N163</f>
        <v>0</v>
      </c>
      <c r="O151" s="148"/>
    </row>
    <row r="152" spans="1:17" ht="27.6" x14ac:dyDescent="0.25">
      <c r="A152" s="154" t="s">
        <v>70</v>
      </c>
      <c r="B152" s="17" t="s">
        <v>69</v>
      </c>
      <c r="C152" s="57">
        <f>SUM(C153:C157)</f>
        <v>0</v>
      </c>
      <c r="D152" s="58">
        <f>SUM(D153:D157)</f>
        <v>0</v>
      </c>
      <c r="E152" s="59">
        <v>0</v>
      </c>
      <c r="F152" s="57">
        <f>SUM(F153:F157)</f>
        <v>0</v>
      </c>
      <c r="G152" s="58">
        <f>SUM(G153:G157)</f>
        <v>0</v>
      </c>
      <c r="H152" s="59">
        <v>0</v>
      </c>
      <c r="I152" s="57">
        <f>SUM(I153:I157)</f>
        <v>0</v>
      </c>
      <c r="J152" s="58">
        <f>SUM(J153:J157)</f>
        <v>0</v>
      </c>
      <c r="K152" s="59" t="e">
        <f>J152/I152</f>
        <v>#DIV/0!</v>
      </c>
      <c r="L152" s="60">
        <f>SUM(L153:L157)</f>
        <v>0</v>
      </c>
      <c r="M152" s="57">
        <f t="shared" ref="M152:N152" si="22">SUM(M153:M157)</f>
        <v>0</v>
      </c>
      <c r="N152" s="61">
        <f t="shared" si="22"/>
        <v>0</v>
      </c>
      <c r="O152" s="148"/>
    </row>
    <row r="153" spans="1:17" ht="26.4" x14ac:dyDescent="0.25">
      <c r="A153" s="81" t="s">
        <v>143</v>
      </c>
      <c r="B153" s="19"/>
      <c r="C153" s="62">
        <v>0</v>
      </c>
      <c r="D153" s="65">
        <v>0</v>
      </c>
      <c r="E153" s="64">
        <v>0</v>
      </c>
      <c r="F153" s="62">
        <v>0</v>
      </c>
      <c r="G153" s="65">
        <v>0</v>
      </c>
      <c r="H153" s="64">
        <v>0</v>
      </c>
      <c r="I153" s="62"/>
      <c r="J153" s="63"/>
      <c r="K153" s="64" t="e">
        <f>J153/I153</f>
        <v>#DIV/0!</v>
      </c>
      <c r="L153" s="66">
        <f t="shared" ref="L153:L162" si="23">D153+G153+J153</f>
        <v>0</v>
      </c>
      <c r="M153" s="62">
        <v>0</v>
      </c>
      <c r="N153" s="67">
        <v>0</v>
      </c>
      <c r="O153" s="148"/>
    </row>
    <row r="154" spans="1:17" ht="26.4" x14ac:dyDescent="0.25">
      <c r="A154" s="81" t="s">
        <v>144</v>
      </c>
      <c r="B154" s="19"/>
      <c r="C154" s="62">
        <v>0</v>
      </c>
      <c r="D154" s="65">
        <v>0</v>
      </c>
      <c r="E154" s="64">
        <v>0</v>
      </c>
      <c r="F154" s="62">
        <v>0</v>
      </c>
      <c r="G154" s="65">
        <v>0</v>
      </c>
      <c r="H154" s="64">
        <v>0</v>
      </c>
      <c r="I154" s="62"/>
      <c r="J154" s="63"/>
      <c r="K154" s="64">
        <v>0</v>
      </c>
      <c r="L154" s="66">
        <f t="shared" si="23"/>
        <v>0</v>
      </c>
      <c r="M154" s="62">
        <v>0</v>
      </c>
      <c r="N154" s="67">
        <v>0</v>
      </c>
      <c r="O154" s="148"/>
    </row>
    <row r="155" spans="1:17" s="71" customFormat="1" x14ac:dyDescent="0.25">
      <c r="A155" s="81" t="s">
        <v>183</v>
      </c>
      <c r="B155" s="19"/>
      <c r="C155" s="62">
        <v>0</v>
      </c>
      <c r="D155" s="65">
        <v>0</v>
      </c>
      <c r="E155" s="64">
        <v>0</v>
      </c>
      <c r="F155" s="62">
        <v>0</v>
      </c>
      <c r="G155" s="65">
        <v>0</v>
      </c>
      <c r="H155" s="64">
        <v>0</v>
      </c>
      <c r="I155" s="62"/>
      <c r="J155" s="63"/>
      <c r="K155" s="64">
        <v>0</v>
      </c>
      <c r="L155" s="66">
        <f t="shared" si="23"/>
        <v>0</v>
      </c>
      <c r="M155" s="62">
        <v>0</v>
      </c>
      <c r="N155" s="67">
        <v>0</v>
      </c>
      <c r="O155" s="148"/>
      <c r="P155" s="69"/>
      <c r="Q155" s="70"/>
    </row>
    <row r="156" spans="1:17" ht="26.4" x14ac:dyDescent="0.25">
      <c r="A156" s="81" t="s">
        <v>174</v>
      </c>
      <c r="B156" s="18"/>
      <c r="C156" s="62">
        <v>0</v>
      </c>
      <c r="D156" s="65">
        <v>0</v>
      </c>
      <c r="E156" s="64">
        <v>0</v>
      </c>
      <c r="F156" s="62">
        <v>0</v>
      </c>
      <c r="G156" s="65">
        <v>0</v>
      </c>
      <c r="H156" s="64">
        <v>0</v>
      </c>
      <c r="I156" s="62"/>
      <c r="J156" s="63"/>
      <c r="K156" s="64">
        <v>0</v>
      </c>
      <c r="L156" s="66">
        <f t="shared" si="23"/>
        <v>0</v>
      </c>
      <c r="M156" s="62">
        <v>0</v>
      </c>
      <c r="N156" s="67">
        <v>0</v>
      </c>
      <c r="O156" s="148"/>
    </row>
    <row r="157" spans="1:17" s="71" customFormat="1" ht="26.4" x14ac:dyDescent="0.25">
      <c r="A157" s="81" t="s">
        <v>270</v>
      </c>
      <c r="B157" s="18"/>
      <c r="C157" s="62">
        <v>0</v>
      </c>
      <c r="D157" s="65">
        <v>0</v>
      </c>
      <c r="E157" s="64">
        <v>0</v>
      </c>
      <c r="F157" s="62">
        <v>0</v>
      </c>
      <c r="G157" s="65">
        <v>0</v>
      </c>
      <c r="H157" s="64">
        <v>0</v>
      </c>
      <c r="I157" s="62"/>
      <c r="J157" s="63"/>
      <c r="K157" s="64">
        <v>0</v>
      </c>
      <c r="L157" s="66">
        <f t="shared" si="23"/>
        <v>0</v>
      </c>
      <c r="M157" s="62">
        <v>0</v>
      </c>
      <c r="N157" s="67">
        <v>0</v>
      </c>
      <c r="O157" s="148"/>
      <c r="P157" s="69"/>
      <c r="Q157" s="70"/>
    </row>
    <row r="158" spans="1:17" ht="41.4" x14ac:dyDescent="0.25">
      <c r="A158" s="155" t="s">
        <v>72</v>
      </c>
      <c r="B158" s="23" t="s">
        <v>71</v>
      </c>
      <c r="C158" s="72">
        <f>SUM(C159:C160)</f>
        <v>0</v>
      </c>
      <c r="D158" s="73">
        <f>SUM(D159:D160)</f>
        <v>0</v>
      </c>
      <c r="E158" s="82">
        <v>0</v>
      </c>
      <c r="F158" s="72">
        <f>SUM(F159:F160)</f>
        <v>0</v>
      </c>
      <c r="G158" s="73">
        <f>SUM(G159:G160)</f>
        <v>0</v>
      </c>
      <c r="H158" s="82">
        <v>0</v>
      </c>
      <c r="I158" s="72">
        <f>I159</f>
        <v>0</v>
      </c>
      <c r="J158" s="73">
        <f>SUM(J159:J160)</f>
        <v>0</v>
      </c>
      <c r="K158" s="82">
        <v>0</v>
      </c>
      <c r="L158" s="60">
        <f t="shared" si="23"/>
        <v>0</v>
      </c>
      <c r="M158" s="72">
        <f>SUM(M159:M160)</f>
        <v>0</v>
      </c>
      <c r="N158" s="74">
        <f>SUM(N159:N160)</f>
        <v>0</v>
      </c>
      <c r="O158" s="148"/>
      <c r="P158" s="77"/>
    </row>
    <row r="159" spans="1:17" ht="26.4" x14ac:dyDescent="0.25">
      <c r="A159" s="81" t="s">
        <v>73</v>
      </c>
      <c r="B159" s="18"/>
      <c r="C159" s="62">
        <v>0</v>
      </c>
      <c r="D159" s="65">
        <v>0</v>
      </c>
      <c r="E159" s="64">
        <v>0</v>
      </c>
      <c r="F159" s="62">
        <v>0</v>
      </c>
      <c r="G159" s="65">
        <v>0</v>
      </c>
      <c r="H159" s="64">
        <v>0</v>
      </c>
      <c r="I159" s="62"/>
      <c r="J159" s="63"/>
      <c r="K159" s="64" t="e">
        <f>J159/I159</f>
        <v>#DIV/0!</v>
      </c>
      <c r="L159" s="66">
        <f t="shared" si="23"/>
        <v>0</v>
      </c>
      <c r="M159" s="62">
        <v>0</v>
      </c>
      <c r="N159" s="67">
        <v>0</v>
      </c>
      <c r="O159" s="148"/>
    </row>
    <row r="160" spans="1:17" x14ac:dyDescent="0.25">
      <c r="A160" s="81" t="s">
        <v>184</v>
      </c>
      <c r="B160" s="19"/>
      <c r="C160" s="62">
        <v>0</v>
      </c>
      <c r="D160" s="65">
        <v>0</v>
      </c>
      <c r="E160" s="64">
        <v>0</v>
      </c>
      <c r="F160" s="62">
        <v>0</v>
      </c>
      <c r="G160" s="65">
        <v>0</v>
      </c>
      <c r="H160" s="64">
        <v>0</v>
      </c>
      <c r="I160" s="62">
        <v>0</v>
      </c>
      <c r="J160" s="63">
        <v>0</v>
      </c>
      <c r="K160" s="64">
        <v>0</v>
      </c>
      <c r="L160" s="66">
        <f t="shared" si="23"/>
        <v>0</v>
      </c>
      <c r="M160" s="62">
        <v>0</v>
      </c>
      <c r="N160" s="67">
        <v>0</v>
      </c>
      <c r="O160" s="149"/>
    </row>
    <row r="161" spans="1:16" ht="41.4" x14ac:dyDescent="0.25">
      <c r="A161" s="155" t="s">
        <v>75</v>
      </c>
      <c r="B161" s="23" t="s">
        <v>74</v>
      </c>
      <c r="C161" s="72">
        <f>SUM(C162:C162)</f>
        <v>0</v>
      </c>
      <c r="D161" s="73">
        <f>SUM(D162:D162)</f>
        <v>0</v>
      </c>
      <c r="E161" s="82">
        <v>0</v>
      </c>
      <c r="F161" s="72">
        <f>SUM(F162:F162)</f>
        <v>0</v>
      </c>
      <c r="G161" s="73">
        <f>SUM(G162:G162)</f>
        <v>0</v>
      </c>
      <c r="H161" s="82">
        <v>0</v>
      </c>
      <c r="I161" s="72">
        <f>SUM(I162:I162)</f>
        <v>0</v>
      </c>
      <c r="J161" s="73">
        <f>SUM(J162:J162)</f>
        <v>0</v>
      </c>
      <c r="K161" s="82" t="e">
        <f>J161/I161</f>
        <v>#DIV/0!</v>
      </c>
      <c r="L161" s="60">
        <f t="shared" si="23"/>
        <v>0</v>
      </c>
      <c r="M161" s="72">
        <f>SUM(M162:M162)</f>
        <v>0</v>
      </c>
      <c r="N161" s="192">
        <f>SUM(N162:N162)</f>
        <v>0</v>
      </c>
      <c r="O161" s="149"/>
    </row>
    <row r="162" spans="1:16" ht="39.6" x14ac:dyDescent="0.25">
      <c r="A162" s="81" t="s">
        <v>145</v>
      </c>
      <c r="B162" s="19"/>
      <c r="C162" s="62">
        <v>0</v>
      </c>
      <c r="D162" s="65">
        <v>0</v>
      </c>
      <c r="E162" s="64">
        <v>0</v>
      </c>
      <c r="F162" s="62">
        <v>0</v>
      </c>
      <c r="G162" s="65">
        <v>0</v>
      </c>
      <c r="H162" s="64">
        <v>0</v>
      </c>
      <c r="I162" s="62"/>
      <c r="J162" s="63"/>
      <c r="K162" s="64" t="e">
        <f>J162/I162</f>
        <v>#DIV/0!</v>
      </c>
      <c r="L162" s="66">
        <f t="shared" si="23"/>
        <v>0</v>
      </c>
      <c r="M162" s="62">
        <v>0</v>
      </c>
      <c r="N162" s="67">
        <v>0</v>
      </c>
      <c r="O162" s="148"/>
    </row>
    <row r="163" spans="1:16" ht="69" x14ac:dyDescent="0.25">
      <c r="A163" s="155" t="s">
        <v>77</v>
      </c>
      <c r="B163" s="23" t="s">
        <v>76</v>
      </c>
      <c r="C163" s="72">
        <f>C164+C165</f>
        <v>0</v>
      </c>
      <c r="D163" s="72">
        <f>D164+D165</f>
        <v>0</v>
      </c>
      <c r="E163" s="82">
        <v>0</v>
      </c>
      <c r="F163" s="72">
        <f>F164+F165</f>
        <v>0</v>
      </c>
      <c r="G163" s="72">
        <f>G164+G165</f>
        <v>0</v>
      </c>
      <c r="H163" s="82">
        <v>0</v>
      </c>
      <c r="I163" s="72">
        <f>I164+I165</f>
        <v>0</v>
      </c>
      <c r="J163" s="72">
        <f>J164+J165</f>
        <v>0</v>
      </c>
      <c r="K163" s="82">
        <v>0</v>
      </c>
      <c r="L163" s="72">
        <f>L164+L165</f>
        <v>0</v>
      </c>
      <c r="M163" s="72">
        <f>M164+M165</f>
        <v>0</v>
      </c>
      <c r="N163" s="74">
        <f>N164</f>
        <v>0</v>
      </c>
      <c r="O163" s="148"/>
    </row>
    <row r="164" spans="1:16" x14ac:dyDescent="0.25">
      <c r="A164" s="159" t="s">
        <v>146</v>
      </c>
      <c r="B164" s="39"/>
      <c r="C164" s="65">
        <v>0</v>
      </c>
      <c r="D164" s="65">
        <v>0</v>
      </c>
      <c r="E164" s="193">
        <v>0</v>
      </c>
      <c r="F164" s="65">
        <v>0</v>
      </c>
      <c r="G164" s="65">
        <v>0</v>
      </c>
      <c r="H164" s="193">
        <v>0</v>
      </c>
      <c r="I164" s="65"/>
      <c r="J164" s="63"/>
      <c r="K164" s="193" t="e">
        <f>J164/I164</f>
        <v>#DIV/0!</v>
      </c>
      <c r="L164" s="65">
        <f>D164+G164+J164</f>
        <v>0</v>
      </c>
      <c r="M164" s="65">
        <v>0</v>
      </c>
      <c r="N164" s="65">
        <v>0</v>
      </c>
      <c r="O164" s="180"/>
    </row>
    <row r="165" spans="1:16" x14ac:dyDescent="0.25">
      <c r="A165" s="159" t="s">
        <v>146</v>
      </c>
      <c r="B165" s="39"/>
      <c r="C165" s="65">
        <v>0</v>
      </c>
      <c r="D165" s="65">
        <v>0</v>
      </c>
      <c r="E165" s="193">
        <v>0</v>
      </c>
      <c r="F165" s="65">
        <v>0</v>
      </c>
      <c r="G165" s="65">
        <v>0</v>
      </c>
      <c r="H165" s="193">
        <v>0</v>
      </c>
      <c r="I165" s="65"/>
      <c r="J165" s="63"/>
      <c r="K165" s="193" t="e">
        <f>J165/I165</f>
        <v>#DIV/0!</v>
      </c>
      <c r="L165" s="65">
        <f>D165+G165+J165</f>
        <v>0</v>
      </c>
      <c r="M165" s="65">
        <v>0</v>
      </c>
      <c r="N165" s="65">
        <v>0</v>
      </c>
      <c r="O165" s="180"/>
    </row>
    <row r="166" spans="1:16" ht="40.200000000000003" thickBot="1" x14ac:dyDescent="0.3">
      <c r="A166" s="160" t="s">
        <v>79</v>
      </c>
      <c r="B166" s="40" t="s">
        <v>78</v>
      </c>
      <c r="C166" s="194">
        <f>SUM(C168:C173)</f>
        <v>0</v>
      </c>
      <c r="D166" s="195">
        <f>D167+D174</f>
        <v>0</v>
      </c>
      <c r="E166" s="196">
        <v>1</v>
      </c>
      <c r="F166" s="194">
        <f>F167+F174</f>
        <v>0</v>
      </c>
      <c r="G166" s="195">
        <f>G167+G174</f>
        <v>0</v>
      </c>
      <c r="H166" s="196">
        <v>0</v>
      </c>
      <c r="I166" s="194">
        <f>I167+I174</f>
        <v>0</v>
      </c>
      <c r="J166" s="195">
        <f>J167+J174</f>
        <v>0</v>
      </c>
      <c r="K166" s="196">
        <v>1</v>
      </c>
      <c r="L166" s="197">
        <f>D166+G166+J166</f>
        <v>0</v>
      </c>
      <c r="M166" s="194">
        <f>M167+M174</f>
        <v>0</v>
      </c>
      <c r="N166" s="198">
        <f>N167+N174</f>
        <v>0</v>
      </c>
      <c r="O166" s="146"/>
    </row>
    <row r="167" spans="1:16" ht="41.4" x14ac:dyDescent="0.25">
      <c r="A167" s="154" t="s">
        <v>81</v>
      </c>
      <c r="B167" s="17" t="s">
        <v>80</v>
      </c>
      <c r="C167" s="57">
        <f>SUM(C168:C173)</f>
        <v>0</v>
      </c>
      <c r="D167" s="57">
        <f>SUM(D168:D173)</f>
        <v>0</v>
      </c>
      <c r="E167" s="59">
        <v>0</v>
      </c>
      <c r="F167" s="57">
        <f>SUM(F168:F173)</f>
        <v>0</v>
      </c>
      <c r="G167" s="57">
        <f>SUM(G168:G173)</f>
        <v>0</v>
      </c>
      <c r="H167" s="59">
        <v>0</v>
      </c>
      <c r="I167" s="57">
        <f>SUM(I168:I173)</f>
        <v>0</v>
      </c>
      <c r="J167" s="57">
        <f>SUM(J168:J173)</f>
        <v>0</v>
      </c>
      <c r="K167" s="59">
        <v>1</v>
      </c>
      <c r="L167" s="57">
        <f>SUM(L168:L173)</f>
        <v>0</v>
      </c>
      <c r="M167" s="57">
        <f>SUM(M168:M173)</f>
        <v>0</v>
      </c>
      <c r="N167" s="61">
        <f>SUM(N168:N170)</f>
        <v>0</v>
      </c>
      <c r="O167" s="148"/>
    </row>
    <row r="168" spans="1:16" ht="26.4" x14ac:dyDescent="0.25">
      <c r="A168" s="81" t="s">
        <v>255</v>
      </c>
      <c r="B168" s="18"/>
      <c r="C168" s="62">
        <v>0</v>
      </c>
      <c r="D168" s="65">
        <v>0</v>
      </c>
      <c r="E168" s="64">
        <v>0</v>
      </c>
      <c r="F168" s="62">
        <v>0</v>
      </c>
      <c r="G168" s="65">
        <v>0</v>
      </c>
      <c r="H168" s="64">
        <v>0</v>
      </c>
      <c r="I168" s="62"/>
      <c r="J168" s="63"/>
      <c r="K168" s="64" t="e">
        <f>J168/I168</f>
        <v>#DIV/0!</v>
      </c>
      <c r="L168" s="66">
        <f>D168+G168+J168</f>
        <v>0</v>
      </c>
      <c r="M168" s="62">
        <v>0</v>
      </c>
      <c r="N168" s="67">
        <v>0</v>
      </c>
      <c r="O168" s="148"/>
    </row>
    <row r="169" spans="1:16" x14ac:dyDescent="0.25">
      <c r="A169" s="81" t="s">
        <v>291</v>
      </c>
      <c r="B169" s="19"/>
      <c r="C169" s="62">
        <v>0</v>
      </c>
      <c r="D169" s="65">
        <v>0</v>
      </c>
      <c r="E169" s="64">
        <v>0</v>
      </c>
      <c r="F169" s="62">
        <v>0</v>
      </c>
      <c r="G169" s="65">
        <v>0</v>
      </c>
      <c r="H169" s="64">
        <v>0</v>
      </c>
      <c r="I169" s="62"/>
      <c r="J169" s="63"/>
      <c r="K169" s="64">
        <v>0</v>
      </c>
      <c r="L169" s="66">
        <f>D169+G169+J169</f>
        <v>0</v>
      </c>
      <c r="M169" s="62">
        <v>0</v>
      </c>
      <c r="N169" s="67">
        <v>0</v>
      </c>
      <c r="O169" s="148"/>
      <c r="P169" s="77"/>
    </row>
    <row r="170" spans="1:16" ht="26.4" x14ac:dyDescent="0.25">
      <c r="A170" s="81" t="s">
        <v>246</v>
      </c>
      <c r="B170" s="19"/>
      <c r="C170" s="62">
        <v>0</v>
      </c>
      <c r="D170" s="65">
        <v>0</v>
      </c>
      <c r="E170" s="64">
        <v>0</v>
      </c>
      <c r="F170" s="62">
        <v>0</v>
      </c>
      <c r="G170" s="65">
        <v>0</v>
      </c>
      <c r="H170" s="64">
        <v>0</v>
      </c>
      <c r="I170" s="62"/>
      <c r="J170" s="63"/>
      <c r="K170" s="64">
        <v>0</v>
      </c>
      <c r="L170" s="66">
        <f>D170+G170+J170</f>
        <v>0</v>
      </c>
      <c r="M170" s="62">
        <v>0</v>
      </c>
      <c r="N170" s="67">
        <v>0</v>
      </c>
      <c r="O170" s="148"/>
    </row>
    <row r="171" spans="1:16" ht="26.4" x14ac:dyDescent="0.25">
      <c r="A171" s="81" t="s">
        <v>247</v>
      </c>
      <c r="B171" s="18"/>
      <c r="C171" s="62">
        <v>0</v>
      </c>
      <c r="D171" s="65">
        <v>0</v>
      </c>
      <c r="E171" s="64">
        <v>0</v>
      </c>
      <c r="F171" s="62">
        <v>0</v>
      </c>
      <c r="G171" s="65">
        <v>0</v>
      </c>
      <c r="H171" s="64">
        <v>0</v>
      </c>
      <c r="I171" s="62"/>
      <c r="J171" s="63"/>
      <c r="K171" s="64">
        <v>1</v>
      </c>
      <c r="L171" s="66">
        <f>D171+G171+J171</f>
        <v>0</v>
      </c>
      <c r="M171" s="62">
        <v>0</v>
      </c>
      <c r="N171" s="67">
        <v>0</v>
      </c>
      <c r="O171" s="151"/>
    </row>
    <row r="172" spans="1:16" x14ac:dyDescent="0.25">
      <c r="A172" s="81" t="s">
        <v>335</v>
      </c>
      <c r="B172" s="18"/>
      <c r="C172" s="62">
        <v>0</v>
      </c>
      <c r="D172" s="65">
        <v>0</v>
      </c>
      <c r="E172" s="64">
        <v>0</v>
      </c>
      <c r="F172" s="62">
        <v>0</v>
      </c>
      <c r="G172" s="65">
        <v>0</v>
      </c>
      <c r="H172" s="64">
        <v>1</v>
      </c>
      <c r="I172" s="62"/>
      <c r="J172" s="63"/>
      <c r="K172" s="64" t="e">
        <f>J172/I172</f>
        <v>#DIV/0!</v>
      </c>
      <c r="L172" s="66">
        <f>D172+G172+J172</f>
        <v>0</v>
      </c>
      <c r="M172" s="62">
        <v>0</v>
      </c>
      <c r="N172" s="67">
        <v>0</v>
      </c>
      <c r="O172" s="151"/>
    </row>
    <row r="173" spans="1:16" x14ac:dyDescent="0.25">
      <c r="A173" s="81" t="s">
        <v>324</v>
      </c>
      <c r="B173" s="18"/>
      <c r="C173" s="62">
        <v>0</v>
      </c>
      <c r="D173" s="63">
        <v>0</v>
      </c>
      <c r="E173" s="64">
        <v>1</v>
      </c>
      <c r="F173" s="62">
        <v>0</v>
      </c>
      <c r="G173" s="65">
        <v>0</v>
      </c>
      <c r="H173" s="64">
        <v>0</v>
      </c>
      <c r="I173" s="62"/>
      <c r="J173" s="63"/>
      <c r="K173" s="64">
        <v>1</v>
      </c>
      <c r="L173" s="66">
        <v>0</v>
      </c>
      <c r="M173" s="62">
        <v>0</v>
      </c>
      <c r="N173" s="67">
        <v>0</v>
      </c>
      <c r="O173" s="148"/>
    </row>
    <row r="174" spans="1:16" ht="41.4" x14ac:dyDescent="0.25">
      <c r="A174" s="155" t="s">
        <v>83</v>
      </c>
      <c r="B174" s="23" t="s">
        <v>82</v>
      </c>
      <c r="C174" s="72">
        <f>SUM(C175:C182)</f>
        <v>0</v>
      </c>
      <c r="D174" s="73">
        <f>SUM(D175:D182)</f>
        <v>0</v>
      </c>
      <c r="E174" s="82">
        <v>1</v>
      </c>
      <c r="F174" s="72">
        <f>SUM(F175:F182)</f>
        <v>0</v>
      </c>
      <c r="G174" s="73">
        <f>SUM(G175:G182)</f>
        <v>0</v>
      </c>
      <c r="H174" s="82">
        <v>0</v>
      </c>
      <c r="I174" s="72">
        <f>SUM(I175:I182)</f>
        <v>0</v>
      </c>
      <c r="J174" s="73">
        <f>SUM(J175:J182)</f>
        <v>0</v>
      </c>
      <c r="K174" s="82" t="e">
        <f>J174/I174</f>
        <v>#DIV/0!</v>
      </c>
      <c r="L174" s="60">
        <f t="shared" ref="L174:L186" si="24">D174+G174+J174</f>
        <v>0</v>
      </c>
      <c r="M174" s="72">
        <f>SUM(M175:M182)</f>
        <v>0</v>
      </c>
      <c r="N174" s="74">
        <f>SUM(N175:N182)</f>
        <v>0</v>
      </c>
      <c r="O174" s="148"/>
    </row>
    <row r="175" spans="1:16" x14ac:dyDescent="0.25">
      <c r="A175" s="81" t="s">
        <v>139</v>
      </c>
      <c r="B175" s="19"/>
      <c r="C175" s="62">
        <v>0</v>
      </c>
      <c r="D175" s="63">
        <v>0</v>
      </c>
      <c r="E175" s="64">
        <v>0</v>
      </c>
      <c r="F175" s="62">
        <v>0</v>
      </c>
      <c r="G175" s="65">
        <v>0</v>
      </c>
      <c r="H175" s="64">
        <v>0</v>
      </c>
      <c r="I175" s="62">
        <v>0</v>
      </c>
      <c r="J175" s="63">
        <v>0</v>
      </c>
      <c r="K175" s="64">
        <v>0</v>
      </c>
      <c r="L175" s="66">
        <f t="shared" si="24"/>
        <v>0</v>
      </c>
      <c r="M175" s="62">
        <v>0</v>
      </c>
      <c r="N175" s="67">
        <v>0</v>
      </c>
      <c r="O175" s="148"/>
    </row>
    <row r="176" spans="1:16" x14ac:dyDescent="0.25">
      <c r="A176" s="81" t="s">
        <v>352</v>
      </c>
      <c r="B176" s="18"/>
      <c r="C176" s="62">
        <v>0</v>
      </c>
      <c r="D176" s="65">
        <v>0</v>
      </c>
      <c r="E176" s="64">
        <v>0</v>
      </c>
      <c r="F176" s="62">
        <v>0</v>
      </c>
      <c r="G176" s="65">
        <v>0</v>
      </c>
      <c r="H176" s="64" t="e">
        <f>G176/F176</f>
        <v>#DIV/0!</v>
      </c>
      <c r="I176" s="62">
        <v>0</v>
      </c>
      <c r="J176" s="63">
        <v>0</v>
      </c>
      <c r="K176" s="64">
        <v>0</v>
      </c>
      <c r="L176" s="66">
        <f t="shared" si="24"/>
        <v>0</v>
      </c>
      <c r="M176" s="62">
        <v>0</v>
      </c>
      <c r="N176" s="67">
        <v>0</v>
      </c>
      <c r="O176" s="148"/>
    </row>
    <row r="177" spans="1:17" x14ac:dyDescent="0.25">
      <c r="A177" s="81" t="s">
        <v>319</v>
      </c>
      <c r="B177" s="18"/>
      <c r="C177" s="62">
        <v>0</v>
      </c>
      <c r="D177" s="65">
        <v>0</v>
      </c>
      <c r="E177" s="64">
        <v>0</v>
      </c>
      <c r="F177" s="62">
        <v>0</v>
      </c>
      <c r="G177" s="65">
        <v>0</v>
      </c>
      <c r="H177" s="64" t="e">
        <f>G177/F177</f>
        <v>#DIV/0!</v>
      </c>
      <c r="I177" s="62">
        <v>0</v>
      </c>
      <c r="J177" s="63">
        <v>0</v>
      </c>
      <c r="K177" s="64">
        <v>0</v>
      </c>
      <c r="L177" s="66">
        <f t="shared" si="24"/>
        <v>0</v>
      </c>
      <c r="M177" s="62">
        <v>0</v>
      </c>
      <c r="N177" s="67">
        <v>0</v>
      </c>
      <c r="O177" s="148"/>
    </row>
    <row r="178" spans="1:17" ht="26.4" x14ac:dyDescent="0.25">
      <c r="A178" s="81" t="s">
        <v>359</v>
      </c>
      <c r="B178" s="18"/>
      <c r="C178" s="62">
        <v>0</v>
      </c>
      <c r="D178" s="65">
        <v>0</v>
      </c>
      <c r="E178" s="64">
        <v>0</v>
      </c>
      <c r="F178" s="68"/>
      <c r="G178" s="65"/>
      <c r="H178" s="64" t="e">
        <f>G178/F178</f>
        <v>#DIV/0!</v>
      </c>
      <c r="I178" s="62"/>
      <c r="J178" s="63"/>
      <c r="K178" s="64">
        <v>0</v>
      </c>
      <c r="L178" s="66">
        <f t="shared" si="24"/>
        <v>0</v>
      </c>
      <c r="M178" s="62">
        <v>0</v>
      </c>
      <c r="N178" s="67">
        <v>0</v>
      </c>
      <c r="O178" s="148" t="s">
        <v>360</v>
      </c>
    </row>
    <row r="179" spans="1:17" x14ac:dyDescent="0.25">
      <c r="A179" s="81" t="s">
        <v>302</v>
      </c>
      <c r="B179" s="18"/>
      <c r="C179" s="62">
        <v>0</v>
      </c>
      <c r="D179" s="65">
        <v>0</v>
      </c>
      <c r="E179" s="64">
        <v>0</v>
      </c>
      <c r="F179" s="62"/>
      <c r="G179" s="65"/>
      <c r="H179" s="64">
        <v>0</v>
      </c>
      <c r="I179" s="62"/>
      <c r="J179" s="63"/>
      <c r="K179" s="64">
        <v>1</v>
      </c>
      <c r="L179" s="66">
        <f t="shared" si="24"/>
        <v>0</v>
      </c>
      <c r="M179" s="62">
        <v>0</v>
      </c>
      <c r="N179" s="67">
        <v>0</v>
      </c>
      <c r="O179" s="148"/>
    </row>
    <row r="180" spans="1:17" ht="26.4" x14ac:dyDescent="0.25">
      <c r="A180" s="81" t="s">
        <v>138</v>
      </c>
      <c r="B180" s="18"/>
      <c r="C180" s="62">
        <v>0</v>
      </c>
      <c r="D180" s="65">
        <v>0</v>
      </c>
      <c r="E180" s="64">
        <v>0</v>
      </c>
      <c r="F180" s="62"/>
      <c r="G180" s="65"/>
      <c r="H180" s="64">
        <v>0</v>
      </c>
      <c r="I180" s="62"/>
      <c r="J180" s="63"/>
      <c r="K180" s="64" t="e">
        <f>J180/I180</f>
        <v>#DIV/0!</v>
      </c>
      <c r="L180" s="66">
        <f t="shared" si="24"/>
        <v>0</v>
      </c>
      <c r="M180" s="62">
        <v>0</v>
      </c>
      <c r="N180" s="67">
        <v>0</v>
      </c>
      <c r="O180" s="148"/>
    </row>
    <row r="181" spans="1:17" ht="26.4" x14ac:dyDescent="0.25">
      <c r="A181" s="81" t="s">
        <v>140</v>
      </c>
      <c r="B181" s="19"/>
      <c r="C181" s="62">
        <v>0</v>
      </c>
      <c r="D181" s="65">
        <v>0</v>
      </c>
      <c r="E181" s="64">
        <v>0</v>
      </c>
      <c r="F181" s="62">
        <v>0</v>
      </c>
      <c r="G181" s="65">
        <v>0</v>
      </c>
      <c r="H181" s="64">
        <v>0</v>
      </c>
      <c r="I181" s="62">
        <v>0</v>
      </c>
      <c r="J181" s="63">
        <v>0</v>
      </c>
      <c r="K181" s="64">
        <v>1</v>
      </c>
      <c r="L181" s="66">
        <f t="shared" si="24"/>
        <v>0</v>
      </c>
      <c r="M181" s="62">
        <v>0</v>
      </c>
      <c r="N181" s="67">
        <v>0</v>
      </c>
      <c r="O181" s="149"/>
    </row>
    <row r="182" spans="1:17" ht="13.8" thickBot="1" x14ac:dyDescent="0.3">
      <c r="A182" s="157" t="s">
        <v>325</v>
      </c>
      <c r="B182" s="41"/>
      <c r="C182" s="62">
        <v>0</v>
      </c>
      <c r="D182" s="65">
        <v>0</v>
      </c>
      <c r="E182" s="90">
        <v>0</v>
      </c>
      <c r="F182" s="85">
        <v>0</v>
      </c>
      <c r="G182" s="89">
        <v>0</v>
      </c>
      <c r="H182" s="90">
        <v>0</v>
      </c>
      <c r="I182" s="85">
        <v>0</v>
      </c>
      <c r="J182" s="86">
        <v>0</v>
      </c>
      <c r="K182" s="90">
        <v>1</v>
      </c>
      <c r="L182" s="66">
        <f t="shared" si="24"/>
        <v>0</v>
      </c>
      <c r="M182" s="62">
        <v>0</v>
      </c>
      <c r="N182" s="67">
        <v>0</v>
      </c>
      <c r="O182" s="148"/>
    </row>
    <row r="183" spans="1:17" ht="40.200000000000003" thickBot="1" x14ac:dyDescent="0.3">
      <c r="A183" s="153" t="s">
        <v>85</v>
      </c>
      <c r="B183" s="20" t="s">
        <v>84</v>
      </c>
      <c r="C183" s="92">
        <f>C184+C186</f>
        <v>0</v>
      </c>
      <c r="D183" s="93">
        <f>D184+D186</f>
        <v>0</v>
      </c>
      <c r="E183" s="117">
        <v>0</v>
      </c>
      <c r="F183" s="92">
        <f>F184+F186</f>
        <v>0</v>
      </c>
      <c r="G183" s="93">
        <f>G184+G186</f>
        <v>0</v>
      </c>
      <c r="H183" s="117" t="e">
        <f>G183/F183</f>
        <v>#DIV/0!</v>
      </c>
      <c r="I183" s="92">
        <f>I184+I186</f>
        <v>0</v>
      </c>
      <c r="J183" s="93">
        <f>J184+J186</f>
        <v>0</v>
      </c>
      <c r="K183" s="117">
        <v>0</v>
      </c>
      <c r="L183" s="118">
        <f t="shared" si="24"/>
        <v>0</v>
      </c>
      <c r="M183" s="92">
        <f>M184+M186</f>
        <v>0</v>
      </c>
      <c r="N183" s="96">
        <f>N184+N186</f>
        <v>0</v>
      </c>
      <c r="O183" s="148"/>
    </row>
    <row r="184" spans="1:17" s="71" customFormat="1" ht="39.6" x14ac:dyDescent="0.25">
      <c r="A184" s="161" t="s">
        <v>87</v>
      </c>
      <c r="B184" s="42" t="s">
        <v>86</v>
      </c>
      <c r="C184" s="119">
        <f>SUM(C185:C185)</f>
        <v>0</v>
      </c>
      <c r="D184" s="120">
        <f>SUM(D185:D185)</f>
        <v>0</v>
      </c>
      <c r="E184" s="121">
        <v>0</v>
      </c>
      <c r="F184" s="119">
        <f>SUM(F185:F185)</f>
        <v>0</v>
      </c>
      <c r="G184" s="120">
        <f>SUM(G185:G185)</f>
        <v>0</v>
      </c>
      <c r="H184" s="121" t="e">
        <f>G184/F184</f>
        <v>#DIV/0!</v>
      </c>
      <c r="I184" s="119">
        <f>SUM(I185:I185)</f>
        <v>0</v>
      </c>
      <c r="J184" s="120">
        <f>SUM(J185:J185)</f>
        <v>0</v>
      </c>
      <c r="K184" s="121">
        <v>0</v>
      </c>
      <c r="L184" s="122">
        <f t="shared" si="24"/>
        <v>0</v>
      </c>
      <c r="M184" s="119">
        <f>SUM(M185:M185)</f>
        <v>0</v>
      </c>
      <c r="N184" s="123">
        <f>SUM(N185:N185)</f>
        <v>0</v>
      </c>
      <c r="O184" s="148"/>
      <c r="P184" s="69"/>
      <c r="Q184" s="70"/>
    </row>
    <row r="185" spans="1:17" s="71" customFormat="1" ht="39.6" x14ac:dyDescent="0.25">
      <c r="A185" s="81" t="s">
        <v>318</v>
      </c>
      <c r="B185" s="18"/>
      <c r="C185" s="62">
        <v>0</v>
      </c>
      <c r="D185" s="65">
        <v>0</v>
      </c>
      <c r="E185" s="64">
        <v>0</v>
      </c>
      <c r="F185" s="62"/>
      <c r="G185" s="65"/>
      <c r="H185" s="64" t="e">
        <f>G185/F185</f>
        <v>#DIV/0!</v>
      </c>
      <c r="I185" s="62">
        <v>0</v>
      </c>
      <c r="J185" s="65">
        <v>0</v>
      </c>
      <c r="K185" s="64">
        <v>0</v>
      </c>
      <c r="L185" s="66">
        <f t="shared" si="24"/>
        <v>0</v>
      </c>
      <c r="M185" s="62">
        <v>0</v>
      </c>
      <c r="N185" s="67">
        <v>0</v>
      </c>
      <c r="O185" s="148"/>
      <c r="P185" s="69"/>
      <c r="Q185" s="70"/>
    </row>
    <row r="186" spans="1:17" ht="55.2" x14ac:dyDescent="0.25">
      <c r="A186" s="155" t="s">
        <v>89</v>
      </c>
      <c r="B186" s="24" t="s">
        <v>88</v>
      </c>
      <c r="C186" s="72">
        <f>C187</f>
        <v>0</v>
      </c>
      <c r="D186" s="73">
        <f>D187</f>
        <v>0</v>
      </c>
      <c r="E186" s="82">
        <v>0</v>
      </c>
      <c r="F186" s="72">
        <f>F187</f>
        <v>0</v>
      </c>
      <c r="G186" s="73">
        <f>G187</f>
        <v>0</v>
      </c>
      <c r="H186" s="82"/>
      <c r="I186" s="72">
        <f>I187</f>
        <v>0</v>
      </c>
      <c r="J186" s="73">
        <f>J187</f>
        <v>0</v>
      </c>
      <c r="K186" s="82">
        <v>0</v>
      </c>
      <c r="L186" s="60">
        <f t="shared" si="24"/>
        <v>0</v>
      </c>
      <c r="M186" s="72">
        <f>M187</f>
        <v>0</v>
      </c>
      <c r="N186" s="74">
        <f>N187</f>
        <v>0</v>
      </c>
      <c r="O186" s="148"/>
    </row>
    <row r="187" spans="1:17" ht="13.8" thickBot="1" x14ac:dyDescent="0.3">
      <c r="A187" s="157"/>
      <c r="B187" s="26"/>
      <c r="C187" s="85">
        <v>0</v>
      </c>
      <c r="D187" s="89">
        <v>0</v>
      </c>
      <c r="E187" s="90">
        <v>0</v>
      </c>
      <c r="F187" s="85">
        <v>0</v>
      </c>
      <c r="G187" s="89">
        <v>0</v>
      </c>
      <c r="H187" s="90">
        <v>0</v>
      </c>
      <c r="I187" s="85">
        <v>0</v>
      </c>
      <c r="J187" s="89">
        <v>0</v>
      </c>
      <c r="K187" s="90">
        <v>0</v>
      </c>
      <c r="L187" s="105">
        <v>0</v>
      </c>
      <c r="M187" s="85">
        <v>0</v>
      </c>
      <c r="N187" s="91">
        <v>0</v>
      </c>
      <c r="O187" s="148"/>
    </row>
    <row r="188" spans="1:17" ht="40.200000000000003" thickBot="1" x14ac:dyDescent="0.3">
      <c r="A188" s="153" t="s">
        <v>91</v>
      </c>
      <c r="B188" s="16" t="s">
        <v>90</v>
      </c>
      <c r="C188" s="92">
        <f>C189+C192+C194</f>
        <v>0</v>
      </c>
      <c r="D188" s="93">
        <f>D189+D192+D194</f>
        <v>0</v>
      </c>
      <c r="E188" s="94">
        <v>0</v>
      </c>
      <c r="F188" s="92">
        <f>F189+F192+F194</f>
        <v>0</v>
      </c>
      <c r="G188" s="93">
        <f>G189+G192+G194</f>
        <v>0</v>
      </c>
      <c r="H188" s="94">
        <v>0</v>
      </c>
      <c r="I188" s="92">
        <f>I189+I192+I194</f>
        <v>0</v>
      </c>
      <c r="J188" s="93">
        <f>J189+J192+J194</f>
        <v>0</v>
      </c>
      <c r="K188" s="94" t="e">
        <f>J188/I188</f>
        <v>#DIV/0!</v>
      </c>
      <c r="L188" s="95">
        <f>L189+L192+L194</f>
        <v>0</v>
      </c>
      <c r="M188" s="92">
        <f>M189+M192+M194</f>
        <v>0</v>
      </c>
      <c r="N188" s="96">
        <f>N189+N192</f>
        <v>0</v>
      </c>
      <c r="O188" s="148"/>
    </row>
    <row r="189" spans="1:17" ht="55.2" x14ac:dyDescent="0.25">
      <c r="A189" s="154" t="s">
        <v>93</v>
      </c>
      <c r="B189" s="17" t="s">
        <v>92</v>
      </c>
      <c r="C189" s="57">
        <f>SUM(C190:C191)</f>
        <v>0</v>
      </c>
      <c r="D189" s="58">
        <f>SUM(D190:D191)</f>
        <v>0</v>
      </c>
      <c r="E189" s="59">
        <v>0</v>
      </c>
      <c r="F189" s="57">
        <f>SUM(F190:F191)</f>
        <v>0</v>
      </c>
      <c r="G189" s="58">
        <f>SUM(G190:G191)</f>
        <v>0</v>
      </c>
      <c r="H189" s="59" t="e">
        <f>G189/F189</f>
        <v>#DIV/0!</v>
      </c>
      <c r="I189" s="57">
        <f>SUM(I190:I191)</f>
        <v>0</v>
      </c>
      <c r="J189" s="58">
        <f>SUM(J190:J191)</f>
        <v>0</v>
      </c>
      <c r="K189" s="59">
        <v>0</v>
      </c>
      <c r="L189" s="60">
        <f>D189+G189+J189</f>
        <v>0</v>
      </c>
      <c r="M189" s="57">
        <f>SUM(M190:M190)</f>
        <v>0</v>
      </c>
      <c r="N189" s="61">
        <f>SUM(N190:N190)</f>
        <v>0</v>
      </c>
      <c r="O189" s="148"/>
    </row>
    <row r="190" spans="1:17" x14ac:dyDescent="0.25">
      <c r="A190" s="162" t="s">
        <v>132</v>
      </c>
      <c r="B190" s="19"/>
      <c r="C190" s="62">
        <v>0</v>
      </c>
      <c r="D190" s="65">
        <v>0</v>
      </c>
      <c r="E190" s="64">
        <v>0</v>
      </c>
      <c r="F190" s="62"/>
      <c r="G190" s="65"/>
      <c r="H190" s="64">
        <v>0</v>
      </c>
      <c r="I190" s="62"/>
      <c r="J190" s="63"/>
      <c r="K190" s="64" t="e">
        <f>J190/I190</f>
        <v>#DIV/0!</v>
      </c>
      <c r="L190" s="66">
        <f>D190+G190+J190</f>
        <v>0</v>
      </c>
      <c r="M190" s="62">
        <v>0</v>
      </c>
      <c r="N190" s="67">
        <v>0</v>
      </c>
      <c r="O190" s="148"/>
    </row>
    <row r="191" spans="1:17" ht="26.4" x14ac:dyDescent="0.25">
      <c r="A191" s="162" t="s">
        <v>237</v>
      </c>
      <c r="B191" s="18"/>
      <c r="C191" s="62">
        <v>0</v>
      </c>
      <c r="D191" s="65">
        <v>0</v>
      </c>
      <c r="E191" s="64">
        <v>0</v>
      </c>
      <c r="F191" s="62"/>
      <c r="G191" s="65"/>
      <c r="H191" s="64" t="e">
        <f>G191/F191</f>
        <v>#DIV/0!</v>
      </c>
      <c r="I191" s="62"/>
      <c r="J191" s="63"/>
      <c r="K191" s="64">
        <v>0</v>
      </c>
      <c r="L191" s="66">
        <f>D191+G191+J191</f>
        <v>0</v>
      </c>
      <c r="M191" s="62">
        <v>0</v>
      </c>
      <c r="N191" s="67">
        <v>0</v>
      </c>
      <c r="O191" s="148" t="s">
        <v>363</v>
      </c>
    </row>
    <row r="192" spans="1:17" ht="55.2" x14ac:dyDescent="0.25">
      <c r="A192" s="155" t="s">
        <v>292</v>
      </c>
      <c r="B192" s="23" t="s">
        <v>94</v>
      </c>
      <c r="C192" s="72">
        <f>SUM(C193:C193)</f>
        <v>0</v>
      </c>
      <c r="D192" s="73">
        <f>SUM(D193:D193)</f>
        <v>0</v>
      </c>
      <c r="E192" s="82">
        <v>0</v>
      </c>
      <c r="F192" s="72">
        <f>SUM(F193:F193)</f>
        <v>0</v>
      </c>
      <c r="G192" s="73">
        <f>SUM(G193:G193)</f>
        <v>0</v>
      </c>
      <c r="H192" s="82">
        <v>0</v>
      </c>
      <c r="I192" s="72">
        <f>SUM(I193:I193)</f>
        <v>0</v>
      </c>
      <c r="J192" s="73">
        <f>SUM(J193:J193)</f>
        <v>0</v>
      </c>
      <c r="K192" s="82">
        <v>0</v>
      </c>
      <c r="L192" s="60">
        <f>D192+G192+J192</f>
        <v>0</v>
      </c>
      <c r="M192" s="72">
        <f>SUM(M193:M193)</f>
        <v>0</v>
      </c>
      <c r="N192" s="74">
        <f>SUM(N193:N193)</f>
        <v>0</v>
      </c>
      <c r="O192" s="148"/>
    </row>
    <row r="193" spans="1:17" ht="26.4" x14ac:dyDescent="0.25">
      <c r="A193" s="162" t="s">
        <v>249</v>
      </c>
      <c r="B193" s="18"/>
      <c r="C193" s="62">
        <v>0</v>
      </c>
      <c r="D193" s="65">
        <v>0</v>
      </c>
      <c r="E193" s="64">
        <v>0</v>
      </c>
      <c r="F193" s="62">
        <v>0</v>
      </c>
      <c r="G193" s="65">
        <v>0</v>
      </c>
      <c r="H193" s="64">
        <v>0</v>
      </c>
      <c r="I193" s="62"/>
      <c r="J193" s="63"/>
      <c r="K193" s="64" t="e">
        <f>J193/I193</f>
        <v>#DIV/0!</v>
      </c>
      <c r="L193" s="66">
        <f>D193+G193+J193</f>
        <v>0</v>
      </c>
      <c r="M193" s="62">
        <v>0</v>
      </c>
      <c r="N193" s="67">
        <v>0</v>
      </c>
      <c r="O193" s="148"/>
    </row>
    <row r="194" spans="1:17" ht="41.4" x14ac:dyDescent="0.25">
      <c r="A194" s="155" t="s">
        <v>8</v>
      </c>
      <c r="B194" s="23" t="s">
        <v>233</v>
      </c>
      <c r="C194" s="72">
        <f>SUM(C195:C197)</f>
        <v>0</v>
      </c>
      <c r="D194" s="73">
        <f>SUM(D195:D197)</f>
        <v>0</v>
      </c>
      <c r="E194" s="82">
        <v>0</v>
      </c>
      <c r="F194" s="72">
        <f>SUM(F195:F197)</f>
        <v>0</v>
      </c>
      <c r="G194" s="73">
        <f>SUM(G195:G197)</f>
        <v>0</v>
      </c>
      <c r="H194" s="82">
        <v>0</v>
      </c>
      <c r="I194" s="72">
        <f>SUM(I195:I197)</f>
        <v>0</v>
      </c>
      <c r="J194" s="73">
        <f>SUM(J195:J197)</f>
        <v>0</v>
      </c>
      <c r="K194" s="82">
        <v>1</v>
      </c>
      <c r="L194" s="75">
        <f>SUM(L195:L197)</f>
        <v>0</v>
      </c>
      <c r="M194" s="72">
        <f>SUM(M195:M197)</f>
        <v>0</v>
      </c>
      <c r="N194" s="74">
        <f>SUM(N195:N197)</f>
        <v>0</v>
      </c>
      <c r="O194" s="148"/>
    </row>
    <row r="195" spans="1:17" x14ac:dyDescent="0.25">
      <c r="A195" s="81" t="s">
        <v>135</v>
      </c>
      <c r="B195" s="19"/>
      <c r="C195" s="62">
        <v>0</v>
      </c>
      <c r="D195" s="65">
        <v>0</v>
      </c>
      <c r="E195" s="64">
        <v>0</v>
      </c>
      <c r="F195" s="62">
        <v>0</v>
      </c>
      <c r="G195" s="65">
        <v>0</v>
      </c>
      <c r="H195" s="64">
        <v>0</v>
      </c>
      <c r="I195" s="62">
        <v>0</v>
      </c>
      <c r="J195" s="63">
        <v>0</v>
      </c>
      <c r="K195" s="64" t="e">
        <f>J195/I195</f>
        <v>#DIV/0!</v>
      </c>
      <c r="L195" s="66">
        <f t="shared" ref="L195:L207" si="25">D195+G195+J195</f>
        <v>0</v>
      </c>
      <c r="M195" s="62">
        <v>0</v>
      </c>
      <c r="N195" s="67">
        <v>0</v>
      </c>
      <c r="O195" s="148"/>
      <c r="P195" s="77"/>
    </row>
    <row r="196" spans="1:17" x14ac:dyDescent="0.25">
      <c r="A196" s="101" t="s">
        <v>238</v>
      </c>
      <c r="B196" s="19"/>
      <c r="C196" s="62">
        <v>0</v>
      </c>
      <c r="D196" s="65">
        <v>0</v>
      </c>
      <c r="E196" s="64">
        <v>0</v>
      </c>
      <c r="F196" s="62">
        <v>0</v>
      </c>
      <c r="G196" s="65">
        <v>0</v>
      </c>
      <c r="H196" s="64">
        <v>0</v>
      </c>
      <c r="I196" s="62">
        <v>0</v>
      </c>
      <c r="J196" s="65">
        <v>0</v>
      </c>
      <c r="K196" s="64">
        <v>0</v>
      </c>
      <c r="L196" s="66">
        <f t="shared" si="25"/>
        <v>0</v>
      </c>
      <c r="M196" s="62">
        <v>0</v>
      </c>
      <c r="N196" s="67">
        <v>0</v>
      </c>
      <c r="O196" s="148"/>
    </row>
    <row r="197" spans="1:17" ht="13.8" thickBot="1" x14ac:dyDescent="0.3">
      <c r="A197" s="124" t="s">
        <v>239</v>
      </c>
      <c r="B197" s="26"/>
      <c r="C197" s="85">
        <v>0</v>
      </c>
      <c r="D197" s="89">
        <v>0</v>
      </c>
      <c r="E197" s="90">
        <v>0</v>
      </c>
      <c r="F197" s="85">
        <v>0</v>
      </c>
      <c r="G197" s="89">
        <v>0</v>
      </c>
      <c r="H197" s="90">
        <v>0</v>
      </c>
      <c r="I197" s="85">
        <v>0</v>
      </c>
      <c r="J197" s="89">
        <v>0</v>
      </c>
      <c r="K197" s="90">
        <v>0</v>
      </c>
      <c r="L197" s="105">
        <f t="shared" si="25"/>
        <v>0</v>
      </c>
      <c r="M197" s="85">
        <v>0</v>
      </c>
      <c r="N197" s="91">
        <v>0</v>
      </c>
      <c r="O197" s="148"/>
    </row>
    <row r="198" spans="1:17" ht="40.200000000000003" thickBot="1" x14ac:dyDescent="0.3">
      <c r="A198" s="153" t="s">
        <v>96</v>
      </c>
      <c r="B198" s="20" t="s">
        <v>95</v>
      </c>
      <c r="C198" s="92">
        <f>C199+C201</f>
        <v>0</v>
      </c>
      <c r="D198" s="93">
        <f>D199+D201</f>
        <v>0</v>
      </c>
      <c r="E198" s="94">
        <v>0</v>
      </c>
      <c r="F198" s="92">
        <f>F199+F201</f>
        <v>0</v>
      </c>
      <c r="G198" s="93">
        <f>G199+G201</f>
        <v>0</v>
      </c>
      <c r="H198" s="94">
        <v>0</v>
      </c>
      <c r="I198" s="92">
        <f>I199+I201</f>
        <v>0</v>
      </c>
      <c r="J198" s="93">
        <f>J199+J201</f>
        <v>0</v>
      </c>
      <c r="K198" s="94">
        <v>0</v>
      </c>
      <c r="L198" s="95">
        <f t="shared" si="25"/>
        <v>0</v>
      </c>
      <c r="M198" s="92">
        <f>M199+M201</f>
        <v>0</v>
      </c>
      <c r="N198" s="96">
        <f>N199+N201</f>
        <v>0</v>
      </c>
      <c r="O198" s="146"/>
    </row>
    <row r="199" spans="1:17" ht="41.4" x14ac:dyDescent="0.25">
      <c r="A199" s="163" t="s">
        <v>98</v>
      </c>
      <c r="B199" s="17" t="s">
        <v>97</v>
      </c>
      <c r="C199" s="57">
        <f>SUM(C200:C200)</f>
        <v>0</v>
      </c>
      <c r="D199" s="58">
        <f>SUM(D200:D200)</f>
        <v>0</v>
      </c>
      <c r="E199" s="59">
        <v>0</v>
      </c>
      <c r="F199" s="57">
        <f>SUM(F200:F200)</f>
        <v>0</v>
      </c>
      <c r="G199" s="58">
        <f>SUM(G200:G200)</f>
        <v>0</v>
      </c>
      <c r="H199" s="59">
        <v>0</v>
      </c>
      <c r="I199" s="57">
        <f>SUM(I200:I200)</f>
        <v>0</v>
      </c>
      <c r="J199" s="58">
        <f>SUM(J200:J200)</f>
        <v>0</v>
      </c>
      <c r="K199" s="59">
        <v>0</v>
      </c>
      <c r="L199" s="60">
        <f t="shared" si="25"/>
        <v>0</v>
      </c>
      <c r="M199" s="57">
        <f>SUM(M200:M200)</f>
        <v>0</v>
      </c>
      <c r="N199" s="61">
        <f>SUM(N200:N200)</f>
        <v>0</v>
      </c>
      <c r="O199" s="148"/>
    </row>
    <row r="200" spans="1:17" x14ac:dyDescent="0.25">
      <c r="A200" s="164"/>
      <c r="B200" s="19"/>
      <c r="C200" s="62">
        <v>0</v>
      </c>
      <c r="D200" s="65">
        <v>0</v>
      </c>
      <c r="E200" s="64">
        <v>0</v>
      </c>
      <c r="F200" s="62">
        <v>0</v>
      </c>
      <c r="G200" s="65">
        <v>0</v>
      </c>
      <c r="H200" s="64">
        <v>0</v>
      </c>
      <c r="I200" s="62">
        <v>0</v>
      </c>
      <c r="J200" s="65">
        <v>0</v>
      </c>
      <c r="K200" s="64">
        <v>0</v>
      </c>
      <c r="L200" s="66">
        <f t="shared" si="25"/>
        <v>0</v>
      </c>
      <c r="M200" s="62">
        <v>0</v>
      </c>
      <c r="N200" s="67">
        <v>0</v>
      </c>
      <c r="O200" s="148"/>
    </row>
    <row r="201" spans="1:17" ht="41.4" x14ac:dyDescent="0.25">
      <c r="A201" s="155" t="s">
        <v>100</v>
      </c>
      <c r="B201" s="23" t="s">
        <v>99</v>
      </c>
      <c r="C201" s="72">
        <f>C202</f>
        <v>0</v>
      </c>
      <c r="D201" s="73">
        <f>D202</f>
        <v>0</v>
      </c>
      <c r="E201" s="82">
        <v>0</v>
      </c>
      <c r="F201" s="72">
        <f>SUM(F203:F203)</f>
        <v>0</v>
      </c>
      <c r="G201" s="73">
        <v>0</v>
      </c>
      <c r="H201" s="82">
        <v>0</v>
      </c>
      <c r="I201" s="72">
        <v>0</v>
      </c>
      <c r="J201" s="73">
        <f>J202</f>
        <v>0</v>
      </c>
      <c r="K201" s="82">
        <v>0</v>
      </c>
      <c r="L201" s="60">
        <f t="shared" si="25"/>
        <v>0</v>
      </c>
      <c r="M201" s="72">
        <f>SUM(M203:M203)</f>
        <v>0</v>
      </c>
      <c r="N201" s="74">
        <f>SUM(N203:N203)</f>
        <v>0</v>
      </c>
      <c r="O201" s="148"/>
    </row>
    <row r="202" spans="1:17" ht="27" thickBot="1" x14ac:dyDescent="0.3">
      <c r="A202" s="125" t="s">
        <v>240</v>
      </c>
      <c r="B202" s="19"/>
      <c r="C202" s="62">
        <v>0</v>
      </c>
      <c r="D202" s="65">
        <v>0</v>
      </c>
      <c r="E202" s="64">
        <v>0</v>
      </c>
      <c r="F202" s="62">
        <v>0</v>
      </c>
      <c r="G202" s="65">
        <v>0</v>
      </c>
      <c r="H202" s="64">
        <v>0</v>
      </c>
      <c r="I202" s="62">
        <v>0</v>
      </c>
      <c r="J202" s="65">
        <v>0</v>
      </c>
      <c r="K202" s="64">
        <v>0</v>
      </c>
      <c r="L202" s="66">
        <f t="shared" si="25"/>
        <v>0</v>
      </c>
      <c r="M202" s="62">
        <v>0</v>
      </c>
      <c r="N202" s="67">
        <v>0</v>
      </c>
      <c r="O202" s="148"/>
    </row>
    <row r="203" spans="1:17" s="71" customFormat="1" ht="40.200000000000003" thickBot="1" x14ac:dyDescent="0.3">
      <c r="A203" s="153" t="s">
        <v>190</v>
      </c>
      <c r="B203" s="16" t="s">
        <v>187</v>
      </c>
      <c r="C203" s="92">
        <f>C204+C206+C208+C210</f>
        <v>0</v>
      </c>
      <c r="D203" s="93">
        <f>D204+D206+D208+D210</f>
        <v>0</v>
      </c>
      <c r="E203" s="94">
        <v>1</v>
      </c>
      <c r="F203" s="92">
        <f>F204+F206+F208+F210</f>
        <v>0</v>
      </c>
      <c r="G203" s="93">
        <f>G204+G206+G208+G210</f>
        <v>0</v>
      </c>
      <c r="H203" s="94">
        <v>0</v>
      </c>
      <c r="I203" s="92">
        <f>I204+I206+I208+I210</f>
        <v>0</v>
      </c>
      <c r="J203" s="93">
        <f>J204+J206+J208+J210</f>
        <v>0</v>
      </c>
      <c r="K203" s="94">
        <v>0</v>
      </c>
      <c r="L203" s="95">
        <f t="shared" si="25"/>
        <v>0</v>
      </c>
      <c r="M203" s="92">
        <f>M204+M206+M208+M210</f>
        <v>0</v>
      </c>
      <c r="N203" s="96">
        <f>N204+N206+N208+N210</f>
        <v>0</v>
      </c>
      <c r="O203" s="148"/>
      <c r="P203" s="69"/>
      <c r="Q203" s="70"/>
    </row>
    <row r="204" spans="1:17" ht="41.4" x14ac:dyDescent="0.25">
      <c r="A204" s="163" t="s">
        <v>191</v>
      </c>
      <c r="B204" s="17" t="s">
        <v>188</v>
      </c>
      <c r="C204" s="57">
        <f>SUM(C205:C205)</f>
        <v>0</v>
      </c>
      <c r="D204" s="58">
        <f>SUM(D205:D205)</f>
        <v>0</v>
      </c>
      <c r="E204" s="59">
        <v>0</v>
      </c>
      <c r="F204" s="57">
        <f>SUM(F205:F205)</f>
        <v>0</v>
      </c>
      <c r="G204" s="58">
        <f>SUM(G205:G205)</f>
        <v>0</v>
      </c>
      <c r="H204" s="59">
        <v>0</v>
      </c>
      <c r="I204" s="57">
        <f>SUM(I205:I205)</f>
        <v>0</v>
      </c>
      <c r="J204" s="58">
        <f>SUM(J205:J205)</f>
        <v>0</v>
      </c>
      <c r="K204" s="59">
        <v>0</v>
      </c>
      <c r="L204" s="60">
        <f t="shared" si="25"/>
        <v>0</v>
      </c>
      <c r="M204" s="57">
        <f>SUM(M205:M205)</f>
        <v>0</v>
      </c>
      <c r="N204" s="61">
        <f>SUM(N205:N205)</f>
        <v>0</v>
      </c>
      <c r="O204" s="148"/>
    </row>
    <row r="205" spans="1:17" x14ac:dyDescent="0.25">
      <c r="A205" s="164" t="s">
        <v>193</v>
      </c>
      <c r="B205" s="19"/>
      <c r="C205" s="62">
        <v>0</v>
      </c>
      <c r="D205" s="65">
        <v>0</v>
      </c>
      <c r="E205" s="64">
        <v>0</v>
      </c>
      <c r="F205" s="62">
        <v>0</v>
      </c>
      <c r="G205" s="65">
        <v>0</v>
      </c>
      <c r="H205" s="64">
        <v>0</v>
      </c>
      <c r="I205" s="62"/>
      <c r="J205" s="63"/>
      <c r="K205" s="64" t="e">
        <f>J205/I205</f>
        <v>#DIV/0!</v>
      </c>
      <c r="L205" s="66">
        <f t="shared" si="25"/>
        <v>0</v>
      </c>
      <c r="M205" s="62">
        <v>0</v>
      </c>
      <c r="N205" s="67">
        <v>0</v>
      </c>
      <c r="O205" s="149"/>
    </row>
    <row r="206" spans="1:17" ht="69" x14ac:dyDescent="0.25">
      <c r="A206" s="155" t="s">
        <v>192</v>
      </c>
      <c r="B206" s="23" t="s">
        <v>189</v>
      </c>
      <c r="C206" s="72">
        <f>SUM(C207:C207)</f>
        <v>0</v>
      </c>
      <c r="D206" s="73">
        <f>SUM(D207:D207)</f>
        <v>0</v>
      </c>
      <c r="E206" s="82">
        <v>0</v>
      </c>
      <c r="F206" s="72">
        <f>SUM(F207:F207)</f>
        <v>0</v>
      </c>
      <c r="G206" s="73">
        <f>SUM(G207:G207)</f>
        <v>0</v>
      </c>
      <c r="H206" s="82">
        <v>0</v>
      </c>
      <c r="I206" s="72">
        <f>SUM(I207:I207)</f>
        <v>0</v>
      </c>
      <c r="J206" s="73">
        <f>SUM(J207:J207)</f>
        <v>0</v>
      </c>
      <c r="K206" s="82">
        <v>0</v>
      </c>
      <c r="L206" s="60">
        <f t="shared" si="25"/>
        <v>0</v>
      </c>
      <c r="M206" s="72">
        <f>SUM(M207:M207)</f>
        <v>0</v>
      </c>
      <c r="N206" s="74">
        <f>SUM(N207:N207)</f>
        <v>0</v>
      </c>
      <c r="O206" s="148"/>
    </row>
    <row r="207" spans="1:17" x14ac:dyDescent="0.25">
      <c r="A207" s="165" t="s">
        <v>194</v>
      </c>
      <c r="B207" s="43"/>
      <c r="C207" s="126">
        <v>0</v>
      </c>
      <c r="D207" s="127">
        <v>0</v>
      </c>
      <c r="E207" s="128">
        <v>0</v>
      </c>
      <c r="F207" s="126">
        <v>0</v>
      </c>
      <c r="G207" s="127">
        <v>0</v>
      </c>
      <c r="H207" s="128">
        <v>0</v>
      </c>
      <c r="I207" s="126">
        <v>0</v>
      </c>
      <c r="J207" s="127">
        <v>0</v>
      </c>
      <c r="K207" s="128">
        <v>0</v>
      </c>
      <c r="L207" s="66">
        <f t="shared" si="25"/>
        <v>0</v>
      </c>
      <c r="M207" s="126">
        <v>0</v>
      </c>
      <c r="N207" s="129">
        <v>0</v>
      </c>
      <c r="O207" s="150"/>
    </row>
    <row r="208" spans="1:17" ht="41.4" x14ac:dyDescent="0.3">
      <c r="A208" s="102" t="s">
        <v>248</v>
      </c>
      <c r="B208" s="23" t="s">
        <v>244</v>
      </c>
      <c r="C208" s="72">
        <f>C209</f>
        <v>0</v>
      </c>
      <c r="D208" s="73">
        <f>D209</f>
        <v>0</v>
      </c>
      <c r="E208" s="82">
        <v>1</v>
      </c>
      <c r="F208" s="72">
        <f>F209</f>
        <v>0</v>
      </c>
      <c r="G208" s="73">
        <f>G209</f>
        <v>0</v>
      </c>
      <c r="H208" s="82">
        <v>0</v>
      </c>
      <c r="I208" s="72">
        <f>I209</f>
        <v>0</v>
      </c>
      <c r="J208" s="73">
        <f>J209</f>
        <v>0</v>
      </c>
      <c r="K208" s="82">
        <v>0</v>
      </c>
      <c r="L208" s="75">
        <f>L209</f>
        <v>0</v>
      </c>
      <c r="M208" s="72">
        <f>M209</f>
        <v>0</v>
      </c>
      <c r="N208" s="74">
        <f>N209</f>
        <v>0</v>
      </c>
      <c r="O208" s="148"/>
    </row>
    <row r="209" spans="1:17" ht="26.4" x14ac:dyDescent="0.25">
      <c r="A209" s="130" t="s">
        <v>297</v>
      </c>
      <c r="B209" s="19"/>
      <c r="C209" s="62">
        <v>0</v>
      </c>
      <c r="D209" s="65">
        <v>0</v>
      </c>
      <c r="E209" s="64">
        <v>1</v>
      </c>
      <c r="F209" s="62">
        <v>0</v>
      </c>
      <c r="G209" s="65">
        <v>0</v>
      </c>
      <c r="H209" s="64">
        <v>0</v>
      </c>
      <c r="I209" s="62">
        <v>0</v>
      </c>
      <c r="J209" s="65">
        <v>0</v>
      </c>
      <c r="K209" s="64">
        <v>0</v>
      </c>
      <c r="L209" s="66">
        <f>D209+G209+J209</f>
        <v>0</v>
      </c>
      <c r="M209" s="62">
        <v>0</v>
      </c>
      <c r="N209" s="67">
        <v>0</v>
      </c>
      <c r="O209" s="148"/>
      <c r="P209" s="77"/>
    </row>
    <row r="210" spans="1:17" ht="41.4" x14ac:dyDescent="0.3">
      <c r="A210" s="102" t="s">
        <v>241</v>
      </c>
      <c r="B210" s="23" t="s">
        <v>243</v>
      </c>
      <c r="C210" s="72">
        <f>C211</f>
        <v>0</v>
      </c>
      <c r="D210" s="73">
        <f>D211</f>
        <v>0</v>
      </c>
      <c r="E210" s="82">
        <v>0</v>
      </c>
      <c r="F210" s="72">
        <f>F211</f>
        <v>0</v>
      </c>
      <c r="G210" s="73">
        <f>G211</f>
        <v>0</v>
      </c>
      <c r="H210" s="82">
        <v>0</v>
      </c>
      <c r="I210" s="72">
        <f>I211</f>
        <v>0</v>
      </c>
      <c r="J210" s="73">
        <f>J211</f>
        <v>0</v>
      </c>
      <c r="K210" s="82" t="e">
        <f>J210/I210</f>
        <v>#DIV/0!</v>
      </c>
      <c r="L210" s="75">
        <f>L211</f>
        <v>0</v>
      </c>
      <c r="M210" s="72">
        <f>M211</f>
        <v>0</v>
      </c>
      <c r="N210" s="74">
        <f>N211</f>
        <v>0</v>
      </c>
      <c r="O210" s="150"/>
    </row>
    <row r="211" spans="1:17" ht="40.200000000000003" thickBot="1" x14ac:dyDescent="0.3">
      <c r="A211" s="131" t="s">
        <v>242</v>
      </c>
      <c r="B211" s="41"/>
      <c r="C211" s="126">
        <v>0</v>
      </c>
      <c r="D211" s="127">
        <v>0</v>
      </c>
      <c r="E211" s="128">
        <v>0</v>
      </c>
      <c r="F211" s="126">
        <v>0</v>
      </c>
      <c r="G211" s="127">
        <v>0</v>
      </c>
      <c r="H211" s="128">
        <v>0</v>
      </c>
      <c r="I211" s="126"/>
      <c r="J211" s="127"/>
      <c r="K211" s="128" t="e">
        <f>J211/I211</f>
        <v>#DIV/0!</v>
      </c>
      <c r="L211" s="66">
        <f>D211+G211+J211</f>
        <v>0</v>
      </c>
      <c r="M211" s="126">
        <v>0</v>
      </c>
      <c r="N211" s="129">
        <v>0</v>
      </c>
      <c r="O211" s="150"/>
    </row>
    <row r="212" spans="1:17" ht="27" thickBot="1" x14ac:dyDescent="0.3">
      <c r="A212" s="132" t="s">
        <v>217</v>
      </c>
      <c r="B212" s="16" t="s">
        <v>222</v>
      </c>
      <c r="C212" s="92">
        <f>C213+C223</f>
        <v>0</v>
      </c>
      <c r="D212" s="93">
        <f>D213+D223</f>
        <v>0</v>
      </c>
      <c r="E212" s="94">
        <v>0</v>
      </c>
      <c r="F212" s="92">
        <f>F213+F223</f>
        <v>0</v>
      </c>
      <c r="G212" s="93">
        <f>G213+G223</f>
        <v>0</v>
      </c>
      <c r="H212" s="94" t="e">
        <f>G212/F212</f>
        <v>#DIV/0!</v>
      </c>
      <c r="I212" s="92">
        <f>I213+I223</f>
        <v>0</v>
      </c>
      <c r="J212" s="93">
        <f>J213+J223</f>
        <v>0</v>
      </c>
      <c r="K212" s="94">
        <v>1</v>
      </c>
      <c r="L212" s="95">
        <f>L213+L223</f>
        <v>0</v>
      </c>
      <c r="M212" s="92">
        <f>M213+M223</f>
        <v>0</v>
      </c>
      <c r="N212" s="96">
        <f>N213+N223</f>
        <v>0</v>
      </c>
      <c r="O212" s="148"/>
    </row>
    <row r="213" spans="1:17" ht="41.4" x14ac:dyDescent="0.3">
      <c r="A213" s="133" t="s">
        <v>250</v>
      </c>
      <c r="B213" s="17" t="s">
        <v>223</v>
      </c>
      <c r="C213" s="57">
        <f>SUM(C214:C221)</f>
        <v>0</v>
      </c>
      <c r="D213" s="58">
        <f>SUM(D214:D222)</f>
        <v>0</v>
      </c>
      <c r="E213" s="59">
        <v>0</v>
      </c>
      <c r="F213" s="57">
        <f>SUM(F214:F221)</f>
        <v>0</v>
      </c>
      <c r="G213" s="58">
        <f>SUM(G214:G221)</f>
        <v>0</v>
      </c>
      <c r="H213" s="59" t="e">
        <f>G213/F213</f>
        <v>#DIV/0!</v>
      </c>
      <c r="I213" s="57">
        <f>SUM(I214:I221)</f>
        <v>0</v>
      </c>
      <c r="J213" s="58">
        <f>SUM(J214:J222)</f>
        <v>0</v>
      </c>
      <c r="K213" s="59">
        <v>1</v>
      </c>
      <c r="L213" s="60">
        <f>SUM(L214:L222)</f>
        <v>0</v>
      </c>
      <c r="M213" s="57">
        <f>SUM(M214:M221)</f>
        <v>0</v>
      </c>
      <c r="N213" s="61">
        <f>SUM(N214:N221)</f>
        <v>0</v>
      </c>
      <c r="O213" s="148"/>
    </row>
    <row r="214" spans="1:17" x14ac:dyDescent="0.25">
      <c r="A214" s="130" t="s">
        <v>218</v>
      </c>
      <c r="B214" s="18"/>
      <c r="C214" s="62">
        <v>0</v>
      </c>
      <c r="D214" s="63">
        <v>0</v>
      </c>
      <c r="E214" s="83">
        <v>0</v>
      </c>
      <c r="F214" s="68"/>
      <c r="G214" s="65"/>
      <c r="H214" s="84" t="e">
        <f>G214/F214</f>
        <v>#DIV/0!</v>
      </c>
      <c r="I214" s="62"/>
      <c r="J214" s="63"/>
      <c r="K214" s="83">
        <v>0</v>
      </c>
      <c r="L214" s="88">
        <f t="shared" ref="L214:L222" si="26">D214+G214+J214</f>
        <v>0</v>
      </c>
      <c r="M214" s="62">
        <v>0</v>
      </c>
      <c r="N214" s="67">
        <v>0</v>
      </c>
      <c r="O214" s="148" t="s">
        <v>328</v>
      </c>
    </row>
    <row r="215" spans="1:17" x14ac:dyDescent="0.25">
      <c r="A215" s="134" t="s">
        <v>254</v>
      </c>
      <c r="B215" s="19"/>
      <c r="C215" s="62">
        <v>0</v>
      </c>
      <c r="D215" s="63">
        <v>0</v>
      </c>
      <c r="E215" s="83">
        <v>0</v>
      </c>
      <c r="F215" s="68"/>
      <c r="G215" s="65"/>
      <c r="H215" s="84">
        <v>0</v>
      </c>
      <c r="I215" s="62"/>
      <c r="J215" s="63"/>
      <c r="K215" s="83">
        <v>0</v>
      </c>
      <c r="L215" s="88">
        <f t="shared" si="26"/>
        <v>0</v>
      </c>
      <c r="M215" s="62">
        <v>0</v>
      </c>
      <c r="N215" s="67">
        <v>0</v>
      </c>
      <c r="O215" s="148" t="s">
        <v>308</v>
      </c>
    </row>
    <row r="216" spans="1:17" x14ac:dyDescent="0.25">
      <c r="A216" s="134" t="s">
        <v>253</v>
      </c>
      <c r="B216" s="18"/>
      <c r="C216" s="62">
        <v>0</v>
      </c>
      <c r="D216" s="63">
        <v>0</v>
      </c>
      <c r="E216" s="83">
        <v>0</v>
      </c>
      <c r="F216" s="68"/>
      <c r="G216" s="65"/>
      <c r="H216" s="84">
        <v>0</v>
      </c>
      <c r="I216" s="62"/>
      <c r="J216" s="63"/>
      <c r="K216" s="83" t="e">
        <f>J216/I216</f>
        <v>#DIV/0!</v>
      </c>
      <c r="L216" s="88">
        <f t="shared" si="26"/>
        <v>0</v>
      </c>
      <c r="M216" s="62">
        <v>0</v>
      </c>
      <c r="N216" s="67">
        <v>0</v>
      </c>
      <c r="O216" s="148"/>
    </row>
    <row r="217" spans="1:17" x14ac:dyDescent="0.25">
      <c r="A217" s="108" t="s">
        <v>293</v>
      </c>
      <c r="B217" s="19"/>
      <c r="C217" s="62">
        <v>0</v>
      </c>
      <c r="D217" s="63">
        <v>0</v>
      </c>
      <c r="E217" s="83">
        <v>0</v>
      </c>
      <c r="F217" s="68"/>
      <c r="G217" s="65"/>
      <c r="H217" s="84">
        <v>0</v>
      </c>
      <c r="I217" s="62"/>
      <c r="J217" s="63"/>
      <c r="K217" s="83" t="e">
        <f>J217/I217</f>
        <v>#DIV/0!</v>
      </c>
      <c r="L217" s="88">
        <f t="shared" si="26"/>
        <v>0</v>
      </c>
      <c r="M217" s="62">
        <v>0</v>
      </c>
      <c r="N217" s="67">
        <v>0</v>
      </c>
      <c r="O217" s="148"/>
    </row>
    <row r="218" spans="1:17" x14ac:dyDescent="0.25">
      <c r="A218" s="108" t="s">
        <v>315</v>
      </c>
      <c r="B218" s="19"/>
      <c r="C218" s="62">
        <v>0</v>
      </c>
      <c r="D218" s="63">
        <v>0</v>
      </c>
      <c r="E218" s="83">
        <v>0</v>
      </c>
      <c r="F218" s="68"/>
      <c r="G218" s="65"/>
      <c r="H218" s="84">
        <v>0</v>
      </c>
      <c r="I218" s="62"/>
      <c r="J218" s="63"/>
      <c r="K218" s="83">
        <v>0</v>
      </c>
      <c r="L218" s="88">
        <f t="shared" si="26"/>
        <v>0</v>
      </c>
      <c r="M218" s="62">
        <v>0</v>
      </c>
      <c r="N218" s="67">
        <v>0</v>
      </c>
      <c r="O218" s="148"/>
    </row>
    <row r="219" spans="1:17" x14ac:dyDescent="0.25">
      <c r="A219" s="108" t="s">
        <v>219</v>
      </c>
      <c r="B219" s="18"/>
      <c r="C219" s="62">
        <v>0</v>
      </c>
      <c r="D219" s="63">
        <v>0</v>
      </c>
      <c r="E219" s="83">
        <v>0</v>
      </c>
      <c r="F219" s="68"/>
      <c r="G219" s="65"/>
      <c r="H219" s="84" t="e">
        <f>G219/F219</f>
        <v>#DIV/0!</v>
      </c>
      <c r="I219" s="62"/>
      <c r="J219" s="63"/>
      <c r="K219" s="83" t="e">
        <f>J219/I219</f>
        <v>#DIV/0!</v>
      </c>
      <c r="L219" s="88">
        <f t="shared" si="26"/>
        <v>0</v>
      </c>
      <c r="M219" s="62">
        <v>0</v>
      </c>
      <c r="N219" s="67">
        <v>0</v>
      </c>
      <c r="O219" s="148" t="s">
        <v>327</v>
      </c>
    </row>
    <row r="220" spans="1:17" ht="26.4" x14ac:dyDescent="0.25">
      <c r="A220" s="108" t="s">
        <v>261</v>
      </c>
      <c r="B220" s="18"/>
      <c r="C220" s="62">
        <v>0</v>
      </c>
      <c r="D220" s="63">
        <v>0</v>
      </c>
      <c r="E220" s="83">
        <v>0</v>
      </c>
      <c r="F220" s="68"/>
      <c r="G220" s="65"/>
      <c r="H220" s="84" t="e">
        <f>G220/F220</f>
        <v>#DIV/0!</v>
      </c>
      <c r="I220" s="62"/>
      <c r="J220" s="63"/>
      <c r="K220" s="83">
        <v>0</v>
      </c>
      <c r="L220" s="88">
        <f t="shared" si="26"/>
        <v>0</v>
      </c>
      <c r="M220" s="62">
        <v>0</v>
      </c>
      <c r="N220" s="67">
        <v>0</v>
      </c>
      <c r="O220" s="148" t="s">
        <v>327</v>
      </c>
    </row>
    <row r="221" spans="1:17" x14ac:dyDescent="0.25">
      <c r="A221" s="130" t="s">
        <v>336</v>
      </c>
      <c r="B221" s="19"/>
      <c r="C221" s="62">
        <v>0</v>
      </c>
      <c r="D221" s="63">
        <v>0</v>
      </c>
      <c r="E221" s="83">
        <v>1</v>
      </c>
      <c r="F221" s="68"/>
      <c r="G221" s="65"/>
      <c r="H221" s="84">
        <v>0</v>
      </c>
      <c r="I221" s="62"/>
      <c r="J221" s="63"/>
      <c r="K221" s="83">
        <v>1</v>
      </c>
      <c r="L221" s="88">
        <f t="shared" si="26"/>
        <v>0</v>
      </c>
      <c r="M221" s="62">
        <v>0</v>
      </c>
      <c r="N221" s="67">
        <v>0</v>
      </c>
      <c r="O221" s="148"/>
    </row>
    <row r="222" spans="1:17" x14ac:dyDescent="0.25">
      <c r="A222" s="130" t="s">
        <v>303</v>
      </c>
      <c r="B222" s="18"/>
      <c r="C222" s="62"/>
      <c r="D222" s="63">
        <v>0</v>
      </c>
      <c r="E222" s="83">
        <v>0</v>
      </c>
      <c r="F222" s="109"/>
      <c r="G222" s="111"/>
      <c r="H222" s="138">
        <v>0</v>
      </c>
      <c r="I222" s="62"/>
      <c r="J222" s="63"/>
      <c r="K222" s="83" t="e">
        <f>J222/I222</f>
        <v>#DIV/0!</v>
      </c>
      <c r="L222" s="88">
        <f t="shared" si="26"/>
        <v>0</v>
      </c>
      <c r="M222" s="62">
        <v>0</v>
      </c>
      <c r="N222" s="67">
        <v>0</v>
      </c>
      <c r="O222" s="148"/>
    </row>
    <row r="223" spans="1:17" ht="41.4" x14ac:dyDescent="0.3">
      <c r="A223" s="102" t="s">
        <v>220</v>
      </c>
      <c r="B223" s="23" t="s">
        <v>252</v>
      </c>
      <c r="C223" s="72">
        <f>C224</f>
        <v>0</v>
      </c>
      <c r="D223" s="73">
        <f>D224</f>
        <v>0</v>
      </c>
      <c r="E223" s="82">
        <v>0</v>
      </c>
      <c r="F223" s="72">
        <f>F224</f>
        <v>0</v>
      </c>
      <c r="G223" s="73">
        <f>G224</f>
        <v>0</v>
      </c>
      <c r="H223" s="82" t="e">
        <f>G223/F223</f>
        <v>#DIV/0!</v>
      </c>
      <c r="I223" s="72">
        <f>I224</f>
        <v>0</v>
      </c>
      <c r="J223" s="73">
        <f>J224</f>
        <v>0</v>
      </c>
      <c r="K223" s="82" t="e">
        <f>J223/I223</f>
        <v>#DIV/0!</v>
      </c>
      <c r="L223" s="75">
        <f>L224</f>
        <v>0</v>
      </c>
      <c r="M223" s="72">
        <f>M224</f>
        <v>0</v>
      </c>
      <c r="N223" s="74">
        <f>N224</f>
        <v>0</v>
      </c>
      <c r="O223" s="148"/>
    </row>
    <row r="224" spans="1:17" s="71" customFormat="1" ht="27" thickBot="1" x14ac:dyDescent="0.3">
      <c r="A224" s="130" t="s">
        <v>221</v>
      </c>
      <c r="B224" s="18"/>
      <c r="C224" s="62">
        <v>0</v>
      </c>
      <c r="D224" s="65">
        <v>0</v>
      </c>
      <c r="E224" s="64">
        <v>0</v>
      </c>
      <c r="F224" s="62"/>
      <c r="G224" s="65"/>
      <c r="H224" s="64" t="e">
        <f>G224/F224</f>
        <v>#DIV/0!</v>
      </c>
      <c r="I224" s="62"/>
      <c r="J224" s="63"/>
      <c r="K224" s="64" t="e">
        <f>J224/I224</f>
        <v>#DIV/0!</v>
      </c>
      <c r="L224" s="66">
        <f>D224+G224+J224</f>
        <v>0</v>
      </c>
      <c r="M224" s="62">
        <v>0</v>
      </c>
      <c r="N224" s="67">
        <v>0</v>
      </c>
      <c r="O224" s="148" t="s">
        <v>327</v>
      </c>
      <c r="P224" s="76"/>
      <c r="Q224" s="70"/>
    </row>
    <row r="225" spans="1:17" ht="26.4" customHeight="1" thickBot="1" x14ac:dyDescent="0.3">
      <c r="A225" s="166" t="s">
        <v>112</v>
      </c>
      <c r="B225" s="44"/>
      <c r="C225" s="199">
        <f>C198+C188+C183+C166+C151+C146+C139+C114+C108+C103+C90+C73+C31+C5+C203+C212</f>
        <v>0</v>
      </c>
      <c r="D225" s="200">
        <f>D198+D188+D183+D166+D151+D146+D139+D114+D108+D103+D90+D73+D31+D5+D203+D212</f>
        <v>0</v>
      </c>
      <c r="E225" s="201" t="e">
        <f>D225/C225</f>
        <v>#DIV/0!</v>
      </c>
      <c r="F225" s="199">
        <f>F198+F188+F183+F166+F151+F146+F139+F114+F108+F103+F90+F73+F31+F5+F203+F212</f>
        <v>0</v>
      </c>
      <c r="G225" s="200">
        <f>G198+G188+G183+G166+G151+G146+G139+G114+G108+G103+G90+G73+G31+G5+G203+G212</f>
        <v>0</v>
      </c>
      <c r="H225" s="201" t="e">
        <f>G225/F225</f>
        <v>#DIV/0!</v>
      </c>
      <c r="I225" s="199">
        <f>I198+I188+I183+I166+I151+I146+I139+I114+I108+I103+I90+I73+I31+I5+I203+I212</f>
        <v>0</v>
      </c>
      <c r="J225" s="200">
        <f>J198+J188+J183+J166+J151+J146+J139+J114+J108+J103+J90+J73+J31+J5+J203+J212</f>
        <v>0</v>
      </c>
      <c r="K225" s="201" t="e">
        <f>J225/I225</f>
        <v>#DIV/0!</v>
      </c>
      <c r="L225" s="202">
        <f>L198+L188+L183+L166+L151+L146+L139+L114+L108+L103+L90+L73+L31+L5+L203+L212</f>
        <v>0</v>
      </c>
      <c r="M225" s="199">
        <f>M198+M188+M183+M166+M151+M146+M139+M114+M108+M103+M90+M73+M31+M5+M203+M212</f>
        <v>0</v>
      </c>
      <c r="N225" s="203">
        <f>N198+N188+N183+N166+N151+N146+N139+N114+N108+N103+N90+N73+N31+N5+N203+N212</f>
        <v>0</v>
      </c>
      <c r="O225" s="146"/>
      <c r="P225" s="77"/>
    </row>
    <row r="226" spans="1:17" ht="23.4" customHeight="1" thickBot="1" x14ac:dyDescent="0.3">
      <c r="A226" s="167" t="s">
        <v>102</v>
      </c>
      <c r="B226" s="44" t="s">
        <v>101</v>
      </c>
      <c r="C226" s="199">
        <f>SUM(C227:C234)</f>
        <v>0</v>
      </c>
      <c r="D226" s="199">
        <f>SUM(D227:D234)</f>
        <v>0</v>
      </c>
      <c r="E226" s="201">
        <v>0</v>
      </c>
      <c r="F226" s="199">
        <f>SUM(F227:F234)</f>
        <v>0</v>
      </c>
      <c r="G226" s="199">
        <f>SUM(G227:G234)</f>
        <v>0</v>
      </c>
      <c r="H226" s="201" t="e">
        <f>G226/F226</f>
        <v>#DIV/0!</v>
      </c>
      <c r="I226" s="199">
        <f>SUM(I227:I234)</f>
        <v>0</v>
      </c>
      <c r="J226" s="199">
        <f>SUM(J227:J234)</f>
        <v>0</v>
      </c>
      <c r="K226" s="201">
        <v>0</v>
      </c>
      <c r="L226" s="199">
        <f>SUM(L227:L234)</f>
        <v>0</v>
      </c>
      <c r="M226" s="199">
        <f>SUM(M227:M234)</f>
        <v>0</v>
      </c>
      <c r="N226" s="203">
        <f>SUM(N227:N236)</f>
        <v>0</v>
      </c>
      <c r="O226" s="146"/>
      <c r="P226" s="77"/>
    </row>
    <row r="227" spans="1:17" ht="26.4" x14ac:dyDescent="0.25">
      <c r="A227" s="168" t="s">
        <v>170</v>
      </c>
      <c r="B227" s="45"/>
      <c r="C227" s="109"/>
      <c r="D227" s="110"/>
      <c r="E227" s="84" t="e">
        <f>D227/C227</f>
        <v>#DIV/0!</v>
      </c>
      <c r="F227" s="62"/>
      <c r="G227" s="65"/>
      <c r="H227" s="84">
        <v>0</v>
      </c>
      <c r="I227" s="62"/>
      <c r="J227" s="65"/>
      <c r="K227" s="84">
        <v>0</v>
      </c>
      <c r="L227" s="88">
        <f t="shared" ref="L227:L234" si="27">D227+G227+J227</f>
        <v>0</v>
      </c>
      <c r="M227" s="62">
        <v>0</v>
      </c>
      <c r="N227" s="67">
        <v>0</v>
      </c>
      <c r="O227" s="148"/>
    </row>
    <row r="228" spans="1:17" x14ac:dyDescent="0.25">
      <c r="A228" s="81" t="s">
        <v>348</v>
      </c>
      <c r="B228" s="18"/>
      <c r="C228" s="62"/>
      <c r="D228" s="65"/>
      <c r="E228" s="135">
        <v>0</v>
      </c>
      <c r="F228" s="62"/>
      <c r="G228" s="63"/>
      <c r="H228" s="136" t="e">
        <f>G228/F228</f>
        <v>#DIV/0!</v>
      </c>
      <c r="I228" s="204"/>
      <c r="J228" s="63"/>
      <c r="K228" s="83">
        <v>0</v>
      </c>
      <c r="L228" s="88">
        <f t="shared" si="27"/>
        <v>0</v>
      </c>
      <c r="M228" s="62">
        <v>0</v>
      </c>
      <c r="N228" s="67">
        <v>0</v>
      </c>
      <c r="O228" s="148" t="s">
        <v>347</v>
      </c>
    </row>
    <row r="229" spans="1:17" ht="26.4" x14ac:dyDescent="0.25">
      <c r="A229" s="157" t="s">
        <v>131</v>
      </c>
      <c r="B229" s="19"/>
      <c r="C229" s="62"/>
      <c r="D229" s="65"/>
      <c r="E229" s="135">
        <v>0</v>
      </c>
      <c r="F229" s="62"/>
      <c r="G229" s="65"/>
      <c r="H229" s="136">
        <v>0</v>
      </c>
      <c r="I229" s="137"/>
      <c r="J229" s="86"/>
      <c r="K229" s="87" t="e">
        <f>J229/I229</f>
        <v>#DIV/0!</v>
      </c>
      <c r="L229" s="88">
        <f t="shared" si="27"/>
        <v>0</v>
      </c>
      <c r="M229" s="62">
        <v>0</v>
      </c>
      <c r="N229" s="67">
        <v>0</v>
      </c>
      <c r="O229" s="150"/>
    </row>
    <row r="230" spans="1:17" x14ac:dyDescent="0.25">
      <c r="A230" s="157" t="s">
        <v>279</v>
      </c>
      <c r="B230" s="19"/>
      <c r="C230" s="62"/>
      <c r="D230" s="65"/>
      <c r="E230" s="135">
        <v>0</v>
      </c>
      <c r="F230" s="62"/>
      <c r="G230" s="65"/>
      <c r="H230" s="136">
        <v>1</v>
      </c>
      <c r="I230" s="137"/>
      <c r="J230" s="86"/>
      <c r="K230" s="87">
        <v>0</v>
      </c>
      <c r="L230" s="88">
        <f t="shared" si="27"/>
        <v>0</v>
      </c>
      <c r="M230" s="62">
        <v>0</v>
      </c>
      <c r="N230" s="67">
        <v>0</v>
      </c>
      <c r="O230" s="150"/>
    </row>
    <row r="231" spans="1:17" s="71" customFormat="1" x14ac:dyDescent="0.25">
      <c r="A231" s="157" t="s">
        <v>259</v>
      </c>
      <c r="B231" s="18"/>
      <c r="C231" s="62"/>
      <c r="D231" s="65"/>
      <c r="E231" s="135">
        <v>0</v>
      </c>
      <c r="F231" s="62"/>
      <c r="G231" s="65"/>
      <c r="H231" s="136">
        <v>0</v>
      </c>
      <c r="I231" s="137"/>
      <c r="J231" s="86"/>
      <c r="K231" s="87">
        <v>0</v>
      </c>
      <c r="L231" s="88">
        <f t="shared" si="27"/>
        <v>0</v>
      </c>
      <c r="M231" s="62">
        <v>0</v>
      </c>
      <c r="N231" s="67">
        <v>0</v>
      </c>
      <c r="O231" s="148" t="s">
        <v>327</v>
      </c>
      <c r="P231" s="69"/>
      <c r="Q231" s="70"/>
    </row>
    <row r="232" spans="1:17" ht="26.4" x14ac:dyDescent="0.25">
      <c r="A232" s="157" t="s">
        <v>166</v>
      </c>
      <c r="B232" s="18"/>
      <c r="C232" s="62"/>
      <c r="D232" s="65"/>
      <c r="E232" s="135">
        <v>0</v>
      </c>
      <c r="F232" s="62"/>
      <c r="G232" s="65"/>
      <c r="H232" s="136" t="e">
        <f>G232/F232</f>
        <v>#DIV/0!</v>
      </c>
      <c r="I232" s="137"/>
      <c r="J232" s="89"/>
      <c r="K232" s="87">
        <v>0</v>
      </c>
      <c r="L232" s="88">
        <f t="shared" si="27"/>
        <v>0</v>
      </c>
      <c r="M232" s="62">
        <v>0</v>
      </c>
      <c r="N232" s="67">
        <v>0</v>
      </c>
      <c r="O232" s="150"/>
    </row>
    <row r="233" spans="1:17" s="71" customFormat="1" ht="26.4" x14ac:dyDescent="0.25">
      <c r="A233" s="157" t="s">
        <v>199</v>
      </c>
      <c r="B233" s="18"/>
      <c r="C233" s="62"/>
      <c r="D233" s="65"/>
      <c r="E233" s="135">
        <v>0</v>
      </c>
      <c r="F233" s="62"/>
      <c r="G233" s="63"/>
      <c r="H233" s="136" t="e">
        <f>G233/F233</f>
        <v>#DIV/0!</v>
      </c>
      <c r="I233" s="137"/>
      <c r="J233" s="89"/>
      <c r="K233" s="87">
        <v>0</v>
      </c>
      <c r="L233" s="88">
        <f t="shared" si="27"/>
        <v>0</v>
      </c>
      <c r="M233" s="62">
        <v>0</v>
      </c>
      <c r="N233" s="67">
        <v>0</v>
      </c>
      <c r="O233" s="150" t="s">
        <v>364</v>
      </c>
      <c r="P233" s="69"/>
      <c r="Q233" s="70"/>
    </row>
    <row r="234" spans="1:17" ht="13.8" thickBot="1" x14ac:dyDescent="0.3">
      <c r="A234" s="171" t="s">
        <v>353</v>
      </c>
      <c r="B234" s="26"/>
      <c r="C234" s="85">
        <v>0</v>
      </c>
      <c r="D234" s="89">
        <v>0</v>
      </c>
      <c r="E234" s="87">
        <v>0</v>
      </c>
      <c r="F234" s="62">
        <v>0</v>
      </c>
      <c r="G234" s="65">
        <v>0</v>
      </c>
      <c r="H234" s="84">
        <v>0</v>
      </c>
      <c r="I234" s="85">
        <v>0</v>
      </c>
      <c r="J234" s="89">
        <v>0</v>
      </c>
      <c r="K234" s="87">
        <v>0</v>
      </c>
      <c r="L234" s="88">
        <f t="shared" si="27"/>
        <v>0</v>
      </c>
      <c r="M234" s="85">
        <v>0</v>
      </c>
      <c r="N234" s="91">
        <v>0</v>
      </c>
      <c r="O234" s="150"/>
    </row>
    <row r="235" spans="1:17" ht="13.8" thickBot="1" x14ac:dyDescent="0.3">
      <c r="A235" s="169" t="s">
        <v>211</v>
      </c>
      <c r="B235" s="44"/>
      <c r="C235" s="199">
        <f>C236+C237</f>
        <v>0</v>
      </c>
      <c r="D235" s="200">
        <f>D236+D237</f>
        <v>0</v>
      </c>
      <c r="E235" s="201">
        <v>0</v>
      </c>
      <c r="F235" s="199">
        <f>F236+F237</f>
        <v>0</v>
      </c>
      <c r="G235" s="200">
        <f>G236+G237</f>
        <v>0</v>
      </c>
      <c r="H235" s="203">
        <v>0</v>
      </c>
      <c r="I235" s="199">
        <f>I236</f>
        <v>0</v>
      </c>
      <c r="J235" s="200">
        <f>J236</f>
        <v>0</v>
      </c>
      <c r="K235" s="201">
        <f>K236</f>
        <v>0</v>
      </c>
      <c r="L235" s="202">
        <f>L236+L237</f>
        <v>0</v>
      </c>
      <c r="M235" s="199">
        <f>M236+M237</f>
        <v>0</v>
      </c>
      <c r="N235" s="203">
        <f>N236+N237</f>
        <v>0</v>
      </c>
      <c r="O235" s="150"/>
    </row>
    <row r="236" spans="1:17" x14ac:dyDescent="0.25">
      <c r="A236" s="130" t="s">
        <v>304</v>
      </c>
      <c r="B236" s="45"/>
      <c r="C236" s="109">
        <v>0</v>
      </c>
      <c r="D236" s="110">
        <v>0</v>
      </c>
      <c r="E236" s="84">
        <v>1</v>
      </c>
      <c r="F236" s="109">
        <v>0</v>
      </c>
      <c r="G236" s="111">
        <v>0</v>
      </c>
      <c r="H236" s="138" t="e">
        <f>G236/F236*100</f>
        <v>#DIV/0!</v>
      </c>
      <c r="I236" s="109">
        <v>0</v>
      </c>
      <c r="J236" s="111">
        <v>0</v>
      </c>
      <c r="K236" s="84">
        <v>0</v>
      </c>
      <c r="L236" s="88">
        <f>D236+G236+J236</f>
        <v>0</v>
      </c>
      <c r="M236" s="109">
        <v>0</v>
      </c>
      <c r="N236" s="112">
        <v>0</v>
      </c>
      <c r="O236" s="148"/>
    </row>
    <row r="237" spans="1:17" ht="13.8" thickBot="1" x14ac:dyDescent="0.3">
      <c r="A237" s="157" t="s">
        <v>278</v>
      </c>
      <c r="B237" s="26"/>
      <c r="C237" s="85">
        <v>0</v>
      </c>
      <c r="D237" s="86">
        <v>0</v>
      </c>
      <c r="E237" s="87">
        <v>1</v>
      </c>
      <c r="F237" s="85">
        <v>0</v>
      </c>
      <c r="G237" s="89">
        <v>0</v>
      </c>
      <c r="H237" s="139">
        <v>0</v>
      </c>
      <c r="I237" s="85">
        <v>0</v>
      </c>
      <c r="J237" s="89">
        <v>0</v>
      </c>
      <c r="K237" s="87">
        <v>0</v>
      </c>
      <c r="L237" s="140">
        <v>0</v>
      </c>
      <c r="M237" s="85">
        <v>0</v>
      </c>
      <c r="N237" s="91">
        <v>0</v>
      </c>
      <c r="O237" s="150"/>
    </row>
    <row r="238" spans="1:17" ht="26.4" customHeight="1" thickBot="1" x14ac:dyDescent="0.3">
      <c r="A238" s="170" t="s">
        <v>130</v>
      </c>
      <c r="B238" s="46"/>
      <c r="C238" s="205">
        <f>C225+C226+C235</f>
        <v>0</v>
      </c>
      <c r="D238" s="206">
        <f>D225+D226+D235</f>
        <v>0</v>
      </c>
      <c r="E238" s="207">
        <v>5.7000000000000002E-2</v>
      </c>
      <c r="F238" s="205">
        <f>F225+F226+F235</f>
        <v>0</v>
      </c>
      <c r="G238" s="206">
        <f>G225+G226+G235</f>
        <v>0</v>
      </c>
      <c r="H238" s="207" t="e">
        <f>G238/F238</f>
        <v>#DIV/0!</v>
      </c>
      <c r="I238" s="205">
        <f>I225+I226+I235</f>
        <v>0</v>
      </c>
      <c r="J238" s="206">
        <f>J225+J226+J235</f>
        <v>0</v>
      </c>
      <c r="K238" s="207" t="e">
        <f>J238/I238</f>
        <v>#DIV/0!</v>
      </c>
      <c r="L238" s="208">
        <f>L225+L226+L235</f>
        <v>0</v>
      </c>
      <c r="M238" s="205">
        <f>M225+M226+M235</f>
        <v>0</v>
      </c>
      <c r="N238" s="209">
        <f>N225+N226</f>
        <v>0</v>
      </c>
      <c r="O238" s="181"/>
    </row>
    <row r="239" spans="1:17" x14ac:dyDescent="0.25">
      <c r="E239" s="210"/>
      <c r="F239" s="211" t="s">
        <v>320</v>
      </c>
      <c r="G239" s="211" t="s">
        <v>333</v>
      </c>
      <c r="H239" s="210" t="s">
        <v>269</v>
      </c>
      <c r="I239" s="111" t="s">
        <v>354</v>
      </c>
      <c r="J239" s="111" t="s">
        <v>322</v>
      </c>
      <c r="K239" s="111" t="s">
        <v>321</v>
      </c>
      <c r="L239" s="111" t="s">
        <v>322</v>
      </c>
      <c r="M239" s="111" t="s">
        <v>331</v>
      </c>
      <c r="N239" s="111" t="s">
        <v>332</v>
      </c>
      <c r="O239" s="182"/>
    </row>
    <row r="240" spans="1:17" ht="26.4" x14ac:dyDescent="0.25">
      <c r="C240" s="141" t="s">
        <v>204</v>
      </c>
      <c r="D240" s="141" t="e">
        <f>#REF!-#REF!</f>
        <v>#REF!</v>
      </c>
      <c r="E240" s="212" t="s">
        <v>265</v>
      </c>
      <c r="F240" s="65">
        <v>75461</v>
      </c>
      <c r="G240" s="65">
        <v>1210321</v>
      </c>
      <c r="H240" s="63">
        <f>G240-F240</f>
        <v>1134860</v>
      </c>
      <c r="I240" s="65">
        <f>999696+135164</f>
        <v>1134860</v>
      </c>
      <c r="J240" s="65">
        <v>0</v>
      </c>
      <c r="K240" s="65">
        <v>0</v>
      </c>
      <c r="L240" s="65">
        <v>0</v>
      </c>
      <c r="M240" s="65">
        <v>0</v>
      </c>
      <c r="N240" s="65">
        <v>0</v>
      </c>
      <c r="O240" s="183"/>
    </row>
    <row r="241" spans="3:15" ht="13.8" x14ac:dyDescent="0.25">
      <c r="C241" s="141" t="s">
        <v>203</v>
      </c>
      <c r="D241" s="213" t="e">
        <f>D240-D238</f>
        <v>#REF!</v>
      </c>
      <c r="E241" s="212" t="s">
        <v>334</v>
      </c>
      <c r="F241" s="65">
        <v>10079510.039999999</v>
      </c>
      <c r="G241" s="65">
        <v>12348395.039999999</v>
      </c>
      <c r="H241" s="63">
        <f>G241-F241</f>
        <v>2268885</v>
      </c>
      <c r="I241" s="63">
        <f>2666093-397208</f>
        <v>2268885</v>
      </c>
      <c r="J241" s="65">
        <v>0</v>
      </c>
      <c r="K241" s="65"/>
      <c r="L241" s="65"/>
      <c r="M241" s="65"/>
      <c r="N241" s="65"/>
      <c r="O241" s="183"/>
    </row>
    <row r="242" spans="3:15" ht="26.4" x14ac:dyDescent="0.25">
      <c r="D242" s="213"/>
      <c r="E242" s="212" t="s">
        <v>266</v>
      </c>
      <c r="F242" s="65">
        <v>8452614</v>
      </c>
      <c r="G242" s="65">
        <v>8951089.9800000004</v>
      </c>
      <c r="H242" s="63">
        <f t="shared" ref="H242:H243" si="28">G242-F242</f>
        <v>498475.98000000045</v>
      </c>
      <c r="I242" s="65">
        <v>599639</v>
      </c>
      <c r="J242" s="65">
        <f>-1.52-101161.5</f>
        <v>-101163.02</v>
      </c>
      <c r="K242" s="65"/>
      <c r="L242" s="65"/>
      <c r="M242" s="65"/>
      <c r="N242" s="65"/>
      <c r="O242" s="183"/>
    </row>
    <row r="243" spans="3:15" ht="26.4" x14ac:dyDescent="0.25">
      <c r="E243" s="212" t="s">
        <v>264</v>
      </c>
      <c r="F243" s="65">
        <v>3294816</v>
      </c>
      <c r="G243" s="65">
        <v>3518203</v>
      </c>
      <c r="H243" s="63">
        <f t="shared" si="28"/>
        <v>223387</v>
      </c>
      <c r="I243" s="65">
        <v>223387</v>
      </c>
      <c r="J243" s="65">
        <v>0</v>
      </c>
      <c r="K243" s="65"/>
      <c r="L243" s="65"/>
      <c r="M243" s="65"/>
      <c r="N243" s="65"/>
      <c r="O243" s="183"/>
    </row>
    <row r="244" spans="3:15" x14ac:dyDescent="0.25">
      <c r="E244" s="212" t="s">
        <v>267</v>
      </c>
      <c r="F244" s="65">
        <v>613204969</v>
      </c>
      <c r="G244" s="65">
        <v>529526589</v>
      </c>
      <c r="H244" s="63">
        <f>G244-F244</f>
        <v>-83678380</v>
      </c>
      <c r="I244" s="65">
        <f>577540</f>
        <v>577540</v>
      </c>
      <c r="J244" s="65">
        <v>2400000</v>
      </c>
      <c r="K244" s="65">
        <f>-98000000+400000</f>
        <v>-97600000</v>
      </c>
      <c r="L244" s="65">
        <f>7976000+999726+849000-1136013-312348+216927+3000000-97000</f>
        <v>11496292</v>
      </c>
      <c r="M244" s="65">
        <f>-260790-917620+579350</f>
        <v>-599060</v>
      </c>
      <c r="N244" s="65">
        <f>1000000-1340000-49440+41841+508117+140954-98858-50000-167766+62000</f>
        <v>46848</v>
      </c>
      <c r="O244" s="183"/>
    </row>
    <row r="245" spans="3:15" ht="13.8" x14ac:dyDescent="0.25">
      <c r="C245" s="141" t="s">
        <v>205</v>
      </c>
      <c r="D245" s="141" t="e">
        <f>#REF!</f>
        <v>#REF!</v>
      </c>
      <c r="E245" s="214" t="s">
        <v>268</v>
      </c>
      <c r="F245" s="215">
        <f t="shared" ref="F245" si="29">SUM(F240:F244)</f>
        <v>635107370.03999996</v>
      </c>
      <c r="G245" s="215">
        <f t="shared" ref="G245:H245" si="30">SUM(G240:G244)</f>
        <v>555554598.01999998</v>
      </c>
      <c r="H245" s="215">
        <f t="shared" si="30"/>
        <v>-79552772.019999996</v>
      </c>
      <c r="I245" s="216">
        <f>SUM(I240:I244)</f>
        <v>4804311</v>
      </c>
      <c r="J245" s="216">
        <f t="shared" ref="J245:K245" si="31">SUM(J240:J244)</f>
        <v>2298836.98</v>
      </c>
      <c r="K245" s="216">
        <f t="shared" si="31"/>
        <v>-97600000</v>
      </c>
      <c r="L245" s="215">
        <f>SUM(L240:L244)</f>
        <v>11496292</v>
      </c>
      <c r="M245" s="215">
        <f t="shared" ref="M245:N245" si="32">SUM(M240:M244)</f>
        <v>-599060</v>
      </c>
      <c r="N245" s="215">
        <f t="shared" si="32"/>
        <v>46848</v>
      </c>
      <c r="O245" s="184"/>
    </row>
    <row r="246" spans="3:15" x14ac:dyDescent="0.25">
      <c r="C246" s="141" t="s">
        <v>203</v>
      </c>
      <c r="D246" s="142" t="e">
        <f>D245-J238</f>
        <v>#REF!</v>
      </c>
    </row>
    <row r="247" spans="3:15" x14ac:dyDescent="0.25">
      <c r="D247" s="142"/>
      <c r="K247" s="141">
        <f>J238-G245+F245</f>
        <v>79552772.019999981</v>
      </c>
    </row>
    <row r="248" spans="3:15" ht="13.2" hidden="1" customHeight="1" x14ac:dyDescent="0.25">
      <c r="D248" s="142"/>
    </row>
    <row r="249" spans="3:15" ht="26.4" hidden="1" customHeight="1" x14ac:dyDescent="0.25">
      <c r="C249" s="141" t="s">
        <v>281</v>
      </c>
      <c r="D249" s="141" t="e">
        <f>#REF!</f>
        <v>#REF!</v>
      </c>
    </row>
    <row r="250" spans="3:15" ht="13.2" hidden="1" customHeight="1" x14ac:dyDescent="0.25">
      <c r="C250" s="141" t="s">
        <v>203</v>
      </c>
      <c r="D250" s="142">
        <v>0</v>
      </c>
      <c r="H250" s="141"/>
    </row>
    <row r="251" spans="3:15" ht="13.2" hidden="1" customHeight="1" x14ac:dyDescent="0.25">
      <c r="D251" s="142"/>
    </row>
    <row r="252" spans="3:15" ht="13.2" hidden="1" customHeight="1" x14ac:dyDescent="0.25">
      <c r="D252" s="142"/>
    </row>
    <row r="253" spans="3:15" ht="13.2" hidden="1" customHeight="1" x14ac:dyDescent="0.25">
      <c r="E253" s="212" t="s">
        <v>209</v>
      </c>
      <c r="F253" s="65" t="e">
        <f>#REF!</f>
        <v>#REF!</v>
      </c>
      <c r="H253" s="141"/>
    </row>
    <row r="254" spans="3:15" ht="13.2" hidden="1" customHeight="1" x14ac:dyDescent="0.25">
      <c r="E254" s="212" t="s">
        <v>210</v>
      </c>
      <c r="F254" s="65">
        <f>D238+G238+J238</f>
        <v>0</v>
      </c>
    </row>
    <row r="255" spans="3:15" ht="26.4" hidden="1" customHeight="1" x14ac:dyDescent="0.25">
      <c r="C255" s="141" t="s">
        <v>263</v>
      </c>
      <c r="D255" s="141" t="e">
        <f>D240+D245+D249</f>
        <v>#REF!</v>
      </c>
      <c r="E255" s="212" t="s">
        <v>317</v>
      </c>
      <c r="F255" s="65" t="e">
        <f>F253-F254-D246</f>
        <v>#REF!</v>
      </c>
    </row>
    <row r="256" spans="3:15" ht="52.95" hidden="1" customHeight="1" x14ac:dyDescent="0.25">
      <c r="E256" s="212" t="s">
        <v>284</v>
      </c>
      <c r="F256" s="65">
        <f>F258+F257</f>
        <v>98373</v>
      </c>
      <c r="I256" s="141">
        <f>D238+G238+J238</f>
        <v>0</v>
      </c>
    </row>
    <row r="257" spans="2:11" ht="26.4" hidden="1" customHeight="1" x14ac:dyDescent="0.25">
      <c r="B257" s="47"/>
      <c r="C257" s="217" t="s">
        <v>273</v>
      </c>
      <c r="D257" s="217">
        <f>D136+D134+D127+D40+D18+D7</f>
        <v>0</v>
      </c>
      <c r="E257" s="212" t="s">
        <v>283</v>
      </c>
      <c r="F257" s="65">
        <v>-58208705</v>
      </c>
    </row>
    <row r="258" spans="2:11" ht="66" hidden="1" customHeight="1" x14ac:dyDescent="0.25">
      <c r="B258" s="47"/>
      <c r="C258" s="217" t="s">
        <v>276</v>
      </c>
      <c r="D258" s="217">
        <f>D64+D39+D29</f>
        <v>0</v>
      </c>
      <c r="E258" s="212" t="s">
        <v>285</v>
      </c>
      <c r="F258" s="65">
        <v>58307078</v>
      </c>
      <c r="J258" s="142"/>
    </row>
    <row r="259" spans="2:11" ht="13.2" hidden="1" customHeight="1" x14ac:dyDescent="0.25">
      <c r="B259" s="47"/>
      <c r="C259" s="217" t="s">
        <v>277</v>
      </c>
      <c r="D259" s="217">
        <f>D48</f>
        <v>0</v>
      </c>
      <c r="E259" s="212"/>
      <c r="F259" s="65"/>
    </row>
    <row r="260" spans="2:11" ht="52.95" hidden="1" customHeight="1" x14ac:dyDescent="0.25">
      <c r="E260" s="218" t="s">
        <v>282</v>
      </c>
      <c r="F260" s="219" t="e">
        <f>F255+F256</f>
        <v>#REF!</v>
      </c>
    </row>
    <row r="261" spans="2:11" ht="13.2" hidden="1" customHeight="1" x14ac:dyDescent="0.25">
      <c r="E261" s="220"/>
      <c r="F261" s="221"/>
    </row>
    <row r="262" spans="2:11" ht="13.2" hidden="1" customHeight="1" x14ac:dyDescent="0.25">
      <c r="E262" s="220"/>
      <c r="F262" s="221"/>
    </row>
    <row r="263" spans="2:11" ht="26.4" hidden="1" customHeight="1" x14ac:dyDescent="0.25">
      <c r="D263" s="142" t="s">
        <v>366</v>
      </c>
      <c r="E263" s="222"/>
      <c r="F263" s="223" t="e">
        <f>F257+F255</f>
        <v>#REF!</v>
      </c>
      <c r="G263" s="142"/>
      <c r="K263" s="141"/>
    </row>
    <row r="264" spans="2:11" ht="13.2" hidden="1" customHeight="1" x14ac:dyDescent="0.25">
      <c r="E264" s="220"/>
      <c r="F264" s="221"/>
    </row>
    <row r="265" spans="2:11" ht="13.2" hidden="1" customHeight="1" x14ac:dyDescent="0.25">
      <c r="E265" s="220"/>
      <c r="F265" s="221"/>
    </row>
    <row r="266" spans="2:11" ht="13.2" hidden="1" customHeight="1" x14ac:dyDescent="0.25"/>
    <row r="267" spans="2:11" ht="13.2" hidden="1" customHeight="1" x14ac:dyDescent="0.25"/>
    <row r="268" spans="2:11" ht="13.2" hidden="1" customHeight="1" x14ac:dyDescent="0.25"/>
    <row r="269" spans="2:11" ht="13.2" hidden="1" customHeight="1" x14ac:dyDescent="0.25"/>
    <row r="270" spans="2:11" ht="13.2" hidden="1" customHeight="1" x14ac:dyDescent="0.25"/>
    <row r="271" spans="2:11" ht="13.2" hidden="1" customHeight="1" x14ac:dyDescent="0.25"/>
    <row r="272" spans="2:11" ht="13.2" hidden="1" customHeight="1" x14ac:dyDescent="0.25"/>
    <row r="273" ht="13.2" hidden="1" customHeight="1" x14ac:dyDescent="0.25"/>
  </sheetData>
  <sheetProtection formatCells="0" formatColumns="0" formatRows="0" insertColumns="0" insertRows="0" insertHyperlinks="0" deleteColumns="0" deleteRows="0" sort="0" autoFilter="0" pivotTables="0"/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2:K14"/>
  <sheetViews>
    <sheetView workbookViewId="0">
      <selection activeCell="H8" sqref="H8"/>
    </sheetView>
  </sheetViews>
  <sheetFormatPr defaultRowHeight="14.4" x14ac:dyDescent="0.3"/>
  <cols>
    <col min="1" max="1" width="32.44140625" customWidth="1"/>
    <col min="2" max="6" width="0" hidden="1" customWidth="1"/>
    <col min="7" max="7" width="22.33203125" customWidth="1"/>
    <col min="8" max="8" width="21.33203125" customWidth="1"/>
    <col min="9" max="9" width="20.5546875" customWidth="1"/>
    <col min="10" max="10" width="21.33203125" customWidth="1"/>
  </cols>
  <sheetData>
    <row r="2" spans="1:11" hidden="1" x14ac:dyDescent="0.3"/>
    <row r="3" spans="1:11" ht="15.6" x14ac:dyDescent="0.3">
      <c r="A3" s="471" t="s">
        <v>178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</row>
    <row r="4" spans="1:11" ht="15.6" x14ac:dyDescent="0.3">
      <c r="A4" s="1"/>
      <c r="B4" s="2"/>
      <c r="C4" s="3"/>
      <c r="D4" s="472"/>
      <c r="E4" s="472"/>
      <c r="F4" s="472"/>
      <c r="G4" s="472"/>
      <c r="H4" s="3"/>
      <c r="I4" s="3"/>
      <c r="J4" s="3"/>
      <c r="K4" s="3"/>
    </row>
    <row r="5" spans="1:11" ht="31.2" x14ac:dyDescent="0.3">
      <c r="A5" s="4"/>
      <c r="B5" s="4"/>
      <c r="C5" s="4"/>
      <c r="D5" s="4"/>
      <c r="E5" s="4"/>
      <c r="F5" s="4"/>
      <c r="G5" s="5" t="s">
        <v>176</v>
      </c>
      <c r="H5" s="6" t="s">
        <v>113</v>
      </c>
      <c r="I5" s="6" t="s">
        <v>114</v>
      </c>
      <c r="J5" s="5" t="s">
        <v>177</v>
      </c>
      <c r="K5" s="7"/>
    </row>
    <row r="6" spans="1:11" ht="15.6" x14ac:dyDescent="0.3">
      <c r="A6" s="8"/>
      <c r="B6" s="473">
        <f>+G7</f>
        <v>0</v>
      </c>
      <c r="C6" s="473"/>
      <c r="D6" s="474"/>
      <c r="E6" s="474"/>
      <c r="F6" s="474"/>
      <c r="G6" s="474"/>
      <c r="H6" s="10" t="e">
        <f>H7+H9+H8</f>
        <v>#REF!</v>
      </c>
      <c r="I6" s="10">
        <f>Расходы!D238+Расходы!G238+Расходы!J238</f>
        <v>0</v>
      </c>
      <c r="J6" s="10" t="e">
        <f>B6-H6+I6</f>
        <v>#REF!</v>
      </c>
      <c r="K6" s="7"/>
    </row>
    <row r="7" spans="1:11" ht="15.6" x14ac:dyDescent="0.3">
      <c r="A7" s="9" t="s">
        <v>115</v>
      </c>
      <c r="B7" s="11"/>
      <c r="C7" s="11"/>
      <c r="D7" s="11"/>
      <c r="E7" s="11"/>
      <c r="F7" s="11"/>
      <c r="G7" s="11">
        <v>0</v>
      </c>
      <c r="H7" s="11">
        <v>0</v>
      </c>
      <c r="I7" s="11">
        <f>21508377</f>
        <v>21508377</v>
      </c>
      <c r="J7" s="11" t="e">
        <f>J6</f>
        <v>#REF!</v>
      </c>
      <c r="K7" s="7"/>
    </row>
    <row r="8" spans="1:11" ht="31.2" x14ac:dyDescent="0.3">
      <c r="A8" s="9" t="s">
        <v>116</v>
      </c>
      <c r="B8" s="11"/>
      <c r="C8" s="11"/>
      <c r="D8" s="11"/>
      <c r="E8" s="11"/>
      <c r="F8" s="11"/>
      <c r="G8" s="11"/>
      <c r="H8" s="11" t="e">
        <f>#REF!</f>
        <v>#REF!</v>
      </c>
      <c r="I8" s="11">
        <v>0</v>
      </c>
      <c r="J8" s="11">
        <v>0</v>
      </c>
      <c r="K8" s="7"/>
    </row>
    <row r="9" spans="1:11" ht="15.6" x14ac:dyDescent="0.3">
      <c r="A9" s="9" t="s">
        <v>117</v>
      </c>
      <c r="B9" s="11"/>
      <c r="C9" s="11"/>
      <c r="D9" s="11"/>
      <c r="E9" s="11"/>
      <c r="F9" s="11"/>
      <c r="G9" s="11"/>
      <c r="H9" s="11" t="e">
        <f>#REF!</f>
        <v>#REF!</v>
      </c>
      <c r="I9" s="11">
        <v>0</v>
      </c>
      <c r="J9" s="11">
        <v>0</v>
      </c>
      <c r="K9" s="7"/>
    </row>
    <row r="10" spans="1:11" ht="15.6" x14ac:dyDescent="0.3">
      <c r="A10" s="9" t="s">
        <v>118</v>
      </c>
      <c r="B10" s="11"/>
      <c r="C10" s="11"/>
      <c r="D10" s="11"/>
      <c r="E10" s="11"/>
      <c r="F10" s="11"/>
      <c r="G10" s="11"/>
      <c r="H10" s="11"/>
      <c r="I10" s="11"/>
      <c r="J10" s="11"/>
      <c r="K10" s="7"/>
    </row>
    <row r="11" spans="1:11" ht="15.6" x14ac:dyDescent="0.3">
      <c r="A11" s="9" t="s">
        <v>119</v>
      </c>
      <c r="B11" s="11"/>
      <c r="C11" s="11"/>
      <c r="D11" s="11"/>
      <c r="E11" s="11"/>
      <c r="F11" s="11"/>
      <c r="G11" s="11"/>
      <c r="H11" s="11"/>
      <c r="I11" s="11"/>
      <c r="J11" s="11"/>
      <c r="K11" s="7"/>
    </row>
    <row r="12" spans="1:1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Доходы 2026</vt:lpstr>
      <vt:lpstr>Расходы 2026</vt:lpstr>
      <vt:lpstr>Расходы</vt:lpstr>
      <vt:lpstr>Источники</vt:lpstr>
      <vt:lpstr>Лист1</vt:lpstr>
      <vt:lpstr>'Доходы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2026-05-25T07:38:33Z</dcterms:modified>
</cp:coreProperties>
</file>